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7_excel-kb auditjahr 2023\organe\lunge\"/>
    </mc:Choice>
  </mc:AlternateContent>
  <xr:revisionPtr revIDLastSave="0" documentId="13_ncr:1_{A6670BAA-EC6D-4178-8B4F-48196A6C9047}" xr6:coauthVersionLast="47" xr6:coauthVersionMax="47" xr10:uidLastSave="{00000000-0000-0000-0000-000000000000}"/>
  <workbookProtection workbookAlgorithmName="SHA-512" workbookHashValue="BnZngYkFps8iQ+YE3yHNwr73WOlvpvZ9SfCzUgr2o1xiN1jI3OuuZlMzpy6EOEp23SuqgxJo6vsX9g9G5wwdHQ==" workbookSaltValue="UZk2Be1YGv9nLxZyYqxYkw==" workbookSpinCount="100000" lockStructure="1"/>
  <bookViews>
    <workbookView xWindow="-28920" yWindow="-120" windowWidth="29040" windowHeight="15840" tabRatio="904" firstSheet="1" activeTab="1" xr2:uid="{00000000-000D-0000-FFFF-FFFF00000000}"/>
  </bookViews>
  <sheets>
    <sheet name="Datenquelle" sheetId="53" state="hidden" r:id="rId1"/>
    <sheet name="Basisdaten_Lunge" sheetId="54" r:id="rId2"/>
    <sheet name="HilfstabelleSD" sheetId="62" state="hidden" r:id="rId3"/>
    <sheet name="HilfstabelleB" sheetId="61" state="hidden" r:id="rId4"/>
    <sheet name="Expertise_Lunge" sheetId="59" r:id="rId5"/>
    <sheet name="HilfstabelleL" sheetId="64" state="hidden" r:id="rId6"/>
    <sheet name="Expertise_TCH_mehrst. LZ" sheetId="77" r:id="rId7"/>
    <sheet name="HilfstabelleKB" sheetId="45" state="hidden" r:id="rId8"/>
    <sheet name="Berechnung1" sheetId="24" state="hidden" r:id="rId9"/>
    <sheet name="KB_Lunge" sheetId="56" r:id="rId10"/>
    <sheet name="OPS-Codes KN 10_Lunge" sheetId="69" r:id="rId11"/>
    <sheet name="Datendefizite_KB_Lunge" sheetId="44" r:id="rId12"/>
    <sheet name="Hilfstabelle DatendefKB" sheetId="68" state="hidden" r:id="rId13"/>
    <sheet name="Matrix_Lunge" sheetId="47" r:id="rId14"/>
    <sheet name="HilfstabelleM" sheetId="63" state="hidden" r:id="rId15"/>
    <sheet name="Berechnung2" sheetId="51" state="hidden" r:id="rId16"/>
    <sheet name="Berechnung3" sheetId="67" state="hidden" r:id="rId17"/>
    <sheet name="Datendefizite_Matrix_Lunge" sheetId="49" r:id="rId18"/>
    <sheet name="Hilfstabelle DatendefKB_Mesoth." sheetId="75" state="hidden" r:id="rId19"/>
    <sheet name="KB_Mesotheliom" sheetId="70" r:id="rId20"/>
    <sheet name="Datendefizite_KB_Mesotheliom" sheetId="76" r:id="rId21"/>
    <sheet name="HilfstabelleKB_Mesotheliom" sheetId="71" state="hidden" r:id="rId22"/>
    <sheet name="Berechnung1_Mesotheliom" sheetId="73" state="hidden" r:id="rId23"/>
    <sheet name="HilfstabelleDM" sheetId="66" state="hidden" r:id="rId24"/>
  </sheets>
  <externalReferences>
    <externalReference r:id="rId25"/>
  </externalReferences>
  <definedNames>
    <definedName name="_xlnm._FilterDatabase" localSheetId="15" hidden="1">Berechnung2!#REF!</definedName>
    <definedName name="_xlnm._FilterDatabase" localSheetId="16" hidden="1">Berechnung3!#REF!</definedName>
    <definedName name="_xlnm._FilterDatabase" localSheetId="0" hidden="1">Datenquelle!$A$118:$F$200</definedName>
    <definedName name="Keine_Zusammenarbeit">Datenquelle!$B$109</definedName>
    <definedName name="KrebsregisterZusammenarbeit">Datenquelle!$B$109:$B$113</definedName>
    <definedName name="myCategory">Datenquelle!$A$82:$S$82</definedName>
    <definedName name="myItem" localSheetId="10">OFFSET('OPS-Codes KN 10_Lunge'!myItemList,0,0,COUNTA('OPS-Codes KN 10_Lunge'!myItemList),1)</definedName>
    <definedName name="myItem">OFFSET(myItemList,0,0,COUNTA(myItemList),1)</definedName>
    <definedName name="myItemList" localSheetId="10">INDEX([1]Datenquelle!$A$58:$S$78,0,MATCH([1]Datenquelle!$D$91,[1]Datenquelle!$A$57:$S$57,0))</definedName>
    <definedName name="myItemList">INDEX(Datenquelle!$A$83:$S$103,0,MATCH(Datenquelle!$D$116,Datenquelle!$A$82:$S$82,0))</definedName>
    <definedName name="OncoBox">Datenquelle!$B$105:$B$106</definedName>
    <definedName name="_xlnm.Print_Area" localSheetId="1">Basisdaten_Lunge!$A$1:$K$43</definedName>
    <definedName name="_xlnm.Print_Area" localSheetId="11">OFFSET(Datendefizite_KB_Lunge!$A$1,0,0,SUMPRODUCT((Datendefizite_KB_Lunge!$A$14:$A$42&lt;&gt;"")+0)+13,11)</definedName>
    <definedName name="_xlnm.Print_Area" localSheetId="20">OFFSET(Datendefizite_KB_Mesotheliom!$A$1,0,0,SUMPRODUCT((Datendefizite_KB_Mesotheliom!$A$14:$A$21&lt;&gt;"")+0)+13,11)</definedName>
    <definedName name="_xlnm.Print_Area" localSheetId="4">Expertise_Lunge!$A$1:$P$28</definedName>
    <definedName name="_xlnm.Print_Area" localSheetId="6">'Expertise_TCH_mehrst. LZ'!$A$1:$T$37</definedName>
    <definedName name="_xlnm.Print_Area" localSheetId="9">KB_Lunge!$A$1:$P$137</definedName>
    <definedName name="_xlnm.Print_Area" localSheetId="19">KB_Mesotheliom!$A$1:$P$52</definedName>
    <definedName name="_xlnm.Print_Area" localSheetId="10">'OPS-Codes KN 10_Lunge'!$A$1:$D$53</definedName>
    <definedName name="_xlnm.Print_Titles" localSheetId="11">Datendefizite_KB_Lunge!$12:$13</definedName>
    <definedName name="_xlnm.Print_Titles" localSheetId="20">Datendefizite_KB_Mesotheliom!$12:$13</definedName>
    <definedName name="_xlnm.Print_Titles" localSheetId="17">Datendefizite_Matrix_Lunge!$17:$18</definedName>
    <definedName name="_xlnm.Print_Titles" localSheetId="4">Expertise_Lunge!$12:$13</definedName>
    <definedName name="_xlnm.Print_Titles" localSheetId="6">'Expertise_TCH_mehrst. LZ'!$12:$13</definedName>
    <definedName name="_xlnm.Print_Titles" localSheetId="9">KB_Lunge!$11:$12</definedName>
    <definedName name="_xlnm.Print_Titles" localSheetId="19">KB_Mesotheliom!$10:$11</definedName>
    <definedName name="_xlnm.Print_Titles" localSheetId="10">'OPS-Codes KN 10_Lunge'!$2:$8</definedName>
    <definedName name="Tumordokumentation">Datenquelle!$B$1:$B$43</definedName>
    <definedName name="Zentrum">Datenquelle!$A$119:$A$200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9" i="56" l="1"/>
  <c r="Q73" i="56"/>
  <c r="Q43" i="56"/>
  <c r="Q40" i="56"/>
  <c r="R82" i="47"/>
  <c r="R83" i="47"/>
  <c r="R81" i="47"/>
  <c r="R80" i="47"/>
  <c r="R78" i="47"/>
  <c r="R77" i="47"/>
  <c r="R76" i="47"/>
  <c r="B1" i="71" l="1"/>
  <c r="O96" i="56"/>
  <c r="R35" i="77"/>
  <c r="R32" i="77"/>
  <c r="R26" i="77"/>
  <c r="R20" i="77"/>
  <c r="O57" i="56"/>
  <c r="R79" i="56"/>
  <c r="R73" i="56"/>
  <c r="O30" i="56"/>
  <c r="D17" i="45" s="1"/>
  <c r="R43" i="56"/>
  <c r="R40" i="56"/>
  <c r="S20" i="77"/>
  <c r="L108" i="24" l="1"/>
  <c r="D39" i="45"/>
  <c r="P94" i="56"/>
  <c r="M108" i="24" s="1"/>
  <c r="S35" i="77"/>
  <c r="S32" i="77"/>
  <c r="S29" i="77"/>
  <c r="S26" i="77"/>
  <c r="S23" i="77"/>
  <c r="N16" i="59"/>
  <c r="N15" i="59"/>
  <c r="B8" i="67"/>
  <c r="B7" i="67"/>
  <c r="B6" i="67"/>
  <c r="B5" i="67"/>
  <c r="B4" i="67"/>
  <c r="B3" i="67"/>
  <c r="B2" i="67"/>
  <c r="R37" i="77" l="1"/>
  <c r="R36" i="77"/>
  <c r="R34" i="77"/>
  <c r="R33" i="77"/>
  <c r="Q37" i="77"/>
  <c r="Q36" i="77"/>
  <c r="Q35" i="77"/>
  <c r="Q34" i="77"/>
  <c r="Q33" i="77"/>
  <c r="Q32" i="77"/>
  <c r="Q31" i="77"/>
  <c r="R31" i="77" s="1"/>
  <c r="Q30" i="77"/>
  <c r="R30" i="77" s="1"/>
  <c r="Q29" i="77"/>
  <c r="R29" i="77" s="1"/>
  <c r="Q28" i="77"/>
  <c r="R28" i="77" s="1"/>
  <c r="Q27" i="77"/>
  <c r="R27" i="77" s="1"/>
  <c r="Q26" i="77"/>
  <c r="R25" i="77"/>
  <c r="Q23" i="77"/>
  <c r="R23" i="77" s="1"/>
  <c r="Q25" i="77"/>
  <c r="Q24" i="77"/>
  <c r="R24" i="77" s="1"/>
  <c r="Q22" i="77"/>
  <c r="R22" i="77" s="1"/>
  <c r="Q21" i="77"/>
  <c r="R21" i="77" s="1"/>
  <c r="R14" i="77"/>
  <c r="Q20" i="77"/>
  <c r="S17" i="77"/>
  <c r="T17" i="77" s="1"/>
  <c r="S14" i="77"/>
  <c r="T14" i="77" s="1"/>
  <c r="N17" i="77"/>
  <c r="N21" i="59"/>
  <c r="I18" i="59"/>
  <c r="J18" i="59"/>
  <c r="K18" i="59"/>
  <c r="L18" i="59"/>
  <c r="I19" i="59"/>
  <c r="J19" i="59"/>
  <c r="K19" i="59"/>
  <c r="L19" i="59"/>
  <c r="L17" i="59"/>
  <c r="K17" i="59"/>
  <c r="J17" i="59"/>
  <c r="I17" i="59"/>
  <c r="O24" i="59"/>
  <c r="P24" i="59" s="1"/>
  <c r="O20" i="59"/>
  <c r="P20" i="59" s="1"/>
  <c r="O17" i="59"/>
  <c r="P17" i="59" s="1"/>
  <c r="O14" i="59"/>
  <c r="P14" i="59" s="1"/>
  <c r="A24" i="59"/>
  <c r="D20" i="59"/>
  <c r="A20" i="59"/>
  <c r="A17" i="59"/>
  <c r="A14" i="59"/>
  <c r="G39" i="45"/>
  <c r="G40" i="45"/>
  <c r="G41" i="45"/>
  <c r="G42" i="45"/>
  <c r="G43" i="45"/>
  <c r="G44" i="45"/>
  <c r="G45" i="45"/>
  <c r="G46" i="45"/>
  <c r="G47" i="45"/>
  <c r="G48" i="45"/>
  <c r="F48" i="45"/>
  <c r="F47" i="45"/>
  <c r="F46" i="45"/>
  <c r="F45" i="45"/>
  <c r="F44" i="45"/>
  <c r="F43" i="45"/>
  <c r="F42" i="45"/>
  <c r="F41" i="45"/>
  <c r="F40" i="45"/>
  <c r="F39" i="45"/>
  <c r="C48" i="45"/>
  <c r="B48" i="45"/>
  <c r="C47" i="45"/>
  <c r="B47" i="45"/>
  <c r="B46" i="45"/>
  <c r="C45" i="45"/>
  <c r="B45" i="45"/>
  <c r="C44" i="45"/>
  <c r="C43" i="45"/>
  <c r="B44" i="45"/>
  <c r="B43" i="45"/>
  <c r="C42" i="45"/>
  <c r="B42" i="45"/>
  <c r="C41" i="45"/>
  <c r="B41" i="45"/>
  <c r="C40" i="45"/>
  <c r="B40" i="45"/>
  <c r="B21" i="45"/>
  <c r="C39" i="45"/>
  <c r="B39" i="45"/>
  <c r="G37" i="45"/>
  <c r="F37" i="45"/>
  <c r="C37" i="45"/>
  <c r="B37" i="45"/>
  <c r="O111" i="56"/>
  <c r="O108" i="56"/>
  <c r="O90" i="56"/>
  <c r="O78" i="56"/>
  <c r="O48" i="56"/>
  <c r="G33" i="45"/>
  <c r="F33" i="45"/>
  <c r="C33" i="45"/>
  <c r="B33" i="45"/>
  <c r="G23" i="45"/>
  <c r="F23" i="45"/>
  <c r="C23" i="45"/>
  <c r="B23" i="45"/>
  <c r="G17" i="45"/>
  <c r="F17" i="45"/>
  <c r="C17" i="45"/>
  <c r="B17" i="45"/>
  <c r="O123" i="24"/>
  <c r="H44" i="45" s="1"/>
  <c r="O120" i="24"/>
  <c r="H43" i="45" s="1"/>
  <c r="O108" i="24"/>
  <c r="H39" i="45" s="1"/>
  <c r="O102" i="24"/>
  <c r="H37" i="45" s="1"/>
  <c r="O90" i="24"/>
  <c r="H33" i="45" s="1"/>
  <c r="O60" i="24"/>
  <c r="H23" i="45" s="1"/>
  <c r="O42" i="24"/>
  <c r="H17" i="45" s="1"/>
  <c r="L42" i="24"/>
  <c r="H35" i="77"/>
  <c r="H32" i="77"/>
  <c r="F35" i="77"/>
  <c r="F32" i="77"/>
  <c r="D35" i="77"/>
  <c r="D32" i="77"/>
  <c r="C35" i="77"/>
  <c r="C32" i="77"/>
  <c r="A35" i="77"/>
  <c r="A32" i="77"/>
  <c r="H29" i="77"/>
  <c r="G29" i="77"/>
  <c r="F29" i="77"/>
  <c r="D29" i="77"/>
  <c r="C29" i="77"/>
  <c r="A29" i="77"/>
  <c r="H26" i="77"/>
  <c r="G26" i="77"/>
  <c r="F26" i="77"/>
  <c r="D26" i="77"/>
  <c r="A26" i="77"/>
  <c r="C26" i="77"/>
  <c r="A23" i="77"/>
  <c r="A20" i="77"/>
  <c r="D17" i="77"/>
  <c r="A17" i="77"/>
  <c r="A14" i="77"/>
  <c r="H23" i="77"/>
  <c r="F23" i="77"/>
  <c r="D23" i="77"/>
  <c r="C23" i="77"/>
  <c r="H20" i="77"/>
  <c r="G20" i="77"/>
  <c r="F20" i="77"/>
  <c r="D20" i="77"/>
  <c r="C20" i="77"/>
  <c r="H14" i="77"/>
  <c r="D14" i="77"/>
  <c r="H17" i="77"/>
  <c r="C14" i="77"/>
  <c r="N19" i="77"/>
  <c r="M19" i="77"/>
  <c r="L19" i="77"/>
  <c r="K19" i="77"/>
  <c r="N18" i="77"/>
  <c r="M18" i="77"/>
  <c r="L18" i="77"/>
  <c r="K18" i="77"/>
  <c r="M17" i="77"/>
  <c r="L17" i="77"/>
  <c r="K17" i="77"/>
  <c r="N8" i="77"/>
  <c r="C8" i="77"/>
  <c r="A2" i="77"/>
  <c r="P88" i="56" l="1"/>
  <c r="M102" i="24" s="1"/>
  <c r="N102" i="24" s="1"/>
  <c r="E37" i="45" s="1"/>
  <c r="L102" i="24"/>
  <c r="D33" i="45"/>
  <c r="L90" i="24"/>
  <c r="D23" i="45"/>
  <c r="L60" i="24"/>
  <c r="D44" i="45"/>
  <c r="P109" i="56"/>
  <c r="M123" i="24" s="1"/>
  <c r="N123" i="24" s="1"/>
  <c r="E44" i="45" s="1"/>
  <c r="P106" i="56"/>
  <c r="M120" i="24" s="1"/>
  <c r="D43" i="45"/>
  <c r="L123" i="24"/>
  <c r="L120" i="24"/>
  <c r="R19" i="77"/>
  <c r="R16" i="77"/>
  <c r="R18" i="77"/>
  <c r="R17" i="77"/>
  <c r="N17" i="59"/>
  <c r="N18" i="59"/>
  <c r="N19" i="59"/>
  <c r="P76" i="56"/>
  <c r="D37" i="45"/>
  <c r="R15" i="77"/>
  <c r="N108" i="24"/>
  <c r="E39" i="45" s="1"/>
  <c r="P46" i="56"/>
  <c r="P28" i="56"/>
  <c r="M42" i="24" l="1"/>
  <c r="N42" i="24" s="1"/>
  <c r="E17" i="45" s="1"/>
  <c r="M90" i="24"/>
  <c r="N90" i="24" s="1"/>
  <c r="E33" i="45" s="1"/>
  <c r="M60" i="24"/>
  <c r="N60" i="24" s="1"/>
  <c r="E23" i="45" l="1"/>
  <c r="V1" i="63"/>
  <c r="U1" i="63"/>
  <c r="T1" i="63"/>
  <c r="R1" i="63"/>
  <c r="M1" i="63" l="1"/>
  <c r="C5" i="61" l="1"/>
  <c r="D5" i="61"/>
  <c r="E5" i="61"/>
  <c r="F5" i="61"/>
  <c r="G5" i="61"/>
  <c r="H5" i="61"/>
  <c r="I5" i="61"/>
  <c r="J5" i="61"/>
  <c r="B5" i="61"/>
  <c r="S13" i="70" l="1"/>
  <c r="C27" i="47"/>
  <c r="C26" i="47"/>
  <c r="K37" i="54"/>
  <c r="K5" i="61" s="1"/>
  <c r="P21" i="70"/>
  <c r="P15" i="70"/>
  <c r="P12" i="70"/>
  <c r="P36" i="70"/>
  <c r="B16" i="71" l="1"/>
  <c r="M27" i="73"/>
  <c r="M51" i="73"/>
  <c r="M36" i="73"/>
  <c r="N36" i="73" s="1"/>
  <c r="E16" i="71" s="1"/>
  <c r="M30" i="73"/>
  <c r="N30" i="73" s="1"/>
  <c r="E14" i="71" s="1"/>
  <c r="O51" i="73"/>
  <c r="H21" i="71" s="1"/>
  <c r="O48" i="73"/>
  <c r="H20" i="71" s="1"/>
  <c r="O45" i="73"/>
  <c r="H19" i="71" s="1"/>
  <c r="O42" i="73"/>
  <c r="H18" i="71" s="1"/>
  <c r="O39" i="73"/>
  <c r="H17" i="71" s="1"/>
  <c r="O36" i="73"/>
  <c r="H16" i="71" s="1"/>
  <c r="O33" i="73"/>
  <c r="H15" i="71" s="1"/>
  <c r="O30" i="73"/>
  <c r="H14" i="71" s="1"/>
  <c r="O27" i="73"/>
  <c r="H13" i="71" s="1"/>
  <c r="L51" i="73"/>
  <c r="L36" i="73"/>
  <c r="L30" i="73"/>
  <c r="L27" i="73"/>
  <c r="G21" i="71"/>
  <c r="G20" i="71"/>
  <c r="G19" i="71"/>
  <c r="G18" i="71"/>
  <c r="G17" i="71"/>
  <c r="G16" i="71"/>
  <c r="G15" i="71"/>
  <c r="G14" i="71"/>
  <c r="G13" i="71"/>
  <c r="F21" i="71"/>
  <c r="F20" i="71"/>
  <c r="F19" i="71"/>
  <c r="F18" i="71"/>
  <c r="F17" i="71"/>
  <c r="F16" i="71"/>
  <c r="F15" i="71"/>
  <c r="F14" i="71"/>
  <c r="F13" i="71"/>
  <c r="B21" i="71"/>
  <c r="B20" i="71"/>
  <c r="B19" i="71"/>
  <c r="B18" i="71"/>
  <c r="B17" i="71"/>
  <c r="B14" i="71"/>
  <c r="B13" i="71"/>
  <c r="A9" i="75" l="1"/>
  <c r="M9" i="75" s="1"/>
  <c r="A5" i="75"/>
  <c r="G5" i="75" s="1"/>
  <c r="A3" i="75"/>
  <c r="G3" i="75" s="1"/>
  <c r="A2" i="75"/>
  <c r="H2" i="75" s="1"/>
  <c r="N51" i="73"/>
  <c r="E21" i="71" s="1"/>
  <c r="N27" i="73"/>
  <c r="E13" i="71" s="1"/>
  <c r="I2" i="75" l="1"/>
  <c r="E2" i="75"/>
  <c r="I9" i="75"/>
  <c r="F9" i="75"/>
  <c r="E9" i="75"/>
  <c r="G9" i="75"/>
  <c r="K9" i="75"/>
  <c r="C9" i="75"/>
  <c r="J9" i="75"/>
  <c r="D9" i="75"/>
  <c r="L9" i="75"/>
  <c r="H9" i="75"/>
  <c r="E5" i="75"/>
  <c r="K5" i="75"/>
  <c r="L5" i="75"/>
  <c r="C5" i="75"/>
  <c r="F5" i="75"/>
  <c r="D5" i="75"/>
  <c r="M5" i="75"/>
  <c r="I5" i="75"/>
  <c r="J5" i="75"/>
  <c r="H5" i="75"/>
  <c r="D2" i="75"/>
  <c r="L2" i="75"/>
  <c r="M3" i="75"/>
  <c r="E3" i="75"/>
  <c r="I3" i="75"/>
  <c r="J3" i="75"/>
  <c r="F3" i="75"/>
  <c r="L3" i="75"/>
  <c r="C3" i="75"/>
  <c r="K3" i="75"/>
  <c r="D3" i="75"/>
  <c r="H3" i="75"/>
  <c r="G2" i="75"/>
  <c r="F2" i="75"/>
  <c r="M2" i="75"/>
  <c r="C2" i="75"/>
  <c r="J2" i="75"/>
  <c r="K2" i="75"/>
  <c r="B3" i="71" l="1"/>
  <c r="B4" i="71" l="1"/>
  <c r="K8" i="70" s="1"/>
  <c r="C8" i="76"/>
  <c r="J8" i="76" l="1"/>
  <c r="D8" i="70"/>
  <c r="O18" i="70"/>
  <c r="P18" i="70" s="1"/>
  <c r="O28" i="70"/>
  <c r="C18" i="71" s="1"/>
  <c r="A2" i="70"/>
  <c r="B13" i="45"/>
  <c r="P16" i="56"/>
  <c r="M30" i="24" s="1"/>
  <c r="A4" i="75" l="1"/>
  <c r="O31" i="70"/>
  <c r="C19" i="71" s="1"/>
  <c r="O29" i="70"/>
  <c r="D18" i="71" s="1"/>
  <c r="O25" i="70"/>
  <c r="O34" i="70"/>
  <c r="L33" i="73"/>
  <c r="B15" i="71"/>
  <c r="T26" i="47"/>
  <c r="U26" i="47" s="1"/>
  <c r="N26" i="47"/>
  <c r="R26" i="47" s="1"/>
  <c r="G13" i="45"/>
  <c r="F13" i="45"/>
  <c r="O132" i="24"/>
  <c r="H47" i="45" s="1"/>
  <c r="O129" i="24"/>
  <c r="H46" i="45" s="1"/>
  <c r="O126" i="24"/>
  <c r="H45" i="45" s="1"/>
  <c r="O135" i="24"/>
  <c r="H48" i="45" s="1"/>
  <c r="J4" i="75" l="1"/>
  <c r="G4" i="75"/>
  <c r="E4" i="75"/>
  <c r="I4" i="75"/>
  <c r="L4" i="75"/>
  <c r="K4" i="75"/>
  <c r="C4" i="75"/>
  <c r="M4" i="75"/>
  <c r="H4" i="75"/>
  <c r="F4" i="75"/>
  <c r="D4" i="75"/>
  <c r="O32" i="70"/>
  <c r="L42" i="73"/>
  <c r="P27" i="70"/>
  <c r="C17" i="71"/>
  <c r="O26" i="70"/>
  <c r="D17" i="71" s="1"/>
  <c r="C20" i="71"/>
  <c r="O35" i="70"/>
  <c r="M33" i="73"/>
  <c r="N33" i="73" s="1"/>
  <c r="E15" i="71" s="1"/>
  <c r="O120" i="56"/>
  <c r="D47" i="45" s="1"/>
  <c r="O30" i="24"/>
  <c r="L30" i="24"/>
  <c r="L45" i="73" l="1"/>
  <c r="P30" i="70"/>
  <c r="M45" i="73" s="1"/>
  <c r="P118" i="56"/>
  <c r="M42" i="73"/>
  <c r="N42" i="73" s="1"/>
  <c r="E18" i="71" s="1"/>
  <c r="A7" i="75"/>
  <c r="D19" i="71"/>
  <c r="P24" i="70"/>
  <c r="A6" i="75" s="1"/>
  <c r="L39" i="73"/>
  <c r="P33" i="70"/>
  <c r="L48" i="73"/>
  <c r="D20" i="71"/>
  <c r="H13" i="45"/>
  <c r="N30" i="24"/>
  <c r="A3" i="68"/>
  <c r="L132" i="24"/>
  <c r="K1" i="63"/>
  <c r="M132" i="24" l="1"/>
  <c r="N132" i="24" s="1"/>
  <c r="E47" i="45" s="1"/>
  <c r="A29" i="68"/>
  <c r="G29" i="68" s="1"/>
  <c r="M7" i="75"/>
  <c r="L7" i="75"/>
  <c r="E7" i="75"/>
  <c r="I7" i="75"/>
  <c r="F7" i="75"/>
  <c r="D7" i="75"/>
  <c r="J7" i="75"/>
  <c r="H7" i="75"/>
  <c r="C7" i="75"/>
  <c r="K7" i="75"/>
  <c r="G7" i="75"/>
  <c r="M48" i="73"/>
  <c r="N48" i="73" s="1"/>
  <c r="E20" i="71" s="1"/>
  <c r="A8" i="75"/>
  <c r="M6" i="75"/>
  <c r="F6" i="75"/>
  <c r="J6" i="75"/>
  <c r="G6" i="75"/>
  <c r="D6" i="75"/>
  <c r="E6" i="75"/>
  <c r="L6" i="75"/>
  <c r="K6" i="75"/>
  <c r="C6" i="75"/>
  <c r="H6" i="75"/>
  <c r="I6" i="75"/>
  <c r="N45" i="73"/>
  <c r="E19" i="71" s="1"/>
  <c r="M39" i="73"/>
  <c r="N39" i="73" s="1"/>
  <c r="E17" i="71" s="1"/>
  <c r="F6" i="73"/>
  <c r="D6" i="73"/>
  <c r="E6" i="73"/>
  <c r="H6" i="73"/>
  <c r="H9" i="73" s="1"/>
  <c r="G6" i="73"/>
  <c r="G9" i="73" s="1"/>
  <c r="C6" i="73"/>
  <c r="E13" i="45"/>
  <c r="C3" i="68"/>
  <c r="G3" i="68"/>
  <c r="H3" i="68"/>
  <c r="K3" i="68"/>
  <c r="L3" i="68"/>
  <c r="M3" i="68"/>
  <c r="E3" i="68"/>
  <c r="D3" i="68"/>
  <c r="J3" i="68"/>
  <c r="F3" i="68"/>
  <c r="I3" i="68"/>
  <c r="D29" i="68" l="1"/>
  <c r="J29" i="68"/>
  <c r="I29" i="68"/>
  <c r="M29" i="68"/>
  <c r="F29" i="68"/>
  <c r="K29" i="68"/>
  <c r="C29" i="68"/>
  <c r="E44" i="70"/>
  <c r="H29" i="68"/>
  <c r="L29" i="68"/>
  <c r="E29" i="68"/>
  <c r="M8" i="75"/>
  <c r="J8" i="75"/>
  <c r="C8" i="75"/>
  <c r="F8" i="75"/>
  <c r="H8" i="75"/>
  <c r="E8" i="75"/>
  <c r="L8" i="75"/>
  <c r="K8" i="75"/>
  <c r="D8" i="75"/>
  <c r="G8" i="75"/>
  <c r="I8" i="75"/>
  <c r="E9" i="73"/>
  <c r="E7" i="73"/>
  <c r="E10" i="73"/>
  <c r="D7" i="73"/>
  <c r="D10" i="73"/>
  <c r="I6" i="73"/>
  <c r="C9" i="73"/>
  <c r="E11" i="73"/>
  <c r="D9" i="73"/>
  <c r="K9" i="73" s="1"/>
  <c r="K6" i="73"/>
  <c r="F9" i="73"/>
  <c r="G7" i="73"/>
  <c r="G8" i="73" s="1"/>
  <c r="G10" i="73"/>
  <c r="O93" i="56"/>
  <c r="D38" i="45" s="1"/>
  <c r="O99" i="56"/>
  <c r="D40" i="45" s="1"/>
  <c r="O102" i="56"/>
  <c r="W6" i="75" a="1"/>
  <c r="V4" i="75" a="1"/>
  <c r="V9" i="75" a="1"/>
  <c r="U8" i="75" a="1"/>
  <c r="V6" i="75" a="1"/>
  <c r="Q6" i="75" a="1"/>
  <c r="R9" i="75" a="1"/>
  <c r="X6" i="75" a="1"/>
  <c r="Y5" i="75" a="1"/>
  <c r="Q2" i="75" a="1"/>
  <c r="W3" i="75" a="1"/>
  <c r="Q5" i="75" a="1"/>
  <c r="S5" i="75" a="1"/>
  <c r="W7" i="75" a="1"/>
  <c r="O7" i="75" a="1"/>
  <c r="T2" i="75" a="1"/>
  <c r="O3" i="75" a="1"/>
  <c r="Q7" i="75" a="1"/>
  <c r="Q4" i="75" a="1"/>
  <c r="V7" i="75" a="1"/>
  <c r="P9" i="75" a="1"/>
  <c r="P100" i="56" l="1"/>
  <c r="M114" i="24" s="1"/>
  <c r="D41" i="45"/>
  <c r="N120" i="24"/>
  <c r="E43" i="45" s="1"/>
  <c r="F44" i="70"/>
  <c r="F41" i="70"/>
  <c r="F43" i="70"/>
  <c r="E42" i="70"/>
  <c r="E45" i="70"/>
  <c r="E41" i="70"/>
  <c r="V9" i="75"/>
  <c r="H21" i="76" s="1"/>
  <c r="V7" i="75"/>
  <c r="H19" i="76" s="1"/>
  <c r="V6" i="75"/>
  <c r="H18" i="76" s="1"/>
  <c r="V4" i="75"/>
  <c r="H16" i="76" s="1"/>
  <c r="Q7" i="75"/>
  <c r="C19" i="76" s="1"/>
  <c r="Q5" i="75"/>
  <c r="C17" i="76" s="1"/>
  <c r="Q2" i="75"/>
  <c r="C14" i="76" s="1"/>
  <c r="Q6" i="75"/>
  <c r="C18" i="76" s="1"/>
  <c r="Q4" i="75"/>
  <c r="C16" i="76" s="1"/>
  <c r="Y5" i="75"/>
  <c r="K17" i="76" s="1"/>
  <c r="U8" i="75"/>
  <c r="G20" i="76" s="1"/>
  <c r="X6" i="75"/>
  <c r="J18" i="76" s="1"/>
  <c r="T2" i="75"/>
  <c r="F14" i="76" s="1"/>
  <c r="W7" i="75"/>
  <c r="I19" i="76" s="1"/>
  <c r="W6" i="75"/>
  <c r="I18" i="76" s="1"/>
  <c r="W3" i="75"/>
  <c r="I15" i="76" s="1"/>
  <c r="O3" i="75"/>
  <c r="A15" i="76" s="1"/>
  <c r="O7" i="75"/>
  <c r="A19" i="76" s="1"/>
  <c r="P9" i="75"/>
  <c r="B21" i="76" s="1"/>
  <c r="R9" i="75"/>
  <c r="D21" i="76" s="1"/>
  <c r="S5" i="75"/>
  <c r="E17" i="76" s="1"/>
  <c r="G11" i="73"/>
  <c r="I11" i="73" s="1"/>
  <c r="E8" i="73"/>
  <c r="I8" i="73" s="1"/>
  <c r="I7" i="73"/>
  <c r="I9" i="73"/>
  <c r="I10" i="73"/>
  <c r="P97" i="56"/>
  <c r="M111" i="24" s="1"/>
  <c r="P91" i="56"/>
  <c r="M105" i="24" s="1"/>
  <c r="O105" i="56"/>
  <c r="D42" i="45" s="1"/>
  <c r="R3" i="75" a="1"/>
  <c r="Y2" i="75" a="1"/>
  <c r="P2" i="75" a="1"/>
  <c r="T4" i="75" a="1"/>
  <c r="O4" i="75" a="1"/>
  <c r="W5" i="75" a="1"/>
  <c r="T8" i="75" a="1"/>
  <c r="W9" i="75" a="1"/>
  <c r="R2" i="75" a="1"/>
  <c r="T5" i="75" a="1"/>
  <c r="S7" i="75" a="1"/>
  <c r="P5" i="75" a="1"/>
  <c r="P4" i="75" a="1"/>
  <c r="T6" i="75" a="1"/>
  <c r="O6" i="75" a="1"/>
  <c r="S4" i="75" a="1"/>
  <c r="Q8" i="75" a="1"/>
  <c r="U4" i="75" a="1"/>
  <c r="T9" i="75" a="1"/>
  <c r="S3" i="75" a="1"/>
  <c r="X9" i="75" a="1"/>
  <c r="V8" i="75" a="1"/>
  <c r="P3" i="75" a="1"/>
  <c r="V3" i="75" a="1"/>
  <c r="T7" i="75" a="1"/>
  <c r="U3" i="75" a="1"/>
  <c r="Y3" i="75" a="1"/>
  <c r="Y6" i="75" a="1"/>
  <c r="O5" i="75" a="1"/>
  <c r="Y7" i="75" a="1"/>
  <c r="X2" i="75" a="1"/>
  <c r="V5" i="75" a="1"/>
  <c r="U9" i="75" a="1"/>
  <c r="R6" i="75" a="1"/>
  <c r="Y8" i="75" a="1"/>
  <c r="P6" i="75" a="1"/>
  <c r="R4" i="75" a="1"/>
  <c r="X7" i="75" a="1"/>
  <c r="U7" i="75" a="1"/>
  <c r="Q9" i="75" a="1"/>
  <c r="Y4" i="75" a="1"/>
  <c r="S2" i="75" a="1"/>
  <c r="S9" i="75" a="1"/>
  <c r="P8" i="75" a="1"/>
  <c r="U5" i="75" a="1"/>
  <c r="R8" i="75" a="1"/>
  <c r="W2" i="75" a="1"/>
  <c r="X4" i="75" a="1"/>
  <c r="X3" i="75" a="1"/>
  <c r="X8" i="75" a="1"/>
  <c r="T3" i="75" a="1"/>
  <c r="P7" i="75" a="1"/>
  <c r="O8" i="75" a="1"/>
  <c r="O9" i="75" a="1"/>
  <c r="X5" i="75" a="1"/>
  <c r="Y9" i="75" a="1"/>
  <c r="S6" i="75" a="1"/>
  <c r="W4" i="75" a="1"/>
  <c r="V2" i="75" a="1"/>
  <c r="O2" i="75" a="1"/>
  <c r="W8" i="75" a="1"/>
  <c r="R7" i="75" a="1"/>
  <c r="U6" i="75" a="1"/>
  <c r="R5" i="75" a="1"/>
  <c r="S8" i="75" a="1"/>
  <c r="U2" i="75" a="1"/>
  <c r="Q3" i="75" a="1"/>
  <c r="W5" i="75" l="1"/>
  <c r="I17" i="76" s="1"/>
  <c r="W2" i="75"/>
  <c r="I14" i="76" s="1"/>
  <c r="P103" i="56"/>
  <c r="M117" i="24" s="1"/>
  <c r="S3" i="75"/>
  <c r="E15" i="76" s="1"/>
  <c r="S9" i="75"/>
  <c r="E21" i="76" s="1"/>
  <c r="S4" i="75"/>
  <c r="E16" i="76" s="1"/>
  <c r="X4" i="75"/>
  <c r="J16" i="76" s="1"/>
  <c r="R4" i="75"/>
  <c r="D16" i="76" s="1"/>
  <c r="V5" i="75"/>
  <c r="H17" i="76" s="1"/>
  <c r="O5" i="75"/>
  <c r="A17" i="76" s="1"/>
  <c r="V8" i="75"/>
  <c r="H20" i="76" s="1"/>
  <c r="S6" i="75"/>
  <c r="E18" i="76" s="1"/>
  <c r="Q8" i="75"/>
  <c r="C20" i="76" s="1"/>
  <c r="O8" i="75"/>
  <c r="A20" i="76" s="1"/>
  <c r="R8" i="75"/>
  <c r="D20" i="76" s="1"/>
  <c r="O2" i="75"/>
  <c r="A14" i="76" s="1"/>
  <c r="R7" i="75"/>
  <c r="D19" i="76" s="1"/>
  <c r="R5" i="75"/>
  <c r="D17" i="76" s="1"/>
  <c r="V3" i="75"/>
  <c r="H15" i="76" s="1"/>
  <c r="V2" i="75"/>
  <c r="H14" i="76" s="1"/>
  <c r="R2" i="75"/>
  <c r="D14" i="76" s="1"/>
  <c r="Q9" i="75"/>
  <c r="C21" i="76" s="1"/>
  <c r="S7" i="75"/>
  <c r="E19" i="76" s="1"/>
  <c r="S8" i="75"/>
  <c r="E20" i="76" s="1"/>
  <c r="Q3" i="75"/>
  <c r="C15" i="76" s="1"/>
  <c r="R3" i="75"/>
  <c r="D15" i="76" s="1"/>
  <c r="S2" i="75"/>
  <c r="E14" i="76" s="1"/>
  <c r="W9" i="75"/>
  <c r="I21" i="76" s="1"/>
  <c r="G43" i="70"/>
  <c r="X7" i="75"/>
  <c r="J19" i="76" s="1"/>
  <c r="U2" i="75"/>
  <c r="G14" i="76" s="1"/>
  <c r="T9" i="75"/>
  <c r="F21" i="76" s="1"/>
  <c r="T5" i="75"/>
  <c r="F17" i="76" s="1"/>
  <c r="P6" i="75"/>
  <c r="B18" i="76" s="1"/>
  <c r="U3" i="75"/>
  <c r="G15" i="76" s="1"/>
  <c r="Y8" i="75"/>
  <c r="K20" i="76" s="1"/>
  <c r="P8" i="75"/>
  <c r="B20" i="76" s="1"/>
  <c r="T3" i="75"/>
  <c r="F15" i="76" s="1"/>
  <c r="X9" i="75"/>
  <c r="J21" i="76" s="1"/>
  <c r="U6" i="75"/>
  <c r="G18" i="76" s="1"/>
  <c r="X2" i="75"/>
  <c r="J14" i="76" s="1"/>
  <c r="P3" i="75"/>
  <c r="B15" i="76" s="1"/>
  <c r="U7" i="75"/>
  <c r="G19" i="76" s="1"/>
  <c r="X3" i="75"/>
  <c r="J15" i="76" s="1"/>
  <c r="O6" i="75"/>
  <c r="A18" i="76" s="1"/>
  <c r="P4" i="75"/>
  <c r="B16" i="76" s="1"/>
  <c r="O4" i="75"/>
  <c r="A16" i="76" s="1"/>
  <c r="W8" i="75"/>
  <c r="I20" i="76" s="1"/>
  <c r="U5" i="75"/>
  <c r="G17" i="76" s="1"/>
  <c r="W4" i="75"/>
  <c r="I16" i="76" s="1"/>
  <c r="P7" i="75"/>
  <c r="B19" i="76" s="1"/>
  <c r="X5" i="75"/>
  <c r="J17" i="76" s="1"/>
  <c r="U4" i="75"/>
  <c r="G16" i="76" s="1"/>
  <c r="T4" i="75"/>
  <c r="F16" i="76" s="1"/>
  <c r="Y9" i="75"/>
  <c r="K21" i="76" s="1"/>
  <c r="O9" i="75"/>
  <c r="A21" i="76" s="1"/>
  <c r="Y3" i="75"/>
  <c r="K15" i="76" s="1"/>
  <c r="P2" i="75"/>
  <c r="B14" i="76" s="1"/>
  <c r="T6" i="75"/>
  <c r="F18" i="76" s="1"/>
  <c r="X8" i="75"/>
  <c r="J20" i="76" s="1"/>
  <c r="Y4" i="75"/>
  <c r="K16" i="76" s="1"/>
  <c r="P5" i="75"/>
  <c r="B17" i="76" s="1"/>
  <c r="T7" i="75"/>
  <c r="F19" i="76" s="1"/>
  <c r="T8" i="75"/>
  <c r="F20" i="76" s="1"/>
  <c r="Y2" i="75"/>
  <c r="K14" i="76" s="1"/>
  <c r="R6" i="75"/>
  <c r="D18" i="76" s="1"/>
  <c r="U9" i="75"/>
  <c r="G21" i="76" s="1"/>
  <c r="Y7" i="75"/>
  <c r="K19" i="76" s="1"/>
  <c r="Y6" i="75"/>
  <c r="K18" i="76" s="1"/>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28" i="47"/>
  <c r="C7" i="63" s="1"/>
  <c r="B2" i="69" l="1"/>
  <c r="G38" i="45" l="1"/>
  <c r="F38" i="45"/>
  <c r="C38" i="45"/>
  <c r="B38" i="45"/>
  <c r="O111" i="24"/>
  <c r="H40" i="45" s="1"/>
  <c r="O114" i="24"/>
  <c r="H41" i="45" s="1"/>
  <c r="O117" i="24"/>
  <c r="H42" i="45" s="1"/>
  <c r="O99" i="24"/>
  <c r="O105" i="24"/>
  <c r="H38" i="45" s="1"/>
  <c r="O114" i="56"/>
  <c r="P112" i="56" l="1"/>
  <c r="M126" i="24" s="1"/>
  <c r="N126" i="24" s="1"/>
  <c r="E45" i="45" s="1"/>
  <c r="D45" i="45"/>
  <c r="N114" i="24"/>
  <c r="E41" i="45" s="1"/>
  <c r="A25" i="68"/>
  <c r="J25" i="68" s="1"/>
  <c r="N117" i="24"/>
  <c r="E42" i="45" s="1"/>
  <c r="A26" i="68"/>
  <c r="A24" i="68"/>
  <c r="J24" i="68" s="1"/>
  <c r="N111" i="24"/>
  <c r="E40" i="45" s="1"/>
  <c r="A23" i="68"/>
  <c r="J23" i="68" s="1"/>
  <c r="L126" i="24"/>
  <c r="L117" i="24"/>
  <c r="L114" i="24"/>
  <c r="L111" i="24"/>
  <c r="L105" i="24"/>
  <c r="A27" i="68" l="1"/>
  <c r="M27" i="68" s="1"/>
  <c r="J26" i="68"/>
  <c r="K26" i="68"/>
  <c r="F25" i="68"/>
  <c r="L25" i="68"/>
  <c r="K25" i="68"/>
  <c r="H25" i="68"/>
  <c r="D25" i="68"/>
  <c r="M25" i="68"/>
  <c r="G25" i="68"/>
  <c r="I25" i="68"/>
  <c r="C25" i="68"/>
  <c r="E25" i="68"/>
  <c r="C26" i="68"/>
  <c r="H26" i="68"/>
  <c r="D26" i="68"/>
  <c r="L26" i="68"/>
  <c r="E26" i="68"/>
  <c r="G26" i="68"/>
  <c r="F26" i="68"/>
  <c r="I26" i="68"/>
  <c r="M26" i="68"/>
  <c r="E24" i="68"/>
  <c r="C24" i="68"/>
  <c r="F24" i="68"/>
  <c r="L24" i="68"/>
  <c r="D24" i="68"/>
  <c r="G24" i="68"/>
  <c r="I24" i="68"/>
  <c r="H24" i="68"/>
  <c r="M24" i="68"/>
  <c r="K24" i="68"/>
  <c r="C23" i="68"/>
  <c r="I23" i="68"/>
  <c r="E23" i="68"/>
  <c r="D23" i="68"/>
  <c r="G23" i="68"/>
  <c r="L23" i="68"/>
  <c r="M23" i="68"/>
  <c r="K23" i="68"/>
  <c r="F23" i="68"/>
  <c r="H23" i="68"/>
  <c r="N105" i="24"/>
  <c r="E38" i="45" s="1"/>
  <c r="G27" i="68" l="1"/>
  <c r="L27" i="68"/>
  <c r="I27" i="68"/>
  <c r="J27" i="68"/>
  <c r="C27" i="68"/>
  <c r="D27" i="68"/>
  <c r="K27" i="68"/>
  <c r="E27" i="68"/>
  <c r="F27" i="68"/>
  <c r="H27" i="68"/>
  <c r="N29" i="47"/>
  <c r="M8" i="63" s="1"/>
  <c r="T29" i="47"/>
  <c r="R8" i="63" s="1"/>
  <c r="N27" i="47" l="1"/>
  <c r="M6" i="63" s="1"/>
  <c r="R79" i="47" l="1"/>
  <c r="R84" i="47" l="1"/>
  <c r="T27" i="47" l="1"/>
  <c r="R27" i="47"/>
  <c r="Q6" i="63" l="1"/>
  <c r="U27" i="47"/>
  <c r="S6" i="63" s="1"/>
  <c r="R6" i="63"/>
  <c r="K35" i="54"/>
  <c r="K34" i="54"/>
  <c r="D43" i="77" l="1"/>
  <c r="O59" i="56"/>
  <c r="O60" i="56" s="1"/>
  <c r="A2" i="47"/>
  <c r="A2" i="56" l="1"/>
  <c r="A2" i="59"/>
  <c r="K6" i="61" l="1"/>
  <c r="E4" i="61"/>
  <c r="F4" i="61"/>
  <c r="G4" i="61"/>
  <c r="H4" i="61"/>
  <c r="I4" i="61"/>
  <c r="J4" i="61"/>
  <c r="E3" i="61"/>
  <c r="F3" i="61"/>
  <c r="G3" i="61"/>
  <c r="H3" i="61"/>
  <c r="I3" i="61"/>
  <c r="J3" i="61"/>
  <c r="K4" i="61"/>
  <c r="K3" i="61"/>
  <c r="H33" i="54"/>
  <c r="I33" i="54"/>
  <c r="J33" i="54"/>
  <c r="C1" i="61"/>
  <c r="D1" i="61"/>
  <c r="E1" i="61"/>
  <c r="F1" i="61"/>
  <c r="G1" i="61"/>
  <c r="H1" i="61"/>
  <c r="I1" i="61"/>
  <c r="J1" i="61"/>
  <c r="K1" i="61"/>
  <c r="C6" i="62"/>
  <c r="O116" i="56" l="1"/>
  <c r="S110" i="56"/>
  <c r="S122" i="56"/>
  <c r="K29" i="47"/>
  <c r="K8" i="63" s="1"/>
  <c r="O123" i="56"/>
  <c r="H2" i="61"/>
  <c r="J29" i="47"/>
  <c r="J8" i="63" s="1"/>
  <c r="J2" i="61"/>
  <c r="L29" i="47"/>
  <c r="L8" i="63" s="1"/>
  <c r="I2" i="61"/>
  <c r="S92" i="56"/>
  <c r="O49" i="56"/>
  <c r="G33" i="54"/>
  <c r="F33" i="54"/>
  <c r="E33" i="54"/>
  <c r="D33" i="54"/>
  <c r="C33" i="54"/>
  <c r="B33" i="54"/>
  <c r="B4" i="61"/>
  <c r="C4" i="61"/>
  <c r="D4" i="61"/>
  <c r="O52" i="56"/>
  <c r="F25" i="45"/>
  <c r="G25" i="45"/>
  <c r="B3" i="61"/>
  <c r="C3" i="61"/>
  <c r="D3" i="61"/>
  <c r="B6" i="61"/>
  <c r="C6" i="61"/>
  <c r="D6" i="61"/>
  <c r="E6" i="61"/>
  <c r="F6" i="61"/>
  <c r="G6" i="61"/>
  <c r="H6" i="61"/>
  <c r="O66" i="24"/>
  <c r="H25" i="45" s="1"/>
  <c r="E9" i="64"/>
  <c r="D9" i="64"/>
  <c r="C9" i="64"/>
  <c r="E8" i="64"/>
  <c r="D8" i="64"/>
  <c r="C8" i="64"/>
  <c r="E7" i="64"/>
  <c r="D7" i="64"/>
  <c r="C7" i="64"/>
  <c r="B7" i="64"/>
  <c r="N27" i="59"/>
  <c r="G17" i="64" s="1"/>
  <c r="N26" i="59"/>
  <c r="G16" i="64" s="1"/>
  <c r="N25" i="59"/>
  <c r="G15" i="64" s="1"/>
  <c r="N24" i="59"/>
  <c r="N23" i="59"/>
  <c r="G13" i="64" s="1"/>
  <c r="N22" i="59"/>
  <c r="G12" i="64" s="1"/>
  <c r="G11" i="64"/>
  <c r="N20" i="59"/>
  <c r="G10" i="64" s="1"/>
  <c r="G6" i="64"/>
  <c r="G5" i="64"/>
  <c r="N14" i="59"/>
  <c r="T23" i="47"/>
  <c r="U23" i="47" s="1"/>
  <c r="S2" i="63" s="1"/>
  <c r="N23" i="47"/>
  <c r="C6" i="63"/>
  <c r="C25" i="47"/>
  <c r="C24" i="47"/>
  <c r="C23" i="47"/>
  <c r="O79" i="56"/>
  <c r="O73" i="56"/>
  <c r="O71" i="56"/>
  <c r="O68" i="56"/>
  <c r="O43" i="56"/>
  <c r="O40" i="56"/>
  <c r="O26" i="56"/>
  <c r="B2" i="64"/>
  <c r="B3" i="64"/>
  <c r="C3" i="64"/>
  <c r="D3" i="64"/>
  <c r="E3" i="64"/>
  <c r="F3" i="64"/>
  <c r="A4" i="64"/>
  <c r="B4" i="64"/>
  <c r="C4" i="64"/>
  <c r="D4" i="64"/>
  <c r="E4" i="64"/>
  <c r="F4" i="64"/>
  <c r="B5" i="64"/>
  <c r="C5" i="64"/>
  <c r="D5" i="64"/>
  <c r="E5" i="64"/>
  <c r="F5" i="64"/>
  <c r="H5" i="64"/>
  <c r="B6" i="64"/>
  <c r="C6" i="64"/>
  <c r="D6" i="64"/>
  <c r="E6" i="64"/>
  <c r="F6" i="64"/>
  <c r="H6" i="64"/>
  <c r="A7" i="64"/>
  <c r="F7" i="64"/>
  <c r="F8" i="64"/>
  <c r="H8" i="64"/>
  <c r="F9" i="64"/>
  <c r="H9" i="64"/>
  <c r="A10" i="64"/>
  <c r="B10" i="64"/>
  <c r="C10" i="64"/>
  <c r="D10" i="64"/>
  <c r="E10" i="64"/>
  <c r="F10" i="64"/>
  <c r="B11" i="64"/>
  <c r="C11" i="64"/>
  <c r="D11" i="64"/>
  <c r="E11" i="64"/>
  <c r="F11" i="64"/>
  <c r="H11" i="64"/>
  <c r="B12" i="64"/>
  <c r="C12" i="64"/>
  <c r="D12" i="64"/>
  <c r="E12" i="64"/>
  <c r="F12" i="64"/>
  <c r="H12" i="64"/>
  <c r="B13" i="64"/>
  <c r="C13" i="64"/>
  <c r="D13" i="64"/>
  <c r="E13" i="64"/>
  <c r="F13" i="64"/>
  <c r="H13" i="64"/>
  <c r="A14" i="64"/>
  <c r="B14" i="64"/>
  <c r="C14" i="64"/>
  <c r="D14" i="64"/>
  <c r="E14" i="64"/>
  <c r="F14" i="64"/>
  <c r="B15" i="64"/>
  <c r="C15" i="64"/>
  <c r="D15" i="64"/>
  <c r="E15" i="64"/>
  <c r="F15" i="64"/>
  <c r="H15" i="64"/>
  <c r="B16" i="64"/>
  <c r="C16" i="64"/>
  <c r="D16" i="64"/>
  <c r="E16" i="64"/>
  <c r="F16" i="64"/>
  <c r="H16" i="64"/>
  <c r="B17" i="64"/>
  <c r="C17" i="64"/>
  <c r="D17" i="64"/>
  <c r="E17" i="64"/>
  <c r="F17" i="64"/>
  <c r="H17" i="64"/>
  <c r="B1" i="61"/>
  <c r="A116" i="53"/>
  <c r="C116" i="53" s="1"/>
  <c r="B11" i="54" s="1"/>
  <c r="B2" i="45"/>
  <c r="B3" i="45"/>
  <c r="F12" i="45"/>
  <c r="G12" i="45"/>
  <c r="B14" i="45"/>
  <c r="F14" i="45"/>
  <c r="G14" i="45"/>
  <c r="B15" i="45"/>
  <c r="C15" i="45"/>
  <c r="F15" i="45"/>
  <c r="G15" i="45"/>
  <c r="B16" i="45"/>
  <c r="F16" i="45"/>
  <c r="G16" i="45"/>
  <c r="B18" i="45"/>
  <c r="F18" i="45"/>
  <c r="G18" i="45"/>
  <c r="B19" i="45"/>
  <c r="F19" i="45"/>
  <c r="G19" i="45"/>
  <c r="B20" i="45"/>
  <c r="F20" i="45"/>
  <c r="G20" i="45"/>
  <c r="B22" i="45"/>
  <c r="F24" i="45"/>
  <c r="G24" i="45"/>
  <c r="B26" i="45"/>
  <c r="F26" i="45"/>
  <c r="G26" i="45"/>
  <c r="B27" i="45"/>
  <c r="F27" i="45"/>
  <c r="G27" i="45"/>
  <c r="B28" i="45"/>
  <c r="F28" i="45"/>
  <c r="G28" i="45"/>
  <c r="B29" i="45"/>
  <c r="F29" i="45"/>
  <c r="G29" i="45"/>
  <c r="B30" i="45"/>
  <c r="F30" i="45"/>
  <c r="G30" i="45"/>
  <c r="B31" i="45"/>
  <c r="F31" i="45"/>
  <c r="G31" i="45"/>
  <c r="B32" i="45"/>
  <c r="B34" i="45"/>
  <c r="B35" i="45"/>
  <c r="C35" i="45"/>
  <c r="F35" i="45"/>
  <c r="G35" i="45"/>
  <c r="B36" i="45"/>
  <c r="C36" i="45"/>
  <c r="F36" i="45"/>
  <c r="G36" i="45"/>
  <c r="C8" i="49"/>
  <c r="F8" i="49"/>
  <c r="A1" i="63"/>
  <c r="B1" i="63"/>
  <c r="C1" i="63"/>
  <c r="D1" i="63"/>
  <c r="E1" i="63"/>
  <c r="F1" i="63"/>
  <c r="G1" i="63"/>
  <c r="H1" i="63"/>
  <c r="I1" i="63"/>
  <c r="N1" i="63"/>
  <c r="O1" i="63"/>
  <c r="P1" i="63"/>
  <c r="Q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T25" i="47"/>
  <c r="R5" i="63"/>
  <c r="U31" i="47"/>
  <c r="B88" i="47"/>
  <c r="A89" i="47"/>
  <c r="C89" i="47"/>
  <c r="D89" i="47"/>
  <c r="H89" i="47"/>
  <c r="I89" i="47"/>
  <c r="L89" i="47"/>
  <c r="M89" i="47"/>
  <c r="N89" i="47"/>
  <c r="O89" i="47"/>
  <c r="P89" i="47"/>
  <c r="Q89" i="47"/>
  <c r="R89" i="47"/>
  <c r="S89" i="47"/>
  <c r="A90" i="47"/>
  <c r="C90" i="47"/>
  <c r="D90" i="47"/>
  <c r="H90" i="47"/>
  <c r="I90" i="47"/>
  <c r="L90" i="47"/>
  <c r="M90" i="47"/>
  <c r="N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S96" i="47"/>
  <c r="A97" i="47"/>
  <c r="C97" i="47"/>
  <c r="D97" i="47"/>
  <c r="H97" i="47"/>
  <c r="I97" i="47"/>
  <c r="L97" i="47"/>
  <c r="M97" i="47"/>
  <c r="N97" i="47"/>
  <c r="O97" i="47"/>
  <c r="P97" i="47"/>
  <c r="Q97" i="47"/>
  <c r="R97" i="47"/>
  <c r="S97" i="47"/>
  <c r="A98" i="47"/>
  <c r="C98" i="47"/>
  <c r="D98" i="47"/>
  <c r="H98" i="47"/>
  <c r="I98" i="47"/>
  <c r="L98" i="47"/>
  <c r="M98" i="47"/>
  <c r="N98" i="47"/>
  <c r="O98" i="47"/>
  <c r="P98" i="47"/>
  <c r="Q98" i="47"/>
  <c r="R98" i="47"/>
  <c r="S98" i="47"/>
  <c r="A99" i="47"/>
  <c r="C99" i="47"/>
  <c r="D99" i="47"/>
  <c r="H99" i="47"/>
  <c r="I99" i="47"/>
  <c r="L99" i="47"/>
  <c r="M99" i="47"/>
  <c r="N99" i="47"/>
  <c r="O99" i="47"/>
  <c r="P99" i="47"/>
  <c r="Q99" i="47"/>
  <c r="R99" i="47"/>
  <c r="S99" i="47"/>
  <c r="A100" i="47"/>
  <c r="C100" i="47"/>
  <c r="D100" i="47"/>
  <c r="H100" i="47"/>
  <c r="I100" i="47"/>
  <c r="L100" i="47"/>
  <c r="M100" i="47"/>
  <c r="N100" i="47"/>
  <c r="O100" i="47"/>
  <c r="P100" i="47"/>
  <c r="Q100" i="47"/>
  <c r="R100" i="47"/>
  <c r="S100" i="47"/>
  <c r="A101" i="47"/>
  <c r="C101" i="47"/>
  <c r="D101" i="47"/>
  <c r="H101" i="47"/>
  <c r="I101" i="47"/>
  <c r="L101" i="47"/>
  <c r="M101" i="47"/>
  <c r="N101" i="47"/>
  <c r="O101" i="47"/>
  <c r="P101" i="47"/>
  <c r="Q101" i="47"/>
  <c r="R101" i="47"/>
  <c r="A102" i="47"/>
  <c r="C102" i="47"/>
  <c r="D102" i="47"/>
  <c r="H102" i="47"/>
  <c r="I102" i="47"/>
  <c r="L102" i="47"/>
  <c r="M102" i="47"/>
  <c r="N102" i="47"/>
  <c r="O102" i="47"/>
  <c r="P102" i="47"/>
  <c r="Q102" i="47"/>
  <c r="R102" i="47"/>
  <c r="S102" i="47"/>
  <c r="A103" i="47"/>
  <c r="C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A115" i="47"/>
  <c r="D115" i="47"/>
  <c r="H115" i="47"/>
  <c r="I115" i="47"/>
  <c r="L115" i="47"/>
  <c r="M115" i="47"/>
  <c r="N115" i="47"/>
  <c r="O115" i="47"/>
  <c r="P115" i="47"/>
  <c r="Q115" i="47"/>
  <c r="S115" i="47"/>
  <c r="A116" i="47"/>
  <c r="D116" i="47"/>
  <c r="H116" i="47"/>
  <c r="I116" i="47"/>
  <c r="L116" i="47"/>
  <c r="M116" i="47"/>
  <c r="N116" i="47"/>
  <c r="O116" i="47"/>
  <c r="P116" i="47"/>
  <c r="Q116" i="47"/>
  <c r="S116" i="47"/>
  <c r="A117" i="47"/>
  <c r="D117" i="47"/>
  <c r="H117" i="47"/>
  <c r="I117" i="47"/>
  <c r="L117" i="47"/>
  <c r="M117" i="47"/>
  <c r="N117" i="47"/>
  <c r="O117" i="47"/>
  <c r="P117" i="47"/>
  <c r="Q117" i="47"/>
  <c r="S117" i="47"/>
  <c r="A118" i="47"/>
  <c r="D118" i="47"/>
  <c r="H118" i="47"/>
  <c r="I118" i="47"/>
  <c r="L118" i="47"/>
  <c r="M118" i="47"/>
  <c r="N118" i="47"/>
  <c r="O118" i="47"/>
  <c r="P118" i="47"/>
  <c r="Q118" i="47"/>
  <c r="S118" i="47"/>
  <c r="A119" i="47"/>
  <c r="D119" i="47"/>
  <c r="H119" i="47"/>
  <c r="I119" i="47"/>
  <c r="L119" i="47"/>
  <c r="M119" i="47"/>
  <c r="N119" i="47"/>
  <c r="O119" i="47"/>
  <c r="P119" i="47"/>
  <c r="Q119" i="47"/>
  <c r="S119" i="47"/>
  <c r="C8" i="44"/>
  <c r="J8" i="44"/>
  <c r="O27" i="24"/>
  <c r="O33" i="24"/>
  <c r="O36" i="24"/>
  <c r="O39" i="24"/>
  <c r="O45" i="24"/>
  <c r="O48" i="24"/>
  <c r="O51" i="24"/>
  <c r="L54" i="24"/>
  <c r="L57" i="24"/>
  <c r="O63" i="24"/>
  <c r="H24" i="45" s="1"/>
  <c r="O69" i="24"/>
  <c r="H26" i="45" s="1"/>
  <c r="O72" i="24"/>
  <c r="H27" i="45" s="1"/>
  <c r="O75" i="24"/>
  <c r="H28" i="45" s="1"/>
  <c r="O78" i="24"/>
  <c r="H29" i="45" s="1"/>
  <c r="O81" i="24"/>
  <c r="H30" i="45" s="1"/>
  <c r="O84" i="24"/>
  <c r="H31" i="45" s="1"/>
  <c r="L87" i="24"/>
  <c r="L93" i="24"/>
  <c r="O96" i="24"/>
  <c r="H35" i="45" s="1"/>
  <c r="H36" i="45"/>
  <c r="D8" i="56"/>
  <c r="K8" i="56"/>
  <c r="O24" i="56"/>
  <c r="F22" i="45"/>
  <c r="G22" i="45"/>
  <c r="F32" i="45"/>
  <c r="O87" i="24"/>
  <c r="H32" i="45" s="1"/>
  <c r="F34" i="45"/>
  <c r="G34" i="45"/>
  <c r="O84" i="56"/>
  <c r="O87" i="56"/>
  <c r="C8" i="59"/>
  <c r="L8" i="59"/>
  <c r="C14" i="59"/>
  <c r="D14" i="59"/>
  <c r="F14" i="59"/>
  <c r="C17" i="59"/>
  <c r="D17" i="59"/>
  <c r="F17" i="59"/>
  <c r="C20" i="59"/>
  <c r="F20" i="59"/>
  <c r="C24" i="59"/>
  <c r="D24" i="59"/>
  <c r="F24" i="59"/>
  <c r="B1" i="62"/>
  <c r="B2" i="62"/>
  <c r="B6" i="62"/>
  <c r="D6" i="62"/>
  <c r="T32" i="77"/>
  <c r="O72" i="56"/>
  <c r="T35" i="77" s="1"/>
  <c r="O62" i="56"/>
  <c r="O63" i="56" s="1"/>
  <c r="D33" i="59"/>
  <c r="C27" i="45"/>
  <c r="T23" i="77"/>
  <c r="T20" i="77"/>
  <c r="O65" i="56"/>
  <c r="O66" i="56" s="1"/>
  <c r="G29" i="47" l="1"/>
  <c r="G8" i="63" s="1"/>
  <c r="S104" i="56"/>
  <c r="C30" i="45"/>
  <c r="O69" i="56"/>
  <c r="L81" i="24" s="1"/>
  <c r="S47" i="56"/>
  <c r="E29" i="47"/>
  <c r="E8" i="63" s="1"/>
  <c r="S95" i="56"/>
  <c r="O117" i="56"/>
  <c r="L129" i="24" s="1"/>
  <c r="C46" i="45"/>
  <c r="S77" i="56"/>
  <c r="P121" i="56"/>
  <c r="M135" i="24" s="1"/>
  <c r="D48" i="45"/>
  <c r="G4" i="64"/>
  <c r="D36" i="45"/>
  <c r="P82" i="56"/>
  <c r="A21" i="68" s="1"/>
  <c r="C21" i="68" s="1"/>
  <c r="C31" i="45"/>
  <c r="P70" i="56"/>
  <c r="C29" i="45"/>
  <c r="C28" i="45"/>
  <c r="O27" i="56"/>
  <c r="L39" i="24" s="1"/>
  <c r="P52" i="56"/>
  <c r="A12" i="68" s="1"/>
  <c r="K12" i="68" s="1"/>
  <c r="D27" i="45"/>
  <c r="P55" i="56"/>
  <c r="D29" i="47"/>
  <c r="D8" i="63" s="1"/>
  <c r="S29" i="56"/>
  <c r="T26" i="77"/>
  <c r="T29" i="77"/>
  <c r="G21" i="45"/>
  <c r="F21" i="45"/>
  <c r="H16" i="45"/>
  <c r="C16" i="45"/>
  <c r="H12" i="45"/>
  <c r="P22" i="56"/>
  <c r="M36" i="24" s="1"/>
  <c r="N36" i="24" s="1"/>
  <c r="H20" i="45"/>
  <c r="H15" i="45"/>
  <c r="H18" i="45"/>
  <c r="H19" i="45"/>
  <c r="H14" i="45"/>
  <c r="M2" i="63"/>
  <c r="R23" i="47"/>
  <c r="Q2" i="63" s="1"/>
  <c r="S119" i="56"/>
  <c r="L135" i="24"/>
  <c r="C4" i="63"/>
  <c r="C5" i="63"/>
  <c r="C2" i="63"/>
  <c r="C3" i="63"/>
  <c r="Q5" i="63"/>
  <c r="M5" i="63"/>
  <c r="U25" i="47"/>
  <c r="S4" i="63" s="1"/>
  <c r="R4" i="63"/>
  <c r="R25" i="47"/>
  <c r="M4" i="63"/>
  <c r="U24" i="47"/>
  <c r="S3" i="63" s="1"/>
  <c r="R3" i="63"/>
  <c r="F2" i="61"/>
  <c r="H29" i="47"/>
  <c r="H8" i="63" s="1"/>
  <c r="G2" i="61"/>
  <c r="I29" i="47"/>
  <c r="I8" i="63" s="1"/>
  <c r="D2" i="61"/>
  <c r="F29" i="47"/>
  <c r="F8" i="63" s="1"/>
  <c r="S113" i="56"/>
  <c r="E2" i="61"/>
  <c r="O93" i="24"/>
  <c r="H34" i="45" s="1"/>
  <c r="K33" i="54"/>
  <c r="R24" i="47"/>
  <c r="Q3" i="63" s="1"/>
  <c r="B2" i="61"/>
  <c r="S5" i="63"/>
  <c r="B116" i="53"/>
  <c r="B9" i="54" s="1"/>
  <c r="C6" i="77" s="1"/>
  <c r="P79" i="56"/>
  <c r="A20" i="68" s="1"/>
  <c r="G14" i="64"/>
  <c r="G8" i="64"/>
  <c r="G9" i="64"/>
  <c r="H10" i="64"/>
  <c r="R2" i="63"/>
  <c r="O54" i="24"/>
  <c r="L66" i="24"/>
  <c r="D15" i="45"/>
  <c r="L36" i="24"/>
  <c r="C2" i="61"/>
  <c r="B9" i="64"/>
  <c r="G32" i="45"/>
  <c r="G7" i="64"/>
  <c r="O57" i="24"/>
  <c r="H22" i="45" s="1"/>
  <c r="F116" i="53"/>
  <c r="I15" i="54" s="1"/>
  <c r="P85" i="56"/>
  <c r="L99" i="24"/>
  <c r="L84" i="24"/>
  <c r="L72" i="24"/>
  <c r="D35" i="45"/>
  <c r="L96" i="24"/>
  <c r="D116" i="53"/>
  <c r="A25" i="54" s="1"/>
  <c r="A6" i="62" s="1"/>
  <c r="P58" i="56"/>
  <c r="B8" i="64"/>
  <c r="L69" i="24"/>
  <c r="D26" i="45"/>
  <c r="D31" i="45"/>
  <c r="B25" i="45"/>
  <c r="C26" i="45"/>
  <c r="B24" i="45"/>
  <c r="P49" i="56"/>
  <c r="L63" i="24"/>
  <c r="P67" i="56" l="1"/>
  <c r="D30" i="45"/>
  <c r="B3" i="62"/>
  <c r="D2" i="53"/>
  <c r="M66" i="24"/>
  <c r="N66" i="24" s="1"/>
  <c r="E25" i="45" s="1"/>
  <c r="P115" i="56"/>
  <c r="M129" i="24" s="1"/>
  <c r="N129" i="24" s="1"/>
  <c r="E46" i="45" s="1"/>
  <c r="D46" i="45"/>
  <c r="D16" i="45"/>
  <c r="M96" i="24"/>
  <c r="N96" i="24" s="1"/>
  <c r="E35" i="45" s="1"/>
  <c r="M84" i="24"/>
  <c r="N84" i="24" s="1"/>
  <c r="E31" i="45" s="1"/>
  <c r="A18" i="68"/>
  <c r="F18" i="68" s="1"/>
  <c r="P25" i="56"/>
  <c r="A6" i="68" s="1"/>
  <c r="M81" i="24"/>
  <c r="N81" i="24" s="1"/>
  <c r="P64" i="56"/>
  <c r="M78" i="24" s="1"/>
  <c r="N78" i="24" s="1"/>
  <c r="P61" i="56"/>
  <c r="M75" i="24" s="1"/>
  <c r="N75" i="24" s="1"/>
  <c r="M72" i="24"/>
  <c r="N72" i="24" s="1"/>
  <c r="M69" i="24"/>
  <c r="N69" i="24" s="1"/>
  <c r="A13" i="68"/>
  <c r="D13" i="68" s="1"/>
  <c r="L78" i="24"/>
  <c r="D28" i="45"/>
  <c r="L75" i="24"/>
  <c r="D29" i="45"/>
  <c r="A5" i="68"/>
  <c r="H5" i="68" s="1"/>
  <c r="C6" i="76"/>
  <c r="D6" i="70"/>
  <c r="H21" i="45"/>
  <c r="K2" i="61"/>
  <c r="O19" i="70"/>
  <c r="O20" i="70" s="1"/>
  <c r="E15" i="45"/>
  <c r="C6" i="49"/>
  <c r="N135" i="24"/>
  <c r="E48" i="45" s="1"/>
  <c r="A30" i="68"/>
  <c r="Q4" i="63"/>
  <c r="C29" i="47"/>
  <c r="A22" i="68"/>
  <c r="H22" i="68" s="1"/>
  <c r="M99" i="24"/>
  <c r="N99" i="24" s="1"/>
  <c r="C6" i="44"/>
  <c r="D6" i="56"/>
  <c r="C6" i="59"/>
  <c r="E6" i="47"/>
  <c r="M93" i="24"/>
  <c r="N93" i="24" s="1"/>
  <c r="E34" i="45" s="1"/>
  <c r="H14" i="64"/>
  <c r="P73" i="56"/>
  <c r="M87" i="24" s="1"/>
  <c r="N87" i="24" s="1"/>
  <c r="E32" i="45" s="1"/>
  <c r="M12" i="68"/>
  <c r="E12" i="68"/>
  <c r="A17" i="68"/>
  <c r="D17" i="68" s="1"/>
  <c r="A14" i="68"/>
  <c r="J14" i="68" s="1"/>
  <c r="P43" i="56"/>
  <c r="G12" i="68"/>
  <c r="K21" i="68"/>
  <c r="D18" i="68"/>
  <c r="G21" i="68"/>
  <c r="H21" i="68"/>
  <c r="D21" i="68"/>
  <c r="F21" i="68"/>
  <c r="L21" i="68"/>
  <c r="M21" i="68"/>
  <c r="E21" i="68"/>
  <c r="I21" i="68"/>
  <c r="J21" i="68"/>
  <c r="F20" i="68"/>
  <c r="M20" i="68"/>
  <c r="K20" i="68"/>
  <c r="G20" i="68"/>
  <c r="I20" i="68"/>
  <c r="H20" i="68"/>
  <c r="C20" i="68"/>
  <c r="E20" i="68"/>
  <c r="J20" i="68"/>
  <c r="D20" i="68"/>
  <c r="P40" i="56"/>
  <c r="H4" i="64"/>
  <c r="L20" i="68"/>
  <c r="C12" i="68"/>
  <c r="J12" i="68"/>
  <c r="J51" i="51"/>
  <c r="O90" i="47" s="1"/>
  <c r="O20" i="56"/>
  <c r="M63" i="24"/>
  <c r="N63" i="24" s="1"/>
  <c r="A11" i="68"/>
  <c r="O38" i="56"/>
  <c r="O13" i="56"/>
  <c r="S107" i="56" s="1"/>
  <c r="D12" i="68"/>
  <c r="H12" i="68"/>
  <c r="F12" i="68"/>
  <c r="I12" i="68"/>
  <c r="L12" i="68"/>
  <c r="M39" i="24" l="1"/>
  <c r="N39" i="24" s="1"/>
  <c r="E16" i="45" s="1"/>
  <c r="A28" i="68"/>
  <c r="D28" i="68" s="1"/>
  <c r="K18" i="68"/>
  <c r="M18" i="68"/>
  <c r="E18" i="68"/>
  <c r="I18" i="68"/>
  <c r="G18" i="68"/>
  <c r="H18" i="68"/>
  <c r="L18" i="68"/>
  <c r="J18" i="68"/>
  <c r="C18" i="68"/>
  <c r="E36" i="45"/>
  <c r="E24" i="45"/>
  <c r="E30" i="45"/>
  <c r="E29" i="45"/>
  <c r="A16" i="68"/>
  <c r="E28" i="45"/>
  <c r="A15" i="68"/>
  <c r="E13" i="68"/>
  <c r="J13" i="68"/>
  <c r="L13" i="68"/>
  <c r="H13" i="68"/>
  <c r="K13" i="68"/>
  <c r="C13" i="68"/>
  <c r="F13" i="68"/>
  <c r="G13" i="68"/>
  <c r="I13" i="68"/>
  <c r="E27" i="45"/>
  <c r="M13" i="68"/>
  <c r="E26" i="45"/>
  <c r="J5" i="68"/>
  <c r="D5" i="68"/>
  <c r="I5" i="68"/>
  <c r="M5" i="68"/>
  <c r="E5" i="68"/>
  <c r="G5" i="68"/>
  <c r="C5" i="68"/>
  <c r="K5" i="68"/>
  <c r="L5" i="68"/>
  <c r="F5" i="68"/>
  <c r="E2" i="53"/>
  <c r="C20" i="45"/>
  <c r="O39" i="56"/>
  <c r="C30" i="68"/>
  <c r="D30" i="68"/>
  <c r="J30" i="68"/>
  <c r="M30" i="68"/>
  <c r="L30" i="68"/>
  <c r="F30" i="68"/>
  <c r="H30" i="68"/>
  <c r="K30" i="68"/>
  <c r="G30" i="68"/>
  <c r="E30" i="68"/>
  <c r="I30" i="68"/>
  <c r="O35" i="56"/>
  <c r="O32" i="56"/>
  <c r="C8" i="63"/>
  <c r="C14" i="45"/>
  <c r="O21" i="56"/>
  <c r="M22" i="68"/>
  <c r="F22" i="68"/>
  <c r="G22" i="68"/>
  <c r="E22" i="68"/>
  <c r="K22" i="68"/>
  <c r="J22" i="68"/>
  <c r="I22" i="68"/>
  <c r="L22" i="68"/>
  <c r="C22" i="68"/>
  <c r="D22" i="68"/>
  <c r="D14" i="68"/>
  <c r="H17" i="68"/>
  <c r="J17" i="68"/>
  <c r="E17" i="68"/>
  <c r="M17" i="68"/>
  <c r="A19" i="68"/>
  <c r="K19" i="68" s="1"/>
  <c r="I17" i="68"/>
  <c r="C17" i="68"/>
  <c r="H7" i="64"/>
  <c r="L17" i="68"/>
  <c r="K17" i="68"/>
  <c r="F17" i="68"/>
  <c r="G17" i="68"/>
  <c r="H14" i="68"/>
  <c r="E14" i="68"/>
  <c r="K14" i="68"/>
  <c r="F14" i="68"/>
  <c r="I14" i="68"/>
  <c r="C14" i="68"/>
  <c r="L14" i="68"/>
  <c r="G14" i="68"/>
  <c r="M14" i="68"/>
  <c r="A9" i="68"/>
  <c r="M54" i="24"/>
  <c r="N54" i="24" s="1"/>
  <c r="A10" i="68"/>
  <c r="M57" i="24"/>
  <c r="N57" i="24" s="1"/>
  <c r="E22" i="45" s="1"/>
  <c r="P13" i="56"/>
  <c r="B12" i="45"/>
  <c r="L27" i="24"/>
  <c r="I11" i="68"/>
  <c r="L11" i="68"/>
  <c r="C11" i="68"/>
  <c r="K11" i="68"/>
  <c r="E11" i="68"/>
  <c r="D11" i="68"/>
  <c r="G11" i="68"/>
  <c r="J11" i="68"/>
  <c r="F11" i="68"/>
  <c r="H11" i="68"/>
  <c r="M11" i="68"/>
  <c r="I6" i="68"/>
  <c r="G6" i="68"/>
  <c r="K6" i="68"/>
  <c r="H6" i="68"/>
  <c r="M6" i="68"/>
  <c r="D6" i="68"/>
  <c r="J6" i="68"/>
  <c r="F6" i="68"/>
  <c r="E6" i="68"/>
  <c r="L6" i="68"/>
  <c r="C6" i="68"/>
  <c r="M28" i="68" l="1"/>
  <c r="F28" i="68"/>
  <c r="L28" i="68"/>
  <c r="E28" i="68"/>
  <c r="G28" i="68"/>
  <c r="J28" i="68"/>
  <c r="I28" i="68"/>
  <c r="C28" i="68"/>
  <c r="H28" i="68"/>
  <c r="K28" i="68"/>
  <c r="A25" i="47"/>
  <c r="A4" i="63" s="1"/>
  <c r="A4" i="67"/>
  <c r="H4" i="67" s="1"/>
  <c r="E4" i="67" s="1"/>
  <c r="I16" i="68"/>
  <c r="G16" i="68"/>
  <c r="F16" i="68"/>
  <c r="H16" i="68"/>
  <c r="J16" i="68"/>
  <c r="E16" i="68"/>
  <c r="L16" i="68"/>
  <c r="M16" i="68"/>
  <c r="D16" i="68"/>
  <c r="K16" i="68"/>
  <c r="C16" i="68"/>
  <c r="H15" i="68"/>
  <c r="L15" i="68"/>
  <c r="M15" i="68"/>
  <c r="F15" i="68"/>
  <c r="E15" i="68"/>
  <c r="D15" i="68"/>
  <c r="J15" i="68"/>
  <c r="G15" i="68"/>
  <c r="I15" i="68"/>
  <c r="C15" i="68"/>
  <c r="K15" i="68"/>
  <c r="A26" i="47"/>
  <c r="A5" i="63" s="1"/>
  <c r="A7" i="67"/>
  <c r="H25" i="67" s="1"/>
  <c r="E25" i="67" s="1"/>
  <c r="A5" i="67"/>
  <c r="H5" i="67" s="1"/>
  <c r="E5" i="67" s="1"/>
  <c r="A8" i="67"/>
  <c r="H26" i="67" s="1"/>
  <c r="E26" i="67" s="1"/>
  <c r="A23" i="47"/>
  <c r="A2" i="63" s="1"/>
  <c r="A29" i="47"/>
  <c r="A8" i="63" s="1"/>
  <c r="A3" i="63"/>
  <c r="H3" i="67"/>
  <c r="E3" i="67" s="1"/>
  <c r="A28" i="47"/>
  <c r="A7" i="63" s="1"/>
  <c r="A27" i="47"/>
  <c r="A6" i="63" s="1"/>
  <c r="A6" i="67"/>
  <c r="H18" i="67" s="1"/>
  <c r="E18" i="67" s="1"/>
  <c r="A2" i="67"/>
  <c r="H2" i="67" s="1"/>
  <c r="E2" i="67" s="1"/>
  <c r="O33" i="56"/>
  <c r="E21" i="45"/>
  <c r="O36" i="56"/>
  <c r="P37" i="56"/>
  <c r="L51" i="24"/>
  <c r="D20" i="45"/>
  <c r="P19" i="56"/>
  <c r="D14" i="45"/>
  <c r="L33" i="24"/>
  <c r="H16" i="67"/>
  <c r="E16" i="67" s="1"/>
  <c r="I19" i="68"/>
  <c r="C19" i="68"/>
  <c r="M19" i="68"/>
  <c r="F19" i="68"/>
  <c r="E19" i="68"/>
  <c r="D19" i="68"/>
  <c r="G19" i="68"/>
  <c r="H19" i="68"/>
  <c r="L19" i="68"/>
  <c r="J19" i="68"/>
  <c r="K10" i="68"/>
  <c r="H10" i="68"/>
  <c r="I10" i="68"/>
  <c r="J10" i="68"/>
  <c r="D10" i="68"/>
  <c r="G10" i="68"/>
  <c r="F10" i="68"/>
  <c r="C10" i="68"/>
  <c r="E10" i="68"/>
  <c r="M10" i="68"/>
  <c r="L10" i="68"/>
  <c r="K9" i="68"/>
  <c r="F9" i="68"/>
  <c r="L9" i="68"/>
  <c r="H9" i="68"/>
  <c r="I9" i="68"/>
  <c r="E9" i="68"/>
  <c r="G9" i="68"/>
  <c r="D9" i="68"/>
  <c r="C9" i="68"/>
  <c r="J9" i="68"/>
  <c r="M9" i="68"/>
  <c r="C19" i="45"/>
  <c r="C18" i="45"/>
  <c r="M27" i="24"/>
  <c r="N27" i="24" s="1"/>
  <c r="A2" i="68"/>
  <c r="H11" i="67" l="1"/>
  <c r="E11" i="67" s="1"/>
  <c r="H22" i="67"/>
  <c r="E22" i="67" s="1"/>
  <c r="H30" i="67"/>
  <c r="E30" i="67" s="1"/>
  <c r="H35" i="67"/>
  <c r="E35" i="67" s="1"/>
  <c r="P34" i="56"/>
  <c r="D18" i="45"/>
  <c r="P31" i="56"/>
  <c r="D19" i="45"/>
  <c r="H9" i="67"/>
  <c r="E9" i="67" s="1"/>
  <c r="H17" i="67"/>
  <c r="E17" i="67" s="1"/>
  <c r="H23" i="67"/>
  <c r="E23" i="67" s="1"/>
  <c r="H14" i="67"/>
  <c r="E14" i="67" s="1"/>
  <c r="H24" i="67"/>
  <c r="E24" i="67" s="1"/>
  <c r="H8" i="67"/>
  <c r="E8" i="67" s="1"/>
  <c r="R31" i="47"/>
  <c r="H19" i="67" s="1"/>
  <c r="E19" i="67" s="1"/>
  <c r="H20" i="67"/>
  <c r="E20" i="67" s="1"/>
  <c r="H7" i="67"/>
  <c r="E7" i="67" s="1"/>
  <c r="H21" i="67"/>
  <c r="E21" i="67" s="1"/>
  <c r="H33" i="67"/>
  <c r="E33" i="67" s="1"/>
  <c r="H10" i="67"/>
  <c r="E10" i="67" s="1"/>
  <c r="H15" i="67"/>
  <c r="E15" i="67" s="1"/>
  <c r="H13" i="67"/>
  <c r="E13" i="67" s="1"/>
  <c r="H42" i="67"/>
  <c r="E42" i="67" s="1"/>
  <c r="H31" i="67"/>
  <c r="E31" i="67" s="1"/>
  <c r="H6" i="67"/>
  <c r="E6" i="67" s="1"/>
  <c r="H46" i="67"/>
  <c r="E46" i="67" s="1"/>
  <c r="H32" i="67"/>
  <c r="E32" i="67" s="1"/>
  <c r="H37" i="67"/>
  <c r="E37" i="67" s="1"/>
  <c r="H36" i="67"/>
  <c r="E36" i="67" s="1"/>
  <c r="H47" i="67"/>
  <c r="E47" i="67" s="1"/>
  <c r="H34" i="67"/>
  <c r="E34" i="67" s="1"/>
  <c r="H12" i="67"/>
  <c r="E12" i="67" s="1"/>
  <c r="L48" i="24"/>
  <c r="L45" i="24"/>
  <c r="E12" i="45"/>
  <c r="M51" i="24"/>
  <c r="N51" i="24" s="1"/>
  <c r="A8" i="68"/>
  <c r="A4" i="68"/>
  <c r="M33" i="24"/>
  <c r="N33" i="24" s="1"/>
  <c r="J26" i="67"/>
  <c r="F26" i="67"/>
  <c r="G26" i="67"/>
  <c r="F25" i="67"/>
  <c r="G25" i="67"/>
  <c r="J25" i="67"/>
  <c r="G2" i="67"/>
  <c r="J2" i="67"/>
  <c r="F2" i="67"/>
  <c r="F18" i="67"/>
  <c r="J18" i="67"/>
  <c r="G18" i="67"/>
  <c r="F4" i="67"/>
  <c r="J4" i="67"/>
  <c r="G4" i="67"/>
  <c r="G16" i="67"/>
  <c r="J16" i="67"/>
  <c r="F16" i="67"/>
  <c r="J3" i="67"/>
  <c r="F3" i="67"/>
  <c r="G3" i="67"/>
  <c r="G5" i="67"/>
  <c r="F5" i="67"/>
  <c r="J5" i="67"/>
  <c r="M2" i="68"/>
  <c r="K2" i="68"/>
  <c r="I2" i="68"/>
  <c r="C2" i="68"/>
  <c r="F2" i="68"/>
  <c r="H2" i="68"/>
  <c r="L2" i="68"/>
  <c r="J2" i="68"/>
  <c r="E2" i="68"/>
  <c r="G2" i="68"/>
  <c r="D2" i="68"/>
  <c r="F11" i="67" l="1"/>
  <c r="J30" i="67"/>
  <c r="J11" i="67"/>
  <c r="G30" i="67"/>
  <c r="I35" i="67" a="1"/>
  <c r="I35" i="67" s="1"/>
  <c r="G11" i="67"/>
  <c r="F22" i="67"/>
  <c r="F35" i="67"/>
  <c r="J35" i="67"/>
  <c r="G35" i="67"/>
  <c r="G22" i="67"/>
  <c r="J22" i="67"/>
  <c r="F30" i="67"/>
  <c r="F6" i="24"/>
  <c r="F9" i="24" s="1"/>
  <c r="E130" i="56" s="1"/>
  <c r="M48" i="24"/>
  <c r="N48" i="24" s="1"/>
  <c r="E19" i="45" s="1"/>
  <c r="A7" i="68"/>
  <c r="G7" i="68" s="1"/>
  <c r="D6" i="24"/>
  <c r="D9" i="24" s="1"/>
  <c r="M45" i="24"/>
  <c r="N45" i="24" s="1"/>
  <c r="H6" i="24"/>
  <c r="H9" i="24" s="1"/>
  <c r="G6" i="24"/>
  <c r="C6" i="24"/>
  <c r="C9" i="24" s="1"/>
  <c r="E126" i="56" s="1"/>
  <c r="E6" i="24"/>
  <c r="E10" i="24" s="1"/>
  <c r="D18" i="51"/>
  <c r="C18" i="51" s="1"/>
  <c r="F17" i="67"/>
  <c r="J42" i="67"/>
  <c r="G8" i="67"/>
  <c r="I33" i="67" a="1"/>
  <c r="I33" i="67" s="1"/>
  <c r="G7" i="67"/>
  <c r="F9" i="67"/>
  <c r="F23" i="67"/>
  <c r="J19" i="67"/>
  <c r="J53" i="67" s="1"/>
  <c r="D6" i="51" s="1"/>
  <c r="B23" i="51"/>
  <c r="C23" i="51" s="1"/>
  <c r="G33" i="67"/>
  <c r="D23" i="51"/>
  <c r="E18" i="51"/>
  <c r="F42" i="67"/>
  <c r="J23" i="67"/>
  <c r="F33" i="67"/>
  <c r="F19" i="67"/>
  <c r="H27" i="67"/>
  <c r="E23" i="51"/>
  <c r="G42" i="67"/>
  <c r="G23" i="67"/>
  <c r="G9" i="67"/>
  <c r="F32" i="67"/>
  <c r="F36" i="67"/>
  <c r="F24" i="67"/>
  <c r="G17" i="67"/>
  <c r="J32" i="67"/>
  <c r="D21" i="51"/>
  <c r="G14" i="67"/>
  <c r="B21" i="51"/>
  <c r="C21" i="51" s="1"/>
  <c r="F13" i="67"/>
  <c r="F21" i="67"/>
  <c r="J9" i="67"/>
  <c r="B17" i="51"/>
  <c r="C17" i="51" s="1"/>
  <c r="D17" i="51"/>
  <c r="F20" i="67"/>
  <c r="J10" i="67"/>
  <c r="E21" i="51"/>
  <c r="D22" i="51"/>
  <c r="G20" i="67"/>
  <c r="J12" i="67"/>
  <c r="J24" i="67"/>
  <c r="G6" i="67"/>
  <c r="J15" i="67"/>
  <c r="G24" i="67"/>
  <c r="J33" i="67"/>
  <c r="G19" i="67"/>
  <c r="J14" i="67"/>
  <c r="J21" i="67"/>
  <c r="J17" i="67"/>
  <c r="F8" i="67"/>
  <c r="B15" i="51"/>
  <c r="C15" i="51" s="1"/>
  <c r="G13" i="67"/>
  <c r="J20" i="67"/>
  <c r="F14" i="67"/>
  <c r="J31" i="67"/>
  <c r="G37" i="67"/>
  <c r="G34" i="67"/>
  <c r="J8" i="67"/>
  <c r="F37" i="67"/>
  <c r="G32" i="67"/>
  <c r="G10" i="67"/>
  <c r="J34" i="67"/>
  <c r="E22" i="51"/>
  <c r="G36" i="67"/>
  <c r="F12" i="67"/>
  <c r="F15" i="67"/>
  <c r="F7" i="67"/>
  <c r="D16" i="51"/>
  <c r="B22" i="51"/>
  <c r="C22" i="51" s="1"/>
  <c r="I36" i="67" a="1"/>
  <c r="I36" i="67" s="1"/>
  <c r="F6" i="67"/>
  <c r="G15" i="67"/>
  <c r="J7" i="67"/>
  <c r="E17" i="51"/>
  <c r="B16" i="51"/>
  <c r="C16" i="51" s="1"/>
  <c r="J36" i="67"/>
  <c r="G12" i="67"/>
  <c r="J6" i="67"/>
  <c r="F46" i="67"/>
  <c r="J13" i="67"/>
  <c r="G21" i="67"/>
  <c r="J47" i="67"/>
  <c r="D24" i="51"/>
  <c r="B19" i="51"/>
  <c r="C19" i="51" s="1"/>
  <c r="E15" i="51"/>
  <c r="E16" i="51"/>
  <c r="G46" i="67"/>
  <c r="D19" i="51"/>
  <c r="D15" i="51"/>
  <c r="E19" i="51"/>
  <c r="J46" i="67"/>
  <c r="E24" i="51"/>
  <c r="F31" i="67"/>
  <c r="G47" i="67"/>
  <c r="I37" i="67" a="1"/>
  <c r="I37" i="67" s="1"/>
  <c r="I34" i="67" a="1"/>
  <c r="I34" i="67" s="1"/>
  <c r="G31" i="67"/>
  <c r="F47" i="67"/>
  <c r="J37" i="67"/>
  <c r="F34" i="67"/>
  <c r="F10" i="67"/>
  <c r="B24" i="51"/>
  <c r="C24" i="51" s="1"/>
  <c r="E20" i="45"/>
  <c r="E14" i="45"/>
  <c r="J8" i="68"/>
  <c r="L8" i="68"/>
  <c r="K8" i="68"/>
  <c r="G8" i="68"/>
  <c r="F8" i="68"/>
  <c r="M8" i="68"/>
  <c r="C8" i="68"/>
  <c r="H8" i="68"/>
  <c r="E8" i="68"/>
  <c r="D8" i="68"/>
  <c r="I8" i="68"/>
  <c r="H4" i="68"/>
  <c r="G4" i="68"/>
  <c r="F4" i="68"/>
  <c r="M4" i="68"/>
  <c r="K4" i="68"/>
  <c r="E4" i="68"/>
  <c r="C4" i="68"/>
  <c r="D4" i="68"/>
  <c r="L4" i="68"/>
  <c r="J4" i="68"/>
  <c r="I4" i="68"/>
  <c r="O27" i="67" a="1"/>
  <c r="O38" i="67" a="1"/>
  <c r="O28" i="67" a="1"/>
  <c r="O44" i="67" a="1"/>
  <c r="O21" i="67" a="1"/>
  <c r="O41" i="67" a="1"/>
  <c r="O14" i="67" a="1"/>
  <c r="O32" i="67" a="1"/>
  <c r="O16" i="67" a="1"/>
  <c r="O36" i="67" a="1"/>
  <c r="O25" i="67" a="1"/>
  <c r="O5" i="67" a="1"/>
  <c r="O19" i="67" a="1"/>
  <c r="O35" i="67" a="1"/>
  <c r="O26" i="67" a="1"/>
  <c r="O22" i="67" a="1"/>
  <c r="O3" i="67" a="1"/>
  <c r="O46" i="67" a="1"/>
  <c r="O33" i="67" a="1"/>
  <c r="O20" i="67" a="1"/>
  <c r="O13" i="67" a="1"/>
  <c r="O12" i="67" a="1"/>
  <c r="O45" i="67" a="1"/>
  <c r="O10" i="67" a="1"/>
  <c r="O9" i="67" a="1"/>
  <c r="O37" i="67" a="1"/>
  <c r="O15" i="67" a="1"/>
  <c r="O39" i="67" a="1"/>
  <c r="O29" i="67" a="1"/>
  <c r="O6" i="67" a="1"/>
  <c r="O7" i="67" a="1"/>
  <c r="O31" i="67" a="1"/>
  <c r="O11" i="67" a="1"/>
  <c r="O23" i="67" a="1"/>
  <c r="O4" i="67" a="1"/>
  <c r="O18" i="67" a="1"/>
  <c r="O47" i="67" a="1"/>
  <c r="O17" i="67" a="1"/>
  <c r="O34" i="67" a="1"/>
  <c r="O24" i="67" a="1"/>
  <c r="O40" i="67" a="1"/>
  <c r="O30" i="67" a="1"/>
  <c r="O42" i="67" a="1"/>
  <c r="O43" i="67" a="1"/>
  <c r="O8" i="67" a="1"/>
  <c r="D7" i="68" l="1"/>
  <c r="H7" i="68"/>
  <c r="F7" i="68"/>
  <c r="K7" i="68"/>
  <c r="E7" i="68"/>
  <c r="C7" i="68"/>
  <c r="I7" i="68"/>
  <c r="M7" i="68"/>
  <c r="L7" i="68"/>
  <c r="J7" i="68"/>
  <c r="D20" i="51"/>
  <c r="C20" i="51" s="1"/>
  <c r="H23" i="51" s="1" a="1"/>
  <c r="H23" i="51" s="1"/>
  <c r="E27" i="67"/>
  <c r="E18" i="45"/>
  <c r="O7" i="67"/>
  <c r="C7" i="66" s="1"/>
  <c r="O8" i="67"/>
  <c r="C8" i="66" s="1"/>
  <c r="O15" i="67"/>
  <c r="C15" i="66" s="1"/>
  <c r="O16" i="67"/>
  <c r="C16" i="66" s="1"/>
  <c r="O23" i="67"/>
  <c r="C23" i="66" s="1"/>
  <c r="O24" i="67"/>
  <c r="C24" i="66" s="1"/>
  <c r="O31" i="67"/>
  <c r="C31" i="66" s="1"/>
  <c r="O32" i="67"/>
  <c r="C32" i="66" s="1"/>
  <c r="O42" i="67"/>
  <c r="C42" i="66" s="1"/>
  <c r="O46" i="67"/>
  <c r="C46" i="66" s="1"/>
  <c r="O5" i="67"/>
  <c r="C5" i="66" s="1"/>
  <c r="O6" i="67"/>
  <c r="C6" i="66" s="1"/>
  <c r="O13" i="67"/>
  <c r="C13" i="66" s="1"/>
  <c r="O14" i="67"/>
  <c r="C14" i="66" s="1"/>
  <c r="O21" i="67"/>
  <c r="C21" i="66" s="1"/>
  <c r="O22" i="67"/>
  <c r="C22" i="66" s="1"/>
  <c r="O29" i="67"/>
  <c r="C29" i="66" s="1"/>
  <c r="O30" i="67"/>
  <c r="C30" i="66" s="1"/>
  <c r="O38" i="67"/>
  <c r="C38" i="66" s="1"/>
  <c r="O40" i="67"/>
  <c r="C40" i="66" s="1"/>
  <c r="O44" i="67"/>
  <c r="C44" i="66" s="1"/>
  <c r="O3" i="67"/>
  <c r="C3" i="66" s="1"/>
  <c r="O4" i="67"/>
  <c r="C4" i="66" s="1"/>
  <c r="O11" i="67"/>
  <c r="C11" i="66" s="1"/>
  <c r="O12" i="67"/>
  <c r="C12" i="66" s="1"/>
  <c r="O19" i="67"/>
  <c r="C19" i="66" s="1"/>
  <c r="O20" i="67"/>
  <c r="C20" i="66" s="1"/>
  <c r="O27" i="67"/>
  <c r="C27" i="66" s="1"/>
  <c r="O28" i="67"/>
  <c r="C28" i="66" s="1"/>
  <c r="O35" i="67"/>
  <c r="C35" i="66" s="1"/>
  <c r="O36" i="67"/>
  <c r="C36" i="66" s="1"/>
  <c r="O41" i="67"/>
  <c r="C41" i="66" s="1"/>
  <c r="O47" i="67"/>
  <c r="C47" i="66" s="1"/>
  <c r="O9" i="67"/>
  <c r="C9" i="66" s="1"/>
  <c r="O10" i="67"/>
  <c r="C10" i="66" s="1"/>
  <c r="O17" i="67"/>
  <c r="C17" i="66" s="1"/>
  <c r="O18" i="67"/>
  <c r="C18" i="66" s="1"/>
  <c r="O25" i="67"/>
  <c r="C25" i="66" s="1"/>
  <c r="O26" i="67"/>
  <c r="C26" i="66" s="1"/>
  <c r="O33" i="67"/>
  <c r="C33" i="66" s="1"/>
  <c r="O34" i="67"/>
  <c r="C34" i="66" s="1"/>
  <c r="O37" i="67"/>
  <c r="C37" i="66" s="1"/>
  <c r="O39" i="67"/>
  <c r="C39" i="66" s="1"/>
  <c r="O43" i="67"/>
  <c r="C43" i="66" s="1"/>
  <c r="O45" i="67"/>
  <c r="C45" i="66" s="1"/>
  <c r="E9" i="24"/>
  <c r="G10" i="24"/>
  <c r="G11" i="24" s="1"/>
  <c r="E7" i="24"/>
  <c r="F128" i="56" s="1"/>
  <c r="G9" i="24"/>
  <c r="E129" i="56" s="1"/>
  <c r="G7" i="24"/>
  <c r="G8" i="24" s="1"/>
  <c r="G27" i="67"/>
  <c r="F27" i="67"/>
  <c r="J27" i="67"/>
  <c r="J52" i="67" s="1"/>
  <c r="C6" i="51" s="1"/>
  <c r="G14" i="47" s="1"/>
  <c r="E20" i="51"/>
  <c r="J51" i="67"/>
  <c r="E6" i="51" s="1"/>
  <c r="E13" i="49" s="1"/>
  <c r="J50" i="67"/>
  <c r="F6" i="51" s="1"/>
  <c r="F13" i="49" s="1"/>
  <c r="K9" i="24"/>
  <c r="K6" i="24"/>
  <c r="D7" i="24"/>
  <c r="E11" i="24"/>
  <c r="I6" i="24"/>
  <c r="D10" i="24"/>
  <c r="I14" i="67" a="1"/>
  <c r="I14" i="67" s="1"/>
  <c r="I16" i="67" a="1"/>
  <c r="I16" i="67" s="1"/>
  <c r="N14" i="47"/>
  <c r="D13" i="49"/>
  <c r="I32" i="67" a="1"/>
  <c r="I32" i="67" s="1"/>
  <c r="I31" i="67" a="1"/>
  <c r="I31" i="67" s="1"/>
  <c r="I11" i="67" a="1"/>
  <c r="I11" i="67" s="1"/>
  <c r="I10" i="67" a="1"/>
  <c r="I10" i="67" s="1"/>
  <c r="I9" i="67" a="1"/>
  <c r="I9" i="67" s="1"/>
  <c r="M31" i="67" a="1"/>
  <c r="L40" i="67" a="1"/>
  <c r="L41" i="67" a="1"/>
  <c r="M43" i="67" a="1"/>
  <c r="N43" i="67" a="1"/>
  <c r="Y6" i="68" a="1"/>
  <c r="N5" i="67" a="1"/>
  <c r="L43" i="67" a="1"/>
  <c r="M17" i="67" a="1"/>
  <c r="L38" i="67" a="1"/>
  <c r="L14" i="67" a="1"/>
  <c r="N39" i="67" a="1"/>
  <c r="L46" i="67" a="1"/>
  <c r="P26" i="68" a="1"/>
  <c r="N20" i="67" a="1"/>
  <c r="L11" i="67" a="1"/>
  <c r="N45" i="67" a="1"/>
  <c r="N47" i="67" a="1"/>
  <c r="L7" i="67" a="1"/>
  <c r="L42" i="67" a="1"/>
  <c r="L26" i="67" a="1"/>
  <c r="M32" i="67" a="1"/>
  <c r="L19" i="67" a="1"/>
  <c r="M13" i="67" a="1"/>
  <c r="M26" i="67" a="1"/>
  <c r="N4" i="67" a="1"/>
  <c r="L22" i="67" a="1"/>
  <c r="N35" i="67" a="1"/>
  <c r="M9" i="67" a="1"/>
  <c r="N44" i="67" a="1"/>
  <c r="M20" i="67" a="1"/>
  <c r="L15" i="67" a="1"/>
  <c r="N13" i="67" a="1"/>
  <c r="L8" i="67" a="1"/>
  <c r="N12" i="67" a="1"/>
  <c r="M39" i="67" a="1"/>
  <c r="L13" i="67" a="1"/>
  <c r="M11" i="67" a="1"/>
  <c r="N14" i="67" a="1"/>
  <c r="N21" i="67" a="1"/>
  <c r="M7" i="67" a="1"/>
  <c r="N40" i="67" a="1"/>
  <c r="L18" i="67" a="1"/>
  <c r="M42" i="67" a="1"/>
  <c r="N27" i="67" a="1"/>
  <c r="M8" i="67" a="1"/>
  <c r="M12" i="67" a="1"/>
  <c r="M28" i="67" a="1"/>
  <c r="M38" i="67" a="1"/>
  <c r="M16" i="67" a="1"/>
  <c r="N8" i="67" a="1"/>
  <c r="N32" i="67" a="1"/>
  <c r="M18" i="67" a="1"/>
  <c r="L3" i="67" a="1"/>
  <c r="L20" i="67" a="1"/>
  <c r="L34" i="67" a="1"/>
  <c r="N37" i="67" a="1"/>
  <c r="M3" i="67" a="1"/>
  <c r="L30" i="67" a="1"/>
  <c r="M46" i="67" a="1"/>
  <c r="L17" i="67" a="1"/>
  <c r="L6" i="67" a="1"/>
  <c r="N23" i="67" a="1"/>
  <c r="M41" i="67" a="1"/>
  <c r="N42" i="67" a="1"/>
  <c r="L32" i="67" a="1"/>
  <c r="M25" i="67" a="1"/>
  <c r="N17" i="67" a="1"/>
  <c r="N30" i="67" a="1"/>
  <c r="N16" i="67" a="1"/>
  <c r="N28" i="67" a="1"/>
  <c r="M30" i="67" a="1"/>
  <c r="L16" i="67" a="1"/>
  <c r="L27" i="67" a="1"/>
  <c r="N29" i="67" a="1"/>
  <c r="L31" i="67" a="1"/>
  <c r="M10" i="67" a="1"/>
  <c r="L33" i="67" a="1"/>
  <c r="L47" i="67" a="1"/>
  <c r="L29" i="67" a="1"/>
  <c r="N7" i="67" a="1"/>
  <c r="M36" i="67" a="1"/>
  <c r="M5" i="67" a="1"/>
  <c r="N25" i="67" a="1"/>
  <c r="M29" i="67" a="1"/>
  <c r="W3" i="68" a="1"/>
  <c r="M19" i="67" a="1"/>
  <c r="L24" i="67" a="1"/>
  <c r="L12" i="67" a="1"/>
  <c r="M22" i="67" a="1"/>
  <c r="N11" i="67" a="1"/>
  <c r="L10" i="67" a="1"/>
  <c r="N46" i="67" a="1"/>
  <c r="N19" i="67" a="1"/>
  <c r="L36" i="67" a="1"/>
  <c r="L5" i="67" a="1"/>
  <c r="L39" i="67" a="1"/>
  <c r="M40" i="67" a="1"/>
  <c r="M4" i="67" a="1"/>
  <c r="M35" i="67" a="1"/>
  <c r="M15" i="67" a="1"/>
  <c r="L21" i="67" a="1"/>
  <c r="L4" i="67" a="1"/>
  <c r="L35" i="67" a="1"/>
  <c r="N33" i="67" a="1"/>
  <c r="M47" i="67" a="1"/>
  <c r="M45" i="67" a="1"/>
  <c r="M34" i="67" a="1"/>
  <c r="T20" i="68" a="1"/>
  <c r="N26" i="67" a="1"/>
  <c r="N10" i="67" a="1"/>
  <c r="N3" i="67" a="1"/>
  <c r="L9" i="67" a="1"/>
  <c r="M27" i="67" a="1"/>
  <c r="N22" i="67" a="1"/>
  <c r="N38" i="67" a="1"/>
  <c r="N36" i="67" a="1"/>
  <c r="R4" i="68" a="1"/>
  <c r="N31" i="67" a="1"/>
  <c r="M24" i="67" a="1"/>
  <c r="N9" i="67" a="1"/>
  <c r="L37" i="67" a="1"/>
  <c r="L44" i="67" a="1"/>
  <c r="L28" i="67" a="1"/>
  <c r="M6" i="67" a="1"/>
  <c r="N15" i="67" a="1"/>
  <c r="M23" i="67" a="1"/>
  <c r="M37" i="67" a="1"/>
  <c r="M33" i="67" a="1"/>
  <c r="L45" i="67" a="1"/>
  <c r="N18" i="67" a="1"/>
  <c r="L23" i="67" a="1"/>
  <c r="L25" i="67" a="1"/>
  <c r="M14" i="67" a="1"/>
  <c r="N24" i="67" a="1"/>
  <c r="M44" i="67" a="1"/>
  <c r="M21" i="67" a="1"/>
  <c r="N34" i="67" a="1"/>
  <c r="N6" i="67" a="1"/>
  <c r="N41" i="67" a="1"/>
  <c r="U11" i="68" a="1"/>
  <c r="X26" i="68" a="1"/>
  <c r="I18" i="51" l="1" a="1"/>
  <c r="I18" i="51" s="1"/>
  <c r="J18" i="51" s="1"/>
  <c r="G24" i="51" a="1"/>
  <c r="G24" i="51" s="1"/>
  <c r="H18" i="51" a="1"/>
  <c r="H18" i="51" s="1"/>
  <c r="B22" i="49" s="1"/>
  <c r="H22" i="51" a="1"/>
  <c r="H22" i="51" s="1"/>
  <c r="B26" i="49" s="1"/>
  <c r="H17" i="51" a="1"/>
  <c r="H17" i="51" s="1"/>
  <c r="B21" i="49" s="1"/>
  <c r="G21" i="51" a="1"/>
  <c r="G21" i="51" s="1"/>
  <c r="A25" i="49" s="1"/>
  <c r="H21" i="51" a="1"/>
  <c r="H21" i="51" s="1"/>
  <c r="B25" i="49" s="1"/>
  <c r="H16" i="51" a="1"/>
  <c r="H16" i="51" s="1"/>
  <c r="B20" i="49" s="1"/>
  <c r="G15" i="51" a="1"/>
  <c r="G15" i="51" s="1"/>
  <c r="A19" i="49" s="1"/>
  <c r="I17" i="51" a="1"/>
  <c r="I17" i="51" s="1"/>
  <c r="J17" i="51" s="1"/>
  <c r="H24" i="51" a="1"/>
  <c r="H24" i="51" s="1"/>
  <c r="G17" i="51" a="1"/>
  <c r="G17" i="51" s="1"/>
  <c r="A21" i="49" s="1"/>
  <c r="H15" i="51" a="1"/>
  <c r="H15" i="51" s="1"/>
  <c r="B19" i="49" s="1"/>
  <c r="I24" i="51" a="1"/>
  <c r="I24" i="51" s="1"/>
  <c r="J24" i="51" s="1"/>
  <c r="H20" i="51" a="1"/>
  <c r="H20" i="51" s="1"/>
  <c r="B24" i="49" s="1"/>
  <c r="G19" i="51" a="1"/>
  <c r="G19" i="51" s="1"/>
  <c r="A23" i="49" s="1"/>
  <c r="I22" i="51" a="1"/>
  <c r="I22" i="51" s="1"/>
  <c r="J22" i="51" s="1"/>
  <c r="I21" i="51" a="1"/>
  <c r="I21" i="51" s="1"/>
  <c r="J21" i="51" s="1"/>
  <c r="I20" i="51" a="1"/>
  <c r="I20" i="51" s="1"/>
  <c r="J20" i="51" s="1"/>
  <c r="G16" i="51" a="1"/>
  <c r="G16" i="51" s="1"/>
  <c r="A20" i="49" s="1"/>
  <c r="I15" i="51" a="1"/>
  <c r="I15" i="51" s="1"/>
  <c r="I47" i="67" s="1" a="1"/>
  <c r="I47" i="67" s="1"/>
  <c r="G23" i="51" a="1"/>
  <c r="G23" i="51" s="1"/>
  <c r="H19" i="51" a="1"/>
  <c r="H19" i="51" s="1"/>
  <c r="B23" i="49" s="1"/>
  <c r="G22" i="51" a="1"/>
  <c r="G22" i="51" s="1"/>
  <c r="A26" i="49" s="1"/>
  <c r="G18" i="51" a="1"/>
  <c r="G18" i="51" s="1"/>
  <c r="A22" i="49" s="1"/>
  <c r="I23" i="51" a="1"/>
  <c r="I23" i="51" s="1"/>
  <c r="J23" i="51" s="1"/>
  <c r="I16" i="51" a="1"/>
  <c r="I16" i="51" s="1"/>
  <c r="J16" i="51" s="1"/>
  <c r="G20" i="51" a="1"/>
  <c r="G20" i="51" s="1"/>
  <c r="A24" i="49" s="1"/>
  <c r="I19" i="51" a="1"/>
  <c r="I19" i="51" s="1"/>
  <c r="J19" i="51" s="1"/>
  <c r="P26" i="68"/>
  <c r="U11" i="68"/>
  <c r="X26" i="68"/>
  <c r="R4" i="68"/>
  <c r="M3" i="67"/>
  <c r="M9" i="67"/>
  <c r="M10" i="67"/>
  <c r="M17" i="67"/>
  <c r="M18" i="67"/>
  <c r="M25" i="67"/>
  <c r="M26" i="67"/>
  <c r="M33" i="67"/>
  <c r="M34" i="67"/>
  <c r="M44" i="67"/>
  <c r="M7" i="67"/>
  <c r="M8" i="67"/>
  <c r="M15" i="67"/>
  <c r="M16" i="67"/>
  <c r="M23" i="67"/>
  <c r="M24" i="67"/>
  <c r="M31" i="67"/>
  <c r="M32" i="67"/>
  <c r="M38" i="67"/>
  <c r="M40" i="67"/>
  <c r="M42" i="67"/>
  <c r="M46" i="67"/>
  <c r="M5" i="67"/>
  <c r="M6" i="67"/>
  <c r="M13" i="67"/>
  <c r="M14" i="67"/>
  <c r="M21" i="67"/>
  <c r="M22" i="67"/>
  <c r="M29" i="67"/>
  <c r="M30" i="67"/>
  <c r="M39" i="67"/>
  <c r="M43" i="67"/>
  <c r="M4" i="67"/>
  <c r="M11" i="67"/>
  <c r="M12" i="67"/>
  <c r="M19" i="67"/>
  <c r="M20" i="67"/>
  <c r="M27" i="67"/>
  <c r="M28" i="67"/>
  <c r="M35" i="67"/>
  <c r="M36" i="67"/>
  <c r="M37" i="67"/>
  <c r="M41" i="67"/>
  <c r="M45" i="67"/>
  <c r="M47" i="67"/>
  <c r="L3" i="67"/>
  <c r="A3" i="66" s="1"/>
  <c r="L6" i="67"/>
  <c r="A6" i="66" s="1"/>
  <c r="L7" i="67"/>
  <c r="A7" i="66" s="1"/>
  <c r="L14" i="67"/>
  <c r="A14" i="66" s="1"/>
  <c r="L15" i="67"/>
  <c r="A15" i="66" s="1"/>
  <c r="L22" i="67"/>
  <c r="A22" i="66" s="1"/>
  <c r="L23" i="67"/>
  <c r="A23" i="66" s="1"/>
  <c r="L30" i="67"/>
  <c r="A30" i="66" s="1"/>
  <c r="L31" i="67"/>
  <c r="A31" i="66" s="1"/>
  <c r="L39" i="67"/>
  <c r="A39" i="66" s="1"/>
  <c r="L41" i="67"/>
  <c r="A41" i="66" s="1"/>
  <c r="L45" i="67"/>
  <c r="A45" i="66" s="1"/>
  <c r="L4" i="67"/>
  <c r="A4" i="66" s="1"/>
  <c r="L5" i="67"/>
  <c r="A5" i="66" s="1"/>
  <c r="L12" i="67"/>
  <c r="A12" i="66" s="1"/>
  <c r="L13" i="67"/>
  <c r="A13" i="66" s="1"/>
  <c r="L20" i="67"/>
  <c r="A20" i="66" s="1"/>
  <c r="L21" i="67"/>
  <c r="A21" i="66" s="1"/>
  <c r="L28" i="67"/>
  <c r="A28" i="66" s="1"/>
  <c r="L29" i="67"/>
  <c r="A29" i="66" s="1"/>
  <c r="L36" i="67"/>
  <c r="A36" i="66" s="1"/>
  <c r="L37" i="67"/>
  <c r="A37" i="66" s="1"/>
  <c r="L43" i="67"/>
  <c r="A43" i="66" s="1"/>
  <c r="L47" i="67"/>
  <c r="A47" i="66" s="1"/>
  <c r="L10" i="67"/>
  <c r="A10" i="66" s="1"/>
  <c r="L11" i="67"/>
  <c r="A11" i="66" s="1"/>
  <c r="L18" i="67"/>
  <c r="A18" i="66" s="1"/>
  <c r="L19" i="67"/>
  <c r="A19" i="66" s="1"/>
  <c r="L26" i="67"/>
  <c r="A26" i="66" s="1"/>
  <c r="L27" i="67"/>
  <c r="A27" i="66" s="1"/>
  <c r="L34" i="67"/>
  <c r="A34" i="66" s="1"/>
  <c r="L35" i="67"/>
  <c r="A35" i="66" s="1"/>
  <c r="L40" i="67"/>
  <c r="A40" i="66" s="1"/>
  <c r="L44" i="67"/>
  <c r="A44" i="66" s="1"/>
  <c r="L46" i="67"/>
  <c r="A46" i="66" s="1"/>
  <c r="L8" i="67"/>
  <c r="A8" i="66" s="1"/>
  <c r="L9" i="67"/>
  <c r="A9" i="66" s="1"/>
  <c r="L16" i="67"/>
  <c r="A16" i="66" s="1"/>
  <c r="L17" i="67"/>
  <c r="A17" i="66" s="1"/>
  <c r="L24" i="67"/>
  <c r="A24" i="66" s="1"/>
  <c r="L25" i="67"/>
  <c r="A25" i="66" s="1"/>
  <c r="L32" i="67"/>
  <c r="A32" i="66" s="1"/>
  <c r="L33" i="67"/>
  <c r="A33" i="66" s="1"/>
  <c r="L38" i="67"/>
  <c r="A38" i="66" s="1"/>
  <c r="L42" i="67"/>
  <c r="A42" i="66" s="1"/>
  <c r="N4" i="67"/>
  <c r="B4" i="66" s="1"/>
  <c r="N5" i="67"/>
  <c r="B5" i="66" s="1"/>
  <c r="N12" i="67"/>
  <c r="B12" i="66" s="1"/>
  <c r="N13" i="67"/>
  <c r="B13" i="66" s="1"/>
  <c r="N20" i="67"/>
  <c r="B20" i="66" s="1"/>
  <c r="N21" i="67"/>
  <c r="B21" i="66" s="1"/>
  <c r="N28" i="67"/>
  <c r="B28" i="66" s="1"/>
  <c r="N29" i="67"/>
  <c r="B29" i="66" s="1"/>
  <c r="N36" i="67"/>
  <c r="B36" i="66" s="1"/>
  <c r="N43" i="67"/>
  <c r="B43" i="66" s="1"/>
  <c r="N3" i="67"/>
  <c r="B3" i="66" s="1"/>
  <c r="N10" i="67"/>
  <c r="B10" i="66" s="1"/>
  <c r="N11" i="67"/>
  <c r="B11" i="66" s="1"/>
  <c r="N18" i="67"/>
  <c r="B18" i="66" s="1"/>
  <c r="N19" i="67"/>
  <c r="B19" i="66" s="1"/>
  <c r="N26" i="67"/>
  <c r="B26" i="66" s="1"/>
  <c r="N27" i="67"/>
  <c r="B27" i="66" s="1"/>
  <c r="N34" i="67"/>
  <c r="B34" i="66" s="1"/>
  <c r="N35" i="67"/>
  <c r="B35" i="66" s="1"/>
  <c r="N37" i="67"/>
  <c r="B37" i="66" s="1"/>
  <c r="N39" i="67"/>
  <c r="B39" i="66" s="1"/>
  <c r="N41" i="67"/>
  <c r="B41" i="66" s="1"/>
  <c r="N45" i="67"/>
  <c r="B45" i="66" s="1"/>
  <c r="N47" i="67"/>
  <c r="B47" i="66" s="1"/>
  <c r="N8" i="67"/>
  <c r="B8" i="66" s="1"/>
  <c r="N9" i="67"/>
  <c r="B9" i="66" s="1"/>
  <c r="N16" i="67"/>
  <c r="B16" i="66" s="1"/>
  <c r="N17" i="67"/>
  <c r="B17" i="66" s="1"/>
  <c r="N24" i="67"/>
  <c r="B24" i="66" s="1"/>
  <c r="N25" i="67"/>
  <c r="B25" i="66" s="1"/>
  <c r="N32" i="67"/>
  <c r="B32" i="66" s="1"/>
  <c r="N33" i="67"/>
  <c r="B33" i="66" s="1"/>
  <c r="N42" i="67"/>
  <c r="B42" i="66" s="1"/>
  <c r="N6" i="67"/>
  <c r="B6" i="66" s="1"/>
  <c r="N7" i="67"/>
  <c r="B7" i="66" s="1"/>
  <c r="N14" i="67"/>
  <c r="B14" i="66" s="1"/>
  <c r="N15" i="67"/>
  <c r="B15" i="66" s="1"/>
  <c r="N22" i="67"/>
  <c r="B22" i="66" s="1"/>
  <c r="N23" i="67"/>
  <c r="B23" i="66" s="1"/>
  <c r="N30" i="67"/>
  <c r="B30" i="66" s="1"/>
  <c r="N31" i="67"/>
  <c r="B31" i="66" s="1"/>
  <c r="N38" i="67"/>
  <c r="B38" i="66" s="1"/>
  <c r="N40" i="67"/>
  <c r="B40" i="66" s="1"/>
  <c r="N44" i="67"/>
  <c r="B44" i="66" s="1"/>
  <c r="N46" i="67"/>
  <c r="B46" i="66" s="1"/>
  <c r="T14" i="47"/>
  <c r="T20" i="68"/>
  <c r="W3" i="68"/>
  <c r="Y6" i="68"/>
  <c r="F129" i="56"/>
  <c r="E8" i="24"/>
  <c r="I8" i="24" s="1"/>
  <c r="I9" i="24"/>
  <c r="I11" i="24"/>
  <c r="I13" i="67" a="1"/>
  <c r="I13" i="67" s="1"/>
  <c r="I42" i="67" a="1"/>
  <c r="I42" i="67" s="1"/>
  <c r="B6" i="51"/>
  <c r="B14" i="47" s="1"/>
  <c r="B13" i="47" s="1"/>
  <c r="Y14" i="47"/>
  <c r="E127" i="56"/>
  <c r="C13" i="49"/>
  <c r="I10" i="24"/>
  <c r="F126" i="56"/>
  <c r="I7" i="24"/>
  <c r="I27" i="67" a="1"/>
  <c r="I27" i="67" s="1"/>
  <c r="I19" i="67" a="1"/>
  <c r="I19" i="67" s="1"/>
  <c r="I15" i="67" a="1"/>
  <c r="I15" i="67" s="1"/>
  <c r="I12" i="67" l="1" a="1"/>
  <c r="I12" i="67" s="1"/>
  <c r="I17" i="67" a="1"/>
  <c r="I17" i="67" s="1"/>
  <c r="I18" i="67" a="1"/>
  <c r="I18" i="67" s="1"/>
  <c r="I30" i="67" a="1"/>
  <c r="I30" i="67" s="1"/>
  <c r="I46" i="67" a="1"/>
  <c r="I46" i="67" s="1"/>
  <c r="I22" i="67" a="1"/>
  <c r="I22" i="67" s="1"/>
  <c r="I20" i="67" a="1"/>
  <c r="I20" i="67" s="1"/>
  <c r="I23" i="67" a="1"/>
  <c r="I23" i="67" s="1"/>
  <c r="A15" i="49"/>
  <c r="J15" i="51"/>
  <c r="I3" i="67" s="1" a="1"/>
  <c r="I3" i="67" s="1"/>
  <c r="I26" i="67" a="1"/>
  <c r="I26" i="67" s="1"/>
  <c r="I25" i="67" a="1"/>
  <c r="I25" i="67" s="1"/>
  <c r="I24" i="67" a="1"/>
  <c r="I24" i="67" s="1"/>
  <c r="I21" i="67" a="1"/>
  <c r="I21" i="67" s="1"/>
  <c r="G128" i="56"/>
  <c r="B13" i="49"/>
  <c r="B12" i="49" s="1"/>
  <c r="I2" i="67" l="1" a="1"/>
  <c r="I2" i="67" s="1"/>
  <c r="I4" i="67" a="1"/>
  <c r="I4" i="67" s="1"/>
  <c r="I7" i="67" a="1"/>
  <c r="I7" i="67" s="1"/>
  <c r="I8" i="67" a="1"/>
  <c r="I8" i="67" s="1"/>
  <c r="I5" i="67" a="1"/>
  <c r="I5" i="67" s="1"/>
  <c r="I6" i="67" a="1"/>
  <c r="I6" i="67" s="1"/>
  <c r="M11" i="76" a="1"/>
  <c r="M11" i="76" s="1"/>
  <c r="W25" i="68" a="1"/>
  <c r="Q10" i="68" a="1"/>
  <c r="Q7" i="68" a="1"/>
  <c r="Q15" i="68" a="1"/>
  <c r="Q6" i="68" a="1"/>
  <c r="P30" i="67" a="1"/>
  <c r="V5" i="68" a="1"/>
  <c r="R20" i="68" a="1"/>
  <c r="U20" i="68" a="1"/>
  <c r="V30" i="68" a="1"/>
  <c r="O26" i="68" a="1"/>
  <c r="S22" i="68" a="1"/>
  <c r="S5" i="68" a="1"/>
  <c r="O2" i="68" a="1"/>
  <c r="T18" i="68" a="1"/>
  <c r="U27" i="68" a="1"/>
  <c r="P25" i="67" a="1"/>
  <c r="R11" i="68" a="1"/>
  <c r="V13" i="68" a="1"/>
  <c r="T15" i="68" a="1"/>
  <c r="T26" i="68" a="1"/>
  <c r="Y29" i="68" a="1"/>
  <c r="X30" i="68" a="1"/>
  <c r="R13" i="68" a="1"/>
  <c r="V21" i="68" a="1"/>
  <c r="T7" i="68" a="1"/>
  <c r="X27" i="68" a="1"/>
  <c r="X6" i="68" a="1"/>
  <c r="Q2" i="68" a="1"/>
  <c r="S30" i="68" a="1"/>
  <c r="W10" i="68" a="1"/>
  <c r="W2" i="68" a="1"/>
  <c r="R8" i="68" a="1"/>
  <c r="X21" i="68" a="1"/>
  <c r="X20" i="68" a="1"/>
  <c r="P45" i="67" a="1"/>
  <c r="U19" i="68" a="1"/>
  <c r="Y14" i="68" a="1"/>
  <c r="O8" i="68" a="1"/>
  <c r="S11" i="68" a="1"/>
  <c r="Y21" i="68" a="1"/>
  <c r="Y2" i="68" a="1"/>
  <c r="T10" i="68" a="1"/>
  <c r="T11" i="68" a="1"/>
  <c r="R30" i="68" a="1"/>
  <c r="Y5" i="68" a="1"/>
  <c r="S9" i="68" a="1"/>
  <c r="V7" i="68" a="1"/>
  <c r="W9" i="68" a="1"/>
  <c r="Q21" i="68" a="1"/>
  <c r="U8" i="68" a="1"/>
  <c r="T16" i="68" a="1"/>
  <c r="Y24" i="68" a="1"/>
  <c r="R6" i="68" a="1"/>
  <c r="X5" i="68" a="1"/>
  <c r="V27" i="68" a="1"/>
  <c r="Y16" i="68" a="1"/>
  <c r="S16" i="68" a="1"/>
  <c r="U7" i="68" a="1"/>
  <c r="R19" i="68" a="1"/>
  <c r="V23" i="68" a="1"/>
  <c r="R7" i="68" a="1"/>
  <c r="Q4" i="68" a="1"/>
  <c r="U9" i="68" a="1"/>
  <c r="W23" i="68" a="1"/>
  <c r="U4" i="68" a="1"/>
  <c r="U26" i="68" a="1"/>
  <c r="Q29" i="68" a="1"/>
  <c r="Y4" i="68" a="1"/>
  <c r="W8" i="68" a="1"/>
  <c r="Y10" i="68" a="1"/>
  <c r="P5" i="68" a="1"/>
  <c r="S10" i="68" a="1"/>
  <c r="P13" i="67" a="1"/>
  <c r="V22" i="68" a="1"/>
  <c r="V12" i="68" a="1"/>
  <c r="W14" i="68" a="1"/>
  <c r="R21" i="68" a="1"/>
  <c r="O27" i="68" a="1"/>
  <c r="P21" i="68" a="1"/>
  <c r="T12" i="68" a="1"/>
  <c r="P4" i="68" a="1"/>
  <c r="V10" i="68" a="1"/>
  <c r="X8" i="68" a="1"/>
  <c r="Y3" i="68" a="1"/>
  <c r="V9" i="68" a="1"/>
  <c r="Y28" i="68" a="1"/>
  <c r="U3" i="68" a="1"/>
  <c r="P30" i="68" a="1"/>
  <c r="R22" i="68" a="1"/>
  <c r="Y13" i="68" a="1"/>
  <c r="T13" i="68" a="1"/>
  <c r="P24" i="68" a="1"/>
  <c r="Y12" i="68" a="1"/>
  <c r="W5" i="68" a="1"/>
  <c r="W19" i="68" a="1"/>
  <c r="R12" i="68" a="1"/>
  <c r="W17" i="68" a="1"/>
  <c r="W15" i="68" a="1"/>
  <c r="O28" i="68" a="1"/>
  <c r="R10" i="68" a="1"/>
  <c r="O17" i="68" a="1"/>
  <c r="O14" i="68" a="1"/>
  <c r="S2" i="68" a="1"/>
  <c r="U5" i="68" a="1"/>
  <c r="T30" i="68" a="1"/>
  <c r="Q8" i="68" a="1"/>
  <c r="U16" i="68" a="1"/>
  <c r="S7" i="68" a="1"/>
  <c r="Y25" i="68" a="1"/>
  <c r="X13" i="68" a="1"/>
  <c r="O29" i="68" a="1"/>
  <c r="T4" i="68" a="1"/>
  <c r="R17" i="68" a="1"/>
  <c r="P35" i="67" a="1"/>
  <c r="S4" i="68" a="1"/>
  <c r="U28" i="68" a="1"/>
  <c r="Y17" i="68" a="1"/>
  <c r="T6" i="68" a="1"/>
  <c r="O11" i="68" a="1"/>
  <c r="Y26" i="68" a="1"/>
  <c r="Q26" i="68" a="1"/>
  <c r="P10" i="68" a="1"/>
  <c r="Y11" i="68" a="1"/>
  <c r="T14" i="68" a="1"/>
  <c r="R9" i="68" a="1"/>
  <c r="Y7" i="68" a="1"/>
  <c r="S13" i="68" a="1"/>
  <c r="Q24" i="68" a="1"/>
  <c r="V25" i="68" a="1"/>
  <c r="O19" i="68" a="1"/>
  <c r="W16" i="68" a="1"/>
  <c r="P20" i="67" a="1"/>
  <c r="R28" i="68" a="1"/>
  <c r="X2" i="68" a="1"/>
  <c r="U10" i="68" a="1"/>
  <c r="Y15" i="68" a="1"/>
  <c r="W30" i="68" a="1"/>
  <c r="V11" i="68" a="1"/>
  <c r="Q3" i="68" a="1"/>
  <c r="P36" i="67" a="1"/>
  <c r="W26" i="68" a="1"/>
  <c r="T29" i="68" a="1"/>
  <c r="O3" i="68" a="1"/>
  <c r="X23" i="68" a="1"/>
  <c r="X29" i="68" a="1"/>
  <c r="Y23" i="68" a="1"/>
  <c r="S20" i="68" a="1"/>
  <c r="W22" i="68" a="1"/>
  <c r="V24" i="68" a="1"/>
  <c r="P3" i="68" a="1"/>
  <c r="W20" i="68" a="1"/>
  <c r="P17" i="68" a="1"/>
  <c r="P16" i="68" a="1"/>
  <c r="P28" i="68" a="1"/>
  <c r="T19" i="68" a="1"/>
  <c r="Y30" i="68" a="1"/>
  <c r="X3" i="68" a="1"/>
  <c r="O12" i="68" a="1"/>
  <c r="X9" i="68" a="1"/>
  <c r="S12" i="68" a="1"/>
  <c r="P23" i="68" a="1"/>
  <c r="V17" i="68" a="1"/>
  <c r="O22" i="68" a="1"/>
  <c r="P37" i="67" a="1"/>
  <c r="X28" i="68" a="1"/>
  <c r="S29" i="68" a="1"/>
  <c r="U13" i="68" a="1"/>
  <c r="W11" i="68" a="1"/>
  <c r="R18" i="68" a="1"/>
  <c r="U24" i="68" a="1"/>
  <c r="R23" i="68" a="1"/>
  <c r="O21" i="68" a="1"/>
  <c r="R15" i="68" a="1"/>
  <c r="Q20" i="68" a="1"/>
  <c r="S26" i="68" a="1"/>
  <c r="W18" i="68" a="1"/>
  <c r="T23" i="68" a="1"/>
  <c r="P29" i="68" a="1"/>
  <c r="X4" i="68" a="1"/>
  <c r="Q19" i="68" a="1"/>
  <c r="S3" i="68" a="1"/>
  <c r="Q23" i="68" a="1"/>
  <c r="S24" i="68" a="1"/>
  <c r="P9" i="68" a="1"/>
  <c r="Y8" i="68" a="1"/>
  <c r="Y9" i="68" a="1"/>
  <c r="O9" i="68" a="1"/>
  <c r="S6" i="68" a="1"/>
  <c r="Q18" i="68" a="1"/>
  <c r="V14" i="68" a="1"/>
  <c r="Y27" i="68" a="1"/>
  <c r="U29" i="68" a="1"/>
  <c r="P19" i="67" a="1"/>
  <c r="W12" i="68" a="1"/>
  <c r="S8" i="68" a="1"/>
  <c r="P34" i="67" a="1"/>
  <c r="W24" i="68" a="1"/>
  <c r="P15" i="68" a="1"/>
  <c r="X14" i="68" a="1"/>
  <c r="V20" i="68" a="1"/>
  <c r="O20" i="68" a="1"/>
  <c r="O23" i="68" a="1"/>
  <c r="S23" i="68" a="1"/>
  <c r="V4" i="68" a="1"/>
  <c r="R25" i="68" a="1"/>
  <c r="P7" i="68" a="1"/>
  <c r="U15" i="68" a="1"/>
  <c r="X19" i="68" a="1"/>
  <c r="O13" i="68" a="1"/>
  <c r="T22" i="68" a="1"/>
  <c r="Q28" i="68" a="1"/>
  <c r="O6" i="68" a="1"/>
  <c r="W29" i="68" a="1"/>
  <c r="Q16" i="68" a="1"/>
  <c r="V15" i="68" a="1"/>
  <c r="V29" i="68" a="1"/>
  <c r="Q11" i="68" a="1"/>
  <c r="U18" i="68" a="1"/>
  <c r="P19" i="68" a="1"/>
  <c r="V6" i="68" a="1"/>
  <c r="V19" i="68" a="1"/>
  <c r="U6" i="68" a="1"/>
  <c r="R16" i="68" a="1"/>
  <c r="R3" i="68" a="1"/>
  <c r="O16" i="68" a="1"/>
  <c r="S18" i="68" a="1"/>
  <c r="T8" i="68" a="1"/>
  <c r="U21" i="68" a="1"/>
  <c r="T2" i="68" a="1"/>
  <c r="P44" i="67" a="1"/>
  <c r="P38" i="67" a="1"/>
  <c r="U17" i="68" a="1"/>
  <c r="X10" i="68" a="1"/>
  <c r="O10" i="68" a="1"/>
  <c r="X24" i="68" a="1"/>
  <c r="X25" i="68" a="1"/>
  <c r="R2" i="68" a="1"/>
  <c r="W7" i="68" a="1"/>
  <c r="V28" i="68" a="1"/>
  <c r="T9" i="68" a="1"/>
  <c r="P13" i="68" a="1"/>
  <c r="S21" i="68" a="1"/>
  <c r="W28" i="68" a="1"/>
  <c r="P14" i="68" a="1"/>
  <c r="U22" i="68" a="1"/>
  <c r="W4" i="68" a="1"/>
  <c r="O15" i="68" a="1"/>
  <c r="Y19" i="68" a="1"/>
  <c r="W21" i="68" a="1"/>
  <c r="P11" i="68" a="1"/>
  <c r="P31" i="67" a="1"/>
  <c r="T28" i="68" a="1"/>
  <c r="R26" i="68" a="1"/>
  <c r="P2" i="68" a="1"/>
  <c r="R14" i="68" a="1"/>
  <c r="P24" i="67" a="1"/>
  <c r="X11" i="68" a="1"/>
  <c r="O30" i="68" a="1"/>
  <c r="R5" i="68" a="1"/>
  <c r="U14" i="68" a="1"/>
  <c r="P22" i="68" a="1"/>
  <c r="Q9" i="68" a="1"/>
  <c r="O5" i="68" a="1"/>
  <c r="R27" i="68" a="1"/>
  <c r="V26" i="68" a="1"/>
  <c r="X17" i="68" a="1"/>
  <c r="T3" i="68" a="1"/>
  <c r="X7" i="68" a="1"/>
  <c r="O4" i="68" a="1"/>
  <c r="W13" i="68" a="1"/>
  <c r="S25" i="68" a="1"/>
  <c r="V3" i="68" a="1"/>
  <c r="T5" i="68" a="1"/>
  <c r="Q12" i="68" a="1"/>
  <c r="P25" i="68" a="1"/>
  <c r="U2" i="68" a="1"/>
  <c r="P26" i="67" a="1"/>
  <c r="T24" i="68" a="1"/>
  <c r="S27" i="68" a="1"/>
  <c r="U12" i="68" a="1"/>
  <c r="Q25" i="68" a="1"/>
  <c r="Q5" i="68" a="1"/>
  <c r="O25" i="68" a="1"/>
  <c r="Y22" i="68" a="1"/>
  <c r="P29" i="67" a="1"/>
  <c r="X16" i="68" a="1"/>
  <c r="V18" i="68" a="1"/>
  <c r="S17" i="68" a="1"/>
  <c r="P18" i="68" a="1"/>
  <c r="Q22" i="68" a="1"/>
  <c r="Y18" i="68" a="1"/>
  <c r="R29" i="68" a="1"/>
  <c r="O18" i="68" a="1"/>
  <c r="U30" i="68" a="1"/>
  <c r="Q13" i="68" a="1"/>
  <c r="S28" i="68" a="1"/>
  <c r="Y20" i="68" a="1"/>
  <c r="S15" i="68" a="1"/>
  <c r="S14" i="68" a="1"/>
  <c r="P8" i="68" a="1"/>
  <c r="T25" i="68" a="1"/>
  <c r="V2" i="68" a="1"/>
  <c r="P6" i="68" a="1"/>
  <c r="T27" i="68" a="1"/>
  <c r="P20" i="68" a="1"/>
  <c r="V16" i="68" a="1"/>
  <c r="X12" i="68" a="1"/>
  <c r="X22" i="68" a="1"/>
  <c r="Q27" i="68" a="1"/>
  <c r="W6" i="68" a="1"/>
  <c r="T21" i="68" a="1"/>
  <c r="P27" i="68" a="1"/>
  <c r="Q17" i="68" a="1"/>
  <c r="X15" i="68" a="1"/>
  <c r="V8" i="68" a="1"/>
  <c r="X18" i="68" a="1"/>
  <c r="R24" i="68" a="1"/>
  <c r="W27" i="68" a="1"/>
  <c r="Q14" i="68" a="1"/>
  <c r="P12" i="68" a="1"/>
  <c r="S19" i="68" a="1"/>
  <c r="Q30" i="68" a="1"/>
  <c r="U23" i="68" a="1"/>
  <c r="O24" i="68" a="1"/>
  <c r="T17" i="68" a="1"/>
  <c r="O7" i="68" a="1"/>
  <c r="U25" i="68" a="1"/>
  <c r="W6" i="68" l="1"/>
  <c r="W30" i="68"/>
  <c r="I42" i="44" s="1"/>
  <c r="V17" i="68"/>
  <c r="T10" i="68"/>
  <c r="U29" i="68"/>
  <c r="G41" i="44" s="1"/>
  <c r="O20" i="68"/>
  <c r="R23" i="68"/>
  <c r="P7" i="68"/>
  <c r="R11" i="68"/>
  <c r="R24" i="68"/>
  <c r="X16" i="68"/>
  <c r="U22" i="68"/>
  <c r="R19" i="68"/>
  <c r="S18" i="68"/>
  <c r="X10" i="68"/>
  <c r="Y17" i="68"/>
  <c r="X18" i="68"/>
  <c r="V3" i="68"/>
  <c r="P2" i="68"/>
  <c r="W29" i="68"/>
  <c r="I41" i="44" s="1"/>
  <c r="V13" i="68"/>
  <c r="O26" i="68"/>
  <c r="S11" i="68"/>
  <c r="V8" i="68"/>
  <c r="Y24" i="68"/>
  <c r="Q3" i="68"/>
  <c r="Y10" i="68"/>
  <c r="Y21" i="68"/>
  <c r="O28" i="68"/>
  <c r="S4" i="68"/>
  <c r="X13" i="68"/>
  <c r="V14" i="68"/>
  <c r="V16" i="68"/>
  <c r="P23" i="68"/>
  <c r="R13" i="68"/>
  <c r="Y14" i="68"/>
  <c r="R27" i="68"/>
  <c r="X4" i="68"/>
  <c r="P15" i="68"/>
  <c r="U21" i="68"/>
  <c r="W13" i="68"/>
  <c r="V20" i="68"/>
  <c r="H32" i="44" s="1"/>
  <c r="Y2" i="68"/>
  <c r="S3" i="68"/>
  <c r="U24" i="68"/>
  <c r="W2" i="68"/>
  <c r="R2" i="68"/>
  <c r="W25" i="68"/>
  <c r="V9" i="68"/>
  <c r="S25" i="68"/>
  <c r="S28" i="68"/>
  <c r="W22" i="68"/>
  <c r="X20" i="68"/>
  <c r="O12" i="68"/>
  <c r="V28" i="68"/>
  <c r="Y22" i="68"/>
  <c r="X28" i="68"/>
  <c r="X21" i="68"/>
  <c r="Q9" i="68"/>
  <c r="W12" i="68"/>
  <c r="V15" i="68"/>
  <c r="O4" i="68"/>
  <c r="Q22" i="68"/>
  <c r="R10" i="68"/>
  <c r="R26" i="68"/>
  <c r="O13" i="68"/>
  <c r="W15" i="68"/>
  <c r="Q13" i="68"/>
  <c r="X17" i="68"/>
  <c r="Y7" i="68"/>
  <c r="S7" i="68"/>
  <c r="Y26" i="68"/>
  <c r="S12" i="68"/>
  <c r="S10" i="68"/>
  <c r="P8" i="68"/>
  <c r="W10" i="68"/>
  <c r="U30" i="68"/>
  <c r="G42" i="44" s="1"/>
  <c r="Y20" i="68"/>
  <c r="P4" i="68"/>
  <c r="R21" i="68"/>
  <c r="Y29" i="68"/>
  <c r="K41" i="44" s="1"/>
  <c r="T4" i="68"/>
  <c r="T14" i="68"/>
  <c r="O17" i="68"/>
  <c r="O22" i="68"/>
  <c r="O9" i="68"/>
  <c r="P27" i="68"/>
  <c r="P25" i="68"/>
  <c r="X5" i="68"/>
  <c r="Q29" i="68"/>
  <c r="C41" i="44" s="1"/>
  <c r="Y15" i="68"/>
  <c r="X9" i="68"/>
  <c r="W9" i="68"/>
  <c r="T28" i="68"/>
  <c r="S27" i="68"/>
  <c r="Q14" i="68"/>
  <c r="U8" i="68"/>
  <c r="S24" i="68"/>
  <c r="Y13" i="68"/>
  <c r="Q7" i="68"/>
  <c r="C19" i="44" s="1"/>
  <c r="U20" i="68"/>
  <c r="U10" i="68"/>
  <c r="R8" i="68"/>
  <c r="S20" i="68"/>
  <c r="R5" i="68"/>
  <c r="S26" i="68"/>
  <c r="W26" i="68"/>
  <c r="R9" i="68"/>
  <c r="O16" i="68"/>
  <c r="P30" i="68"/>
  <c r="B42" i="44" s="1"/>
  <c r="Y25" i="68"/>
  <c r="O30" i="68"/>
  <c r="A42" i="44" s="1"/>
  <c r="U9" i="68"/>
  <c r="Y16" i="68"/>
  <c r="U27" i="68"/>
  <c r="U2" i="68"/>
  <c r="V27" i="68"/>
  <c r="P28" i="68"/>
  <c r="U3" i="68"/>
  <c r="Q15" i="68"/>
  <c r="W28" i="68"/>
  <c r="S15" i="68"/>
  <c r="P19" i="68"/>
  <c r="Y12" i="68"/>
  <c r="U25" i="68"/>
  <c r="V5" i="68"/>
  <c r="U13" i="68"/>
  <c r="O6" i="68"/>
  <c r="Q24" i="68"/>
  <c r="W11" i="68"/>
  <c r="I23" i="44" s="1"/>
  <c r="P17" i="68"/>
  <c r="P29" i="68"/>
  <c r="B41" i="44" s="1"/>
  <c r="P3" i="68"/>
  <c r="W14" i="68"/>
  <c r="R20" i="68"/>
  <c r="P9" i="68"/>
  <c r="P21" i="68"/>
  <c r="Q5" i="68"/>
  <c r="V18" i="68"/>
  <c r="W5" i="68"/>
  <c r="O27" i="68"/>
  <c r="T16" i="68"/>
  <c r="V11" i="68"/>
  <c r="Y8" i="68"/>
  <c r="U14" i="68"/>
  <c r="X22" i="68"/>
  <c r="V19" i="68"/>
  <c r="T24" i="68"/>
  <c r="R3" i="68"/>
  <c r="P22" i="68"/>
  <c r="W8" i="68"/>
  <c r="Q2" i="68"/>
  <c r="Y30" i="68"/>
  <c r="K42" i="44" s="1"/>
  <c r="U7" i="68"/>
  <c r="T2" i="68"/>
  <c r="Q12" i="68"/>
  <c r="S29" i="68"/>
  <c r="E41" i="44" s="1"/>
  <c r="W27" i="68"/>
  <c r="V30" i="68"/>
  <c r="H42" i="44" s="1"/>
  <c r="P12" i="68"/>
  <c r="Y19" i="68"/>
  <c r="W7" i="68"/>
  <c r="T15" i="68"/>
  <c r="U28" i="68"/>
  <c r="U4" i="68"/>
  <c r="X25" i="68"/>
  <c r="U16" i="68"/>
  <c r="S6" i="68"/>
  <c r="R22" i="68"/>
  <c r="O3" i="68"/>
  <c r="A15" i="44" s="1"/>
  <c r="P18" i="68"/>
  <c r="R17" i="68"/>
  <c r="Y3" i="68"/>
  <c r="X19" i="68"/>
  <c r="R15" i="68"/>
  <c r="Q6" i="68"/>
  <c r="X30" i="68"/>
  <c r="J42" i="44" s="1"/>
  <c r="Y18" i="68"/>
  <c r="Y27" i="68"/>
  <c r="K39" i="44" s="1"/>
  <c r="O24" i="68"/>
  <c r="P10" i="68"/>
  <c r="O23" i="68"/>
  <c r="Q28" i="68"/>
  <c r="R29" i="68"/>
  <c r="D41" i="44" s="1"/>
  <c r="X23" i="68"/>
  <c r="U15" i="68"/>
  <c r="S14" i="68"/>
  <c r="V23" i="68"/>
  <c r="V2" i="68"/>
  <c r="P13" i="68"/>
  <c r="V7" i="68"/>
  <c r="O7" i="68"/>
  <c r="Y9" i="68"/>
  <c r="S13" i="68"/>
  <c r="T7" i="68"/>
  <c r="V24" i="68"/>
  <c r="O14" i="68"/>
  <c r="Q19" i="68"/>
  <c r="T22" i="68"/>
  <c r="T29" i="68"/>
  <c r="F41" i="44" s="1"/>
  <c r="T30" i="68"/>
  <c r="F42" i="44" s="1"/>
  <c r="X27" i="68"/>
  <c r="T27" i="68"/>
  <c r="U5" i="68"/>
  <c r="V10" i="68"/>
  <c r="Y4" i="68"/>
  <c r="Y5" i="68"/>
  <c r="U19" i="68"/>
  <c r="Y23" i="68"/>
  <c r="T3" i="68"/>
  <c r="F15" i="44" s="1"/>
  <c r="T17" i="68"/>
  <c r="P16" i="68"/>
  <c r="T19" i="68"/>
  <c r="S23" i="68"/>
  <c r="Q20" i="68"/>
  <c r="O15" i="68"/>
  <c r="S2" i="68"/>
  <c r="S30" i="68"/>
  <c r="E42" i="44" s="1"/>
  <c r="T13" i="68"/>
  <c r="X8" i="68"/>
  <c r="X15" i="68"/>
  <c r="T8" i="68"/>
  <c r="R28" i="68"/>
  <c r="W17" i="68"/>
  <c r="S19" i="68"/>
  <c r="X2" i="68"/>
  <c r="T18" i="68"/>
  <c r="P24" i="68"/>
  <c r="S8" i="68"/>
  <c r="P11" i="68"/>
  <c r="X11" i="68"/>
  <c r="T5" i="68"/>
  <c r="X24" i="68"/>
  <c r="Q17" i="68"/>
  <c r="W24" i="68"/>
  <c r="V26" i="68"/>
  <c r="U23" i="68"/>
  <c r="V4" i="68"/>
  <c r="R30" i="68"/>
  <c r="D42" i="44" s="1"/>
  <c r="S5" i="68"/>
  <c r="V12" i="68"/>
  <c r="X6" i="68"/>
  <c r="T11" i="68"/>
  <c r="S9" i="68"/>
  <c r="T21" i="68"/>
  <c r="T26" i="68"/>
  <c r="Q8" i="68"/>
  <c r="S21" i="68"/>
  <c r="Q27" i="68"/>
  <c r="Q30" i="68"/>
  <c r="C42" i="44" s="1"/>
  <c r="P5" i="68"/>
  <c r="X29" i="68"/>
  <c r="J41" i="44" s="1"/>
  <c r="Q21" i="68"/>
  <c r="X12" i="68"/>
  <c r="U12" i="68"/>
  <c r="V29" i="68"/>
  <c r="H41" i="44" s="1"/>
  <c r="Q18" i="68"/>
  <c r="X14" i="68"/>
  <c r="R7" i="68"/>
  <c r="Q23" i="68"/>
  <c r="V25" i="68"/>
  <c r="S16" i="68"/>
  <c r="E28" i="44" s="1"/>
  <c r="Q10" i="68"/>
  <c r="V6" i="68"/>
  <c r="W19" i="68"/>
  <c r="O29" i="68"/>
  <c r="A41" i="44" s="1"/>
  <c r="R12" i="68"/>
  <c r="S17" i="68"/>
  <c r="W4" i="68"/>
  <c r="W21" i="68"/>
  <c r="O25" i="68"/>
  <c r="Q25" i="68"/>
  <c r="S22" i="68"/>
  <c r="U17" i="68"/>
  <c r="U6" i="68"/>
  <c r="W23" i="68"/>
  <c r="R18" i="68"/>
  <c r="Q4" i="68"/>
  <c r="X3" i="68"/>
  <c r="J15" i="44" s="1"/>
  <c r="O10" i="68"/>
  <c r="W20" i="68"/>
  <c r="U26" i="68"/>
  <c r="G38" i="44" s="1"/>
  <c r="P14" i="68"/>
  <c r="P20" i="68"/>
  <c r="T25" i="68"/>
  <c r="R6" i="68"/>
  <c r="D18" i="44" s="1"/>
  <c r="O2" i="68"/>
  <c r="O19" i="68"/>
  <c r="P6" i="68"/>
  <c r="Q11" i="68"/>
  <c r="V21" i="68"/>
  <c r="O21" i="68"/>
  <c r="X7" i="68"/>
  <c r="R14" i="68"/>
  <c r="Q26" i="68"/>
  <c r="T6" i="68"/>
  <c r="U18" i="68"/>
  <c r="Q16" i="68"/>
  <c r="O18" i="68"/>
  <c r="V22" i="68"/>
  <c r="T9" i="68"/>
  <c r="T12" i="68"/>
  <c r="T23" i="68"/>
  <c r="W18" i="68"/>
  <c r="Y11" i="68"/>
  <c r="O5" i="68"/>
  <c r="R16" i="68"/>
  <c r="O11" i="68"/>
  <c r="O8" i="68"/>
  <c r="Y28" i="68"/>
  <c r="W16" i="68"/>
  <c r="R25" i="68"/>
  <c r="P29" i="67"/>
  <c r="D29" i="66" s="1"/>
  <c r="P24" i="67"/>
  <c r="D24" i="66" s="1"/>
  <c r="P37" i="67"/>
  <c r="D37" i="66" s="1"/>
  <c r="P25" i="67"/>
  <c r="D25" i="66" s="1"/>
  <c r="P44" i="67"/>
  <c r="D44" i="66" s="1"/>
  <c r="P19" i="67"/>
  <c r="D19" i="66" s="1"/>
  <c r="P20" i="67"/>
  <c r="D20" i="66" s="1"/>
  <c r="P31" i="67"/>
  <c r="D31" i="66" s="1"/>
  <c r="P35" i="67"/>
  <c r="D35" i="66" s="1"/>
  <c r="P38" i="67"/>
  <c r="D38" i="66" s="1"/>
  <c r="P36" i="67"/>
  <c r="D36" i="66" s="1"/>
  <c r="P13" i="67"/>
  <c r="D13" i="66" s="1"/>
  <c r="P30" i="67"/>
  <c r="D30" i="66" s="1"/>
  <c r="P45" i="67"/>
  <c r="D45" i="66" s="1"/>
  <c r="P26" i="67"/>
  <c r="D26" i="66" s="1"/>
  <c r="P34" i="67"/>
  <c r="D34" i="66" s="1"/>
  <c r="J13" i="76"/>
  <c r="E13" i="76"/>
  <c r="I12" i="76"/>
  <c r="A12" i="76"/>
  <c r="B10" i="76"/>
  <c r="H13" i="76"/>
  <c r="D13" i="76"/>
  <c r="F12" i="76"/>
  <c r="G13" i="76"/>
  <c r="C13" i="76"/>
  <c r="C12" i="76"/>
  <c r="F13" i="76"/>
  <c r="B12" i="76"/>
  <c r="K13" i="76"/>
  <c r="J12" i="76"/>
  <c r="B11" i="76"/>
  <c r="P28" i="67" a="1"/>
  <c r="P32" i="67" a="1"/>
  <c r="P42" i="67" a="1"/>
  <c r="P21" i="67" a="1"/>
  <c r="P47" i="67" a="1"/>
  <c r="P27" i="67" a="1"/>
  <c r="P6" i="67" a="1"/>
  <c r="P11" i="67" a="1"/>
  <c r="P23" i="67" a="1"/>
  <c r="P10" i="67" a="1"/>
  <c r="P3" i="67" a="1"/>
  <c r="P41" i="67" a="1"/>
  <c r="P9" i="67" a="1"/>
  <c r="P8" i="67" a="1"/>
  <c r="P17" i="67" a="1"/>
  <c r="P14" i="67" a="1"/>
  <c r="P40" i="67" a="1"/>
  <c r="P46" i="67" a="1"/>
  <c r="P5" i="67" a="1"/>
  <c r="P39" i="67" a="1"/>
  <c r="P43" i="67" a="1"/>
  <c r="P16" i="67" a="1"/>
  <c r="P7" i="67" a="1"/>
  <c r="P33" i="67" a="1"/>
  <c r="P15" i="67" a="1"/>
  <c r="P4" i="67" a="1"/>
  <c r="P12" i="67" a="1"/>
  <c r="P22" i="67" a="1"/>
  <c r="P18" i="67" a="1"/>
  <c r="P10" i="67" l="1"/>
  <c r="D10" i="66" s="1"/>
  <c r="P46" i="67"/>
  <c r="D46" i="66" s="1"/>
  <c r="P14" i="67"/>
  <c r="D14" i="66" s="1"/>
  <c r="P4" i="67"/>
  <c r="D4" i="66" s="1"/>
  <c r="P32" i="67"/>
  <c r="D32" i="66" s="1"/>
  <c r="P5" i="67"/>
  <c r="D5" i="66" s="1"/>
  <c r="P7" i="67"/>
  <c r="D7" i="66" s="1"/>
  <c r="P18" i="67"/>
  <c r="D18" i="66" s="1"/>
  <c r="P39" i="67"/>
  <c r="D39" i="66" s="1"/>
  <c r="P11" i="67"/>
  <c r="D11" i="66" s="1"/>
  <c r="P22" i="67"/>
  <c r="D22" i="66" s="1"/>
  <c r="P12" i="67"/>
  <c r="D12" i="66" s="1"/>
  <c r="P6" i="67"/>
  <c r="D6" i="66" s="1"/>
  <c r="P8" i="67"/>
  <c r="D8" i="66" s="1"/>
  <c r="P33" i="67"/>
  <c r="D33" i="66" s="1"/>
  <c r="P47" i="67"/>
  <c r="D47" i="66" s="1"/>
  <c r="P42" i="67"/>
  <c r="D42" i="66" s="1"/>
  <c r="P17" i="67"/>
  <c r="D17" i="66" s="1"/>
  <c r="P40" i="67"/>
  <c r="D40" i="66" s="1"/>
  <c r="P3" i="67"/>
  <c r="D3" i="66" s="1"/>
  <c r="P9" i="67"/>
  <c r="D9" i="66" s="1"/>
  <c r="P15" i="67"/>
  <c r="D15" i="66" s="1"/>
  <c r="P41" i="67"/>
  <c r="D41" i="66" s="1"/>
  <c r="P16" i="67"/>
  <c r="D16" i="66" s="1"/>
  <c r="P23" i="67"/>
  <c r="D23" i="66" s="1"/>
  <c r="P27" i="67"/>
  <c r="D27" i="66" s="1"/>
  <c r="P21" i="67"/>
  <c r="D21" i="66" s="1"/>
  <c r="P43" i="67"/>
  <c r="D43" i="66" s="1"/>
  <c r="P28" i="67"/>
  <c r="D28" i="66" s="1"/>
  <c r="A30" i="44"/>
  <c r="I27" i="44"/>
  <c r="C15" i="44"/>
  <c r="D33" i="44"/>
  <c r="K38" i="44"/>
  <c r="G32" i="44"/>
  <c r="E31" i="44"/>
  <c r="H28" i="44"/>
  <c r="G24" i="44"/>
  <c r="G28" i="44"/>
  <c r="I39" i="44"/>
  <c r="A35" i="44"/>
  <c r="C20" i="44"/>
  <c r="G29" i="44"/>
  <c r="E29" i="44"/>
  <c r="E17" i="44"/>
  <c r="H27" i="44"/>
  <c r="E21" i="44"/>
  <c r="K20" i="44"/>
  <c r="D36" i="44"/>
  <c r="I37" i="44"/>
  <c r="F24" i="44"/>
  <c r="E20" i="44"/>
  <c r="B29" i="44"/>
  <c r="K16" i="44"/>
  <c r="I14" i="44"/>
  <c r="E34" i="44"/>
  <c r="D29" i="44"/>
  <c r="B34" i="44"/>
  <c r="F33" i="44"/>
  <c r="K25" i="44"/>
  <c r="B36" i="44"/>
  <c r="J17" i="44"/>
  <c r="K14" i="44"/>
  <c r="B21" i="44"/>
  <c r="A17" i="44"/>
  <c r="G34" i="44"/>
  <c r="H36" i="44"/>
  <c r="I15" i="44"/>
  <c r="K31" i="44"/>
  <c r="A25" i="44"/>
  <c r="I26" i="44"/>
  <c r="B30" i="44"/>
  <c r="A27" i="44"/>
  <c r="F35" i="44"/>
  <c r="A37" i="44"/>
  <c r="K35" i="44"/>
  <c r="H15" i="44"/>
  <c r="G14" i="44"/>
  <c r="C38" i="44"/>
  <c r="H21" i="44"/>
  <c r="K34" i="44"/>
  <c r="J36" i="44"/>
  <c r="J37" i="44"/>
  <c r="B22" i="44"/>
  <c r="E22" i="44"/>
  <c r="F25" i="44"/>
  <c r="D25" i="44"/>
  <c r="C18" i="44"/>
  <c r="D15" i="44"/>
  <c r="D24" i="44"/>
  <c r="D39" i="44"/>
  <c r="C29" i="44"/>
  <c r="B32" i="44"/>
  <c r="F30" i="44"/>
  <c r="I34" i="44"/>
  <c r="E38" i="44"/>
  <c r="C39" i="44"/>
  <c r="J21" i="44"/>
  <c r="B16" i="44"/>
  <c r="G27" i="44"/>
  <c r="C21" i="44"/>
  <c r="F29" i="44"/>
  <c r="F27" i="44"/>
  <c r="F37" i="44"/>
  <c r="A20" i="44"/>
  <c r="I16" i="44"/>
  <c r="I30" i="44"/>
  <c r="K37" i="44"/>
  <c r="A23" i="44"/>
  <c r="D38" i="44"/>
  <c r="G15" i="44"/>
  <c r="G23" i="44"/>
  <c r="H17" i="44"/>
  <c r="C17" i="44"/>
  <c r="J19" i="44"/>
  <c r="F36" i="44"/>
  <c r="K18" i="44"/>
  <c r="E25" i="44"/>
  <c r="H22" i="44"/>
  <c r="D16" i="44"/>
  <c r="F32" i="44"/>
  <c r="B14" i="44"/>
  <c r="B15" i="44"/>
  <c r="I18" i="44"/>
  <c r="J38" i="44"/>
  <c r="C37" i="44"/>
  <c r="J34" i="44"/>
  <c r="B17" i="44"/>
  <c r="C35" i="44"/>
  <c r="G25" i="44"/>
  <c r="B23" i="44"/>
  <c r="J20" i="44"/>
  <c r="D17" i="44"/>
  <c r="D28" i="44"/>
  <c r="B25" i="44"/>
  <c r="J27" i="44"/>
  <c r="A33" i="44"/>
  <c r="K21" i="44"/>
  <c r="J23" i="44"/>
  <c r="I20" i="44"/>
  <c r="H26" i="44"/>
  <c r="G36" i="44"/>
  <c r="K27" i="44"/>
  <c r="J22" i="44"/>
  <c r="C25" i="44"/>
  <c r="G18" i="44"/>
  <c r="K32" i="44"/>
  <c r="C30" i="44"/>
  <c r="K29" i="44"/>
  <c r="H18" i="44"/>
  <c r="E36" i="44"/>
  <c r="I24" i="44"/>
  <c r="F14" i="44"/>
  <c r="D21" i="44"/>
  <c r="J33" i="44"/>
  <c r="J30" i="44"/>
  <c r="C31" i="44"/>
  <c r="K17" i="44"/>
  <c r="B27" i="44"/>
  <c r="D35" i="44"/>
  <c r="D26" i="44"/>
  <c r="J26" i="44"/>
  <c r="B18" i="44"/>
  <c r="A32" i="44"/>
  <c r="G22" i="44"/>
  <c r="K23" i="44"/>
  <c r="H20" i="44"/>
  <c r="I38" i="44"/>
  <c r="B19" i="44"/>
  <c r="J28" i="44"/>
  <c r="A21" i="44"/>
  <c r="I25" i="44"/>
  <c r="E32" i="44"/>
  <c r="J29" i="44"/>
  <c r="J31" i="44"/>
  <c r="H35" i="44"/>
  <c r="G35" i="44"/>
  <c r="E18" i="44"/>
  <c r="F34" i="44"/>
  <c r="F28" i="44"/>
  <c r="F19" i="44"/>
  <c r="B38" i="44"/>
  <c r="G21" i="44"/>
  <c r="E27" i="44"/>
  <c r="D31" i="44"/>
  <c r="I29" i="44"/>
  <c r="G30" i="44"/>
  <c r="H39" i="44"/>
  <c r="C33" i="44"/>
  <c r="F22" i="44"/>
  <c r="H24" i="44"/>
  <c r="I17" i="44"/>
  <c r="I28" i="44"/>
  <c r="F26" i="44"/>
  <c r="A39" i="44"/>
  <c r="J39" i="44"/>
  <c r="F31" i="44"/>
  <c r="G26" i="44"/>
  <c r="E24" i="44"/>
  <c r="C34" i="44"/>
  <c r="J16" i="44"/>
  <c r="B31" i="44"/>
  <c r="E35" i="44"/>
  <c r="D34" i="44"/>
  <c r="A24" i="44"/>
  <c r="A22" i="44"/>
  <c r="F39" i="44"/>
  <c r="B28" i="44"/>
  <c r="A18" i="44"/>
  <c r="J25" i="44"/>
  <c r="E30" i="44"/>
  <c r="H29" i="44"/>
  <c r="J14" i="44"/>
  <c r="K24" i="44"/>
  <c r="H25" i="44"/>
  <c r="I35" i="44"/>
  <c r="E26" i="44"/>
  <c r="H30" i="44"/>
  <c r="D37" i="44"/>
  <c r="E33" i="44"/>
  <c r="I33" i="44"/>
  <c r="G37" i="44"/>
  <c r="D32" i="44"/>
  <c r="C23" i="44"/>
  <c r="G16" i="44"/>
  <c r="D30" i="44"/>
  <c r="B33" i="44"/>
  <c r="A36" i="44"/>
  <c r="H33" i="44"/>
  <c r="C22" i="44"/>
  <c r="H23" i="44"/>
  <c r="J35" i="44"/>
  <c r="J18" i="44"/>
  <c r="K22" i="44"/>
  <c r="C16" i="44"/>
  <c r="K28" i="44"/>
  <c r="I22" i="44"/>
  <c r="A26" i="44"/>
  <c r="A34" i="44"/>
  <c r="E14" i="44"/>
  <c r="A28" i="44"/>
  <c r="G20" i="44"/>
  <c r="K15" i="44"/>
  <c r="H37" i="44"/>
  <c r="F21" i="44"/>
  <c r="E15" i="44"/>
  <c r="D27" i="44"/>
  <c r="G17" i="44"/>
  <c r="A16" i="44"/>
  <c r="C28" i="44"/>
  <c r="K33" i="44"/>
  <c r="E37" i="44"/>
  <c r="C36" i="44"/>
  <c r="D19" i="44"/>
  <c r="J24" i="44"/>
  <c r="H38" i="44"/>
  <c r="I36" i="44"/>
  <c r="K30" i="44"/>
  <c r="D14" i="44"/>
  <c r="G33" i="44"/>
  <c r="H14" i="44"/>
  <c r="E19" i="44"/>
  <c r="B26" i="44"/>
  <c r="E39" i="44"/>
  <c r="C27" i="44"/>
  <c r="F38" i="44"/>
  <c r="B20" i="44"/>
  <c r="C26" i="44"/>
  <c r="F23" i="44"/>
  <c r="A38" i="44"/>
  <c r="A14" i="44"/>
  <c r="M11" i="44" s="1" a="1"/>
  <c r="M11" i="44" s="1"/>
  <c r="A19" i="44"/>
  <c r="J32" i="44"/>
  <c r="C14" i="44"/>
  <c r="E23" i="44"/>
  <c r="D20" i="44"/>
  <c r="G19" i="44"/>
  <c r="B39" i="44"/>
  <c r="B37" i="44"/>
  <c r="I31" i="44"/>
  <c r="D23" i="44"/>
  <c r="I19" i="44"/>
  <c r="F20" i="44"/>
  <c r="K36" i="44"/>
  <c r="K26" i="44"/>
  <c r="I32" i="44"/>
  <c r="F17" i="44"/>
  <c r="F18" i="44"/>
  <c r="A31" i="44"/>
  <c r="G31" i="44"/>
  <c r="K19" i="44"/>
  <c r="E16" i="44"/>
  <c r="C24" i="44"/>
  <c r="A29" i="44"/>
  <c r="F16" i="44"/>
  <c r="G39" i="44"/>
  <c r="B24" i="44"/>
  <c r="C32" i="44"/>
  <c r="D22" i="44"/>
  <c r="H34" i="44"/>
  <c r="B35" i="44"/>
  <c r="H16" i="44"/>
  <c r="I21" i="44"/>
  <c r="H19" i="44"/>
  <c r="H31" i="44"/>
  <c r="P2" i="67" a="1"/>
  <c r="N2" i="67" a="1"/>
  <c r="M2" i="67" a="1"/>
  <c r="O2" i="67" a="1"/>
  <c r="L2" i="67" a="1"/>
  <c r="N2" i="67" l="1"/>
  <c r="B2" i="66" s="1"/>
  <c r="O2" i="67"/>
  <c r="C2" i="66" s="1"/>
  <c r="P2" i="67"/>
  <c r="D2" i="66" s="1"/>
  <c r="L2" i="67"/>
  <c r="A2" i="66" s="1"/>
  <c r="M2" i="67"/>
  <c r="G40" i="44"/>
  <c r="A40" i="44"/>
  <c r="B1" i="76"/>
  <c r="A12" i="44"/>
  <c r="E13" i="44"/>
  <c r="D13" i="44"/>
  <c r="G13" i="44"/>
  <c r="J12" i="44"/>
  <c r="H13" i="44"/>
  <c r="F13" i="44"/>
  <c r="F12" i="44"/>
  <c r="K13" i="44"/>
  <c r="C12" i="44"/>
  <c r="I12" i="44"/>
  <c r="B10" i="44"/>
  <c r="B12" i="44"/>
  <c r="B11" i="44"/>
  <c r="J13" i="44"/>
  <c r="C13" i="44"/>
  <c r="C40" i="44"/>
  <c r="D40" i="44"/>
  <c r="B40" i="44"/>
  <c r="F40" i="44"/>
  <c r="E40" i="44"/>
  <c r="I40" i="44"/>
  <c r="H40" i="44"/>
  <c r="K40" i="44"/>
  <c r="J40" i="44"/>
  <c r="B1"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s>
  <commentList>
    <comment ref="B7" authorId="0" shapeId="0" xr:uid="{00000000-0006-0000-0100-000001000000}">
      <text>
        <r>
          <rPr>
            <sz val="8"/>
            <color indexed="81"/>
            <rFont val="Arial"/>
            <family val="2"/>
          </rPr>
          <t>Bitte Reg.-Nr. auswählen, siehe 
Zertifikat Beispiel, und dann 
die grauen Felder ausfüllen.</t>
        </r>
      </text>
    </comment>
    <comment ref="I7" authorId="0" shapeId="0" xr:uid="{00000000-0006-0000-0100-000002000000}">
      <text/>
    </comment>
    <comment ref="B13" authorId="0" shapeId="0" xr:uid="{00000000-0006-0000-0100-000003000000}">
      <text>
        <r>
          <rPr>
            <sz val="9"/>
            <color indexed="81"/>
            <rFont val="Arial"/>
            <family val="2"/>
          </rPr>
          <t>Name, Vorname</t>
        </r>
      </text>
    </comment>
    <comment ref="I13" authorId="0" shapeId="0" xr:uid="{00000000-0006-0000-0100-000004000000}">
      <text>
        <r>
          <rPr>
            <sz val="9"/>
            <color indexed="81"/>
            <rFont val="Arial"/>
            <family val="2"/>
          </rPr>
          <t>tt.mm.jjjj
Übertrag in weitere Tabellenblätter erfolgt automatisch.</t>
        </r>
      </text>
    </comment>
    <comment ref="I15" authorId="0" shapeId="0" xr:uid="{00000000-0006-0000-0100-000005000000}">
      <text>
        <r>
          <rPr>
            <sz val="9"/>
            <color indexed="81"/>
            <rFont val="Arial"/>
            <family val="2"/>
          </rPr>
          <t>Auswahl erfolgt über Reg.-Nr.</t>
        </r>
      </text>
    </comment>
    <comment ref="F24" authorId="0" shapeId="0" xr:uid="{00000000-0006-0000-0100-000006000000}">
      <text>
        <r>
          <rPr>
            <sz val="9"/>
            <color indexed="81"/>
            <rFont val="Arial"/>
            <family val="2"/>
          </rPr>
          <t>Subjektive Bewertung der Zusammenarbeit hinsichtlich Darlegung der Zertifizierungsdaten und Rückmeldung der Follow-Up-Daten.</t>
        </r>
      </text>
    </comment>
    <comment ref="F27" authorId="0" shapeId="0" xr:uid="{00000000-0006-0000-01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A31" authorId="0" shapeId="0" xr:uid="{00000000-0006-0000-0100-000008000000}">
      <text>
        <r>
          <rPr>
            <sz val="9"/>
            <color indexed="81"/>
            <rFont val="Arial"/>
            <family val="2"/>
          </rPr>
          <t>EB = Erhebungsbogen
KB = Kennzahlenbogen
KN = Kennzahlen</t>
        </r>
      </text>
    </comment>
    <comment ref="I33" authorId="1" shapeId="0" xr:uid="{00000000-0006-0000-0100-000009000000}">
      <text>
        <r>
          <rPr>
            <sz val="9"/>
            <color indexed="81"/>
            <rFont val="Arial"/>
            <family val="2"/>
          </rPr>
          <t>Teil von Nenner KN: 32</t>
        </r>
      </text>
    </comment>
    <comment ref="J33" authorId="1" shapeId="0" xr:uid="{00000000-0006-0000-0100-00000A000000}">
      <text>
        <r>
          <rPr>
            <sz val="9"/>
            <color indexed="81"/>
            <rFont val="Arial"/>
            <family val="2"/>
          </rPr>
          <t>Teil von Nenner KN: 32</t>
        </r>
      </text>
    </comment>
    <comment ref="K33" authorId="0" shapeId="0" xr:uid="{00000000-0006-0000-0100-00000B000000}">
      <text>
        <r>
          <rPr>
            <sz val="9"/>
            <color indexed="81"/>
            <rFont val="Arial"/>
            <family val="2"/>
          </rPr>
          <t>Anzahl KN: 1a
Nenner KN: 2a, 7
Teil von Nenner KN: 5, 6</t>
        </r>
      </text>
    </comment>
    <comment ref="A34" authorId="0" shapeId="0" xr:uid="{00000000-0006-0000-0100-00000C000000}">
      <text>
        <r>
          <rPr>
            <sz val="9"/>
            <color indexed="81"/>
            <rFont val="Arial"/>
            <family val="2"/>
          </rPr>
          <t>Def. gemäß EB 5.2.2</t>
        </r>
      </text>
    </comment>
    <comment ref="B34" authorId="0" shapeId="0" xr:uid="{00000000-0006-0000-0100-00000D000000}">
      <text>
        <r>
          <rPr>
            <sz val="9"/>
            <color indexed="81"/>
            <rFont val="Arial"/>
            <family val="2"/>
          </rPr>
          <t>Teil von Nenner KN: 16</t>
        </r>
      </text>
    </comment>
    <comment ref="C34" authorId="0" shapeId="0" xr:uid="{00000000-0006-0000-0100-00000E000000}">
      <text>
        <r>
          <rPr>
            <sz val="9"/>
            <color indexed="81"/>
            <rFont val="Arial"/>
            <family val="2"/>
          </rPr>
          <t>Teil von Nenner KN: 3, 16</t>
        </r>
      </text>
    </comment>
    <comment ref="D34" authorId="0" shapeId="0" xr:uid="{00000000-0006-0000-0100-00000F000000}">
      <text>
        <r>
          <rPr>
            <sz val="9"/>
            <color indexed="81"/>
            <rFont val="Arial"/>
            <family val="2"/>
          </rPr>
          <t>Teil von Nenner KN: 3, 16</t>
        </r>
      </text>
    </comment>
    <comment ref="E34" authorId="0" shapeId="0" xr:uid="{00000000-0006-0000-0100-000010000000}">
      <text>
        <r>
          <rPr>
            <sz val="9"/>
            <color indexed="81"/>
            <rFont val="Arial"/>
            <family val="2"/>
          </rPr>
          <t>Teil von Nenner KN: 3, 16</t>
        </r>
      </text>
    </comment>
    <comment ref="F34" authorId="0" shapeId="0" xr:uid="{00000000-0006-0000-0100-000011000000}">
      <text>
        <r>
          <rPr>
            <sz val="9"/>
            <color indexed="81"/>
            <rFont val="Arial"/>
            <family val="2"/>
          </rPr>
          <t>Teil von Nenner KN: 3, 17</t>
        </r>
      </text>
    </comment>
    <comment ref="G34" authorId="0" shapeId="0" xr:uid="{00000000-0006-0000-0100-000012000000}">
      <text>
        <r>
          <rPr>
            <sz val="9"/>
            <color indexed="81"/>
            <rFont val="Arial"/>
            <family val="2"/>
          </rPr>
          <t>Teil von Nenner KN: 3, 17</t>
        </r>
      </text>
    </comment>
    <comment ref="K34" authorId="0" shapeId="0" xr:uid="{00000000-0006-0000-0100-000013000000}">
      <text>
        <r>
          <rPr>
            <sz val="9"/>
            <color indexed="81"/>
            <rFont val="Arial"/>
            <family val="2"/>
          </rPr>
          <t>Anzahl KN: 11a
Nenner KN: 13, 14, 15</t>
        </r>
      </text>
    </comment>
    <comment ref="A39" authorId="0" shapeId="0" xr:uid="{00000000-0006-0000-0100-000014000000}">
      <text>
        <r>
          <rPr>
            <sz val="9"/>
            <color indexed="81"/>
            <rFont val="Arial"/>
            <family val="2"/>
          </rPr>
          <t>Def. gemäß EB 5.2.2</t>
        </r>
      </text>
    </comment>
    <comment ref="K39" authorId="1" shapeId="0" xr:uid="{00000000-0006-0000-0100-000015000000}">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400-000001000000}">
      <text>
        <r>
          <rPr>
            <sz val="9"/>
            <color indexed="81"/>
            <rFont val="Arial"/>
            <family val="2"/>
          </rPr>
          <t>Übertrag erfolgt aus Tabellenblatt Basisdaten</t>
        </r>
      </text>
    </comment>
    <comment ref="C8" authorId="0" shapeId="0" xr:uid="{00000000-0006-0000-0400-000002000000}">
      <text>
        <r>
          <rPr>
            <sz val="9"/>
            <color indexed="81"/>
            <rFont val="Arial"/>
            <family val="2"/>
          </rPr>
          <t>Übertrag erfolgt aus Tabellenblatt Basisdaten</t>
        </r>
      </text>
    </comment>
    <comment ref="L8" authorId="0" shapeId="0" xr:uid="{00000000-0006-0000-0400-000003000000}">
      <text>
        <r>
          <rPr>
            <sz val="9"/>
            <color indexed="81"/>
            <rFont val="Arial"/>
            <family val="2"/>
          </rPr>
          <t>Übertrag erfolgt aus Tabellenblatt Basisdaten</t>
        </r>
      </text>
    </comment>
    <comment ref="A12" authorId="0" shapeId="0" xr:uid="{00000000-0006-0000-0400-000004000000}">
      <text>
        <r>
          <rPr>
            <sz val="9"/>
            <color indexed="81"/>
            <rFont val="Arial"/>
            <family val="2"/>
          </rPr>
          <t>KN = Kennzahl</t>
        </r>
      </text>
    </comment>
    <comment ref="B12" authorId="0" shapeId="0" xr:uid="{00000000-0006-0000-0400-000005000000}">
      <text>
        <r>
          <rPr>
            <sz val="9"/>
            <color indexed="81"/>
            <rFont val="Arial"/>
            <family val="2"/>
          </rPr>
          <t xml:space="preserve">EB = Erhebungbogen </t>
        </r>
      </text>
    </comment>
    <comment ref="H13" authorId="0" shapeId="0" xr:uid="{00000000-0006-0000-0400-000006000000}">
      <text>
        <r>
          <rPr>
            <sz val="9"/>
            <color indexed="81"/>
            <rFont val="Arial"/>
            <family val="2"/>
          </rPr>
          <t>Zu jedem Leistungserbringer müssen die Spalten I bis M ausgefüllt werden.</t>
        </r>
      </text>
    </comment>
    <comment ref="Q13" authorId="0" shapeId="0" xr:uid="{00000000-0006-0000-0400-000007000000}">
      <text>
        <r>
          <rPr>
            <sz val="9"/>
            <color indexed="81"/>
            <rFont val="Arial"/>
            <family val="2"/>
          </rPr>
          <t>Wenn Zelle grau, bitte Begründung angeben.</t>
        </r>
      </text>
    </comment>
    <comment ref="M14" authorId="0" shapeId="0" xr:uid="{00000000-0006-0000-0400-000008000000}">
      <text>
        <r>
          <rPr>
            <sz val="9"/>
            <color indexed="81"/>
            <rFont val="Arial"/>
            <family val="2"/>
          </rPr>
          <t>Zu jedem Leistungserbringer müssen die Spalten I bis M ausgefüllt werden.</t>
        </r>
      </text>
    </comment>
    <comment ref="P14" authorId="1" shapeId="0" xr:uid="{00000000-0006-0000-0400-000009000000}">
      <text>
        <r>
          <rPr>
            <sz val="9"/>
            <color indexed="81"/>
            <rFont val="Arial"/>
            <family val="2"/>
          </rPr>
          <t xml:space="preserve">Unabhängig von der Datenqualität gesamt muss pro PNEU/STR/PAT ein evtl. vorhandenes Datendefizit erläutert werden. </t>
        </r>
      </text>
    </comment>
    <comment ref="M17" authorId="0" shapeId="0" xr:uid="{00000000-0006-0000-0400-00000A000000}">
      <text>
        <r>
          <rPr>
            <sz val="9"/>
            <color indexed="81"/>
            <rFont val="Arial"/>
            <family val="2"/>
          </rPr>
          <t>Zu jedem Leistungserbringer müssen die Spalten I bis M ausgefüllt werden.</t>
        </r>
      </text>
    </comment>
    <comment ref="P17" authorId="1" shapeId="0" xr:uid="{00000000-0006-0000-0400-00000B000000}">
      <text>
        <r>
          <rPr>
            <sz val="9"/>
            <color indexed="81"/>
            <rFont val="Arial"/>
            <family val="2"/>
          </rPr>
          <t xml:space="preserve">Unabhängig von der Datenqualität gesamt muss pro PNEU/STR/PAT ein evtl. vorhandenes Datendefizit erläutert werden. </t>
        </r>
      </text>
    </comment>
    <comment ref="M20" authorId="0" shapeId="0" xr:uid="{00000000-0006-0000-0400-00000C000000}">
      <text>
        <r>
          <rPr>
            <sz val="9"/>
            <color indexed="81"/>
            <rFont val="Arial"/>
            <family val="2"/>
          </rPr>
          <t>Zu jedem Leistungserbringer müssen die Spalten I bis M ausgefüllt werden.</t>
        </r>
      </text>
    </comment>
    <comment ref="P20" authorId="1" shapeId="0" xr:uid="{00000000-0006-0000-0400-00000D000000}">
      <text>
        <r>
          <rPr>
            <sz val="9"/>
            <color indexed="81"/>
            <rFont val="Arial"/>
            <family val="2"/>
          </rPr>
          <t xml:space="preserve">Unabhängig von der Datenqualität gesamt muss pro PNEU/STR/PAT ein evtl. vorhandenes Datendefizit erläutert werden. </t>
        </r>
      </text>
    </comment>
    <comment ref="M24" authorId="0" shapeId="0" xr:uid="{00000000-0006-0000-0400-00000E000000}">
      <text>
        <r>
          <rPr>
            <sz val="9"/>
            <color indexed="81"/>
            <rFont val="Arial"/>
            <family val="2"/>
          </rPr>
          <t>Zu jedem Leistungserbringer müssen die Spalten I bis M ausgefüllt werden.</t>
        </r>
      </text>
    </comment>
    <comment ref="P24" authorId="1" shapeId="0" xr:uid="{00000000-0006-0000-0400-00000F000000}">
      <text>
        <r>
          <rPr>
            <sz val="9"/>
            <color indexed="81"/>
            <rFont val="Arial"/>
            <family val="2"/>
          </rPr>
          <t xml:space="preserve">Unabhängig von der Datenqualität gesamt muss pro PNEU/STR/PAT ein evtl. vorhandenes Datendefizit erläutert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600-000001000000}">
      <text>
        <r>
          <rPr>
            <sz val="9"/>
            <color indexed="81"/>
            <rFont val="Arial"/>
            <family val="2"/>
          </rPr>
          <t>Übertrag erfolgt aus Tabellenblatt Basisdaten</t>
        </r>
      </text>
    </comment>
    <comment ref="C8" authorId="0" shapeId="0" xr:uid="{00000000-0006-0000-0600-000002000000}">
      <text>
        <r>
          <rPr>
            <sz val="9"/>
            <color indexed="81"/>
            <rFont val="Arial"/>
            <family val="2"/>
          </rPr>
          <t>Übertrag erfolgt aus Tabellenblatt Basisdaten</t>
        </r>
      </text>
    </comment>
    <comment ref="N8" authorId="0" shapeId="0" xr:uid="{00000000-0006-0000-0600-000003000000}">
      <text>
        <r>
          <rPr>
            <sz val="9"/>
            <color indexed="81"/>
            <rFont val="Arial"/>
            <family val="2"/>
          </rPr>
          <t>Übertrag erfolgt aus Tabellenblatt Basisdaten</t>
        </r>
      </text>
    </comment>
    <comment ref="A12" authorId="0" shapeId="0" xr:uid="{00000000-0006-0000-0600-000004000000}">
      <text>
        <r>
          <rPr>
            <sz val="9"/>
            <color indexed="81"/>
            <rFont val="Arial"/>
            <family val="2"/>
          </rPr>
          <t>KN = Kennzahl</t>
        </r>
      </text>
    </comment>
    <comment ref="B12" authorId="0" shapeId="0" xr:uid="{00000000-0006-0000-0600-000005000000}">
      <text>
        <r>
          <rPr>
            <sz val="9"/>
            <color indexed="81"/>
            <rFont val="Arial"/>
            <family val="2"/>
          </rPr>
          <t xml:space="preserve">EB = Erhebungbogen </t>
        </r>
      </text>
    </comment>
    <comment ref="J13" authorId="0" shapeId="0" xr:uid="{00000000-0006-0000-0600-000006000000}">
      <text>
        <r>
          <rPr>
            <sz val="9"/>
            <color indexed="81"/>
            <rFont val="Arial"/>
            <family val="2"/>
          </rPr>
          <t>Zu jedem Leistungserbringer müssen die Spalten I bis M ausgefüllt werden.</t>
        </r>
      </text>
    </comment>
    <comment ref="U13" authorId="0" shapeId="0" xr:uid="{00000000-0006-0000-0600-000007000000}">
      <text>
        <r>
          <rPr>
            <sz val="9"/>
            <color indexed="81"/>
            <rFont val="Arial"/>
            <family val="2"/>
          </rPr>
          <t>Wenn Zelle grau, bitte Begründung angeben.</t>
        </r>
      </text>
    </comment>
    <comment ref="O14" authorId="0" shapeId="0" xr:uid="{00000000-0006-0000-0600-000008000000}">
      <text>
        <r>
          <rPr>
            <sz val="9"/>
            <color indexed="81"/>
            <rFont val="Arial"/>
            <family val="2"/>
          </rPr>
          <t xml:space="preserve">Zu jedem Leistungserbringer müssen die Spalten K bis O ausgefüllt werden.
</t>
        </r>
        <r>
          <rPr>
            <b/>
            <sz val="9"/>
            <color indexed="81"/>
            <rFont val="Arial"/>
            <family val="2"/>
          </rPr>
          <t xml:space="preserve">
Summe operative Primärfälle pro Abteilung muss mit Basisdaten - Zelle K34 übereinstimmen.</t>
        </r>
      </text>
    </comment>
    <comment ref="T14" authorId="1" shapeId="0" xr:uid="{00000000-0006-0000-0600-000009000000}">
      <text>
        <r>
          <rPr>
            <sz val="9"/>
            <color indexed="81"/>
            <rFont val="Arial"/>
            <family val="2"/>
          </rPr>
          <t xml:space="preserve">Unabhängig von der Datenqualität gesamt muss pro TCH ein evtl. vorhandenes Datendefizit erläutert werden. </t>
        </r>
      </text>
    </comment>
    <comment ref="O17" authorId="0" shapeId="0" xr:uid="{00000000-0006-0000-0600-00000A000000}">
      <text>
        <r>
          <rPr>
            <sz val="9"/>
            <color indexed="81"/>
            <rFont val="Arial"/>
            <family val="2"/>
          </rPr>
          <t xml:space="preserve">Zu jedem Leistungserbringer müssen die Spalten K bis O ausgefüllt werden.
</t>
        </r>
        <r>
          <rPr>
            <b/>
            <sz val="9"/>
            <color indexed="81"/>
            <rFont val="Arial"/>
            <family val="2"/>
          </rPr>
          <t>Summe operative Expertise pro Abteilung muss mit Basisdaten - Zelle K39 übereinstimmen.</t>
        </r>
        <r>
          <rPr>
            <sz val="9"/>
            <color indexed="81"/>
            <rFont val="Arial"/>
            <family val="2"/>
          </rPr>
          <t xml:space="preserve">
</t>
        </r>
        <r>
          <rPr>
            <b/>
            <sz val="9"/>
            <color indexed="81"/>
            <rFont val="Arial"/>
            <family val="2"/>
          </rPr>
          <t xml:space="preserve">Fallzahlsonderregelung bei Thoraxchirurgien, die unter gemeinsamer Leitung stehen </t>
        </r>
        <r>
          <rPr>
            <sz val="9"/>
            <color indexed="81"/>
            <rFont val="Arial"/>
            <family val="2"/>
          </rPr>
          <t>(Auszug EB Kap. 1.1.1): Eine der thoraxchirurgischen Abteilungen muss die operativen Fallzahlen eigenständig erfüllen (Hauptstandort), die 2. (und ggf. max. 3.) Abteilung (Nebenstandort) mind. 40 anatomische Lungenresektionen.
Bei Erläuterung Datendefizit ist auf die gemeinsame thoraxchirurgische Leitung Bezug zu nehmen.</t>
        </r>
      </text>
    </comment>
    <comment ref="T17" authorId="1" shapeId="0" xr:uid="{00000000-0006-0000-0600-00000B000000}">
      <text>
        <r>
          <rPr>
            <sz val="9"/>
            <color indexed="81"/>
            <rFont val="Arial"/>
            <family val="2"/>
          </rPr>
          <t xml:space="preserve">Unabhängig von der Datenqualität gesamt muss pro TCH ein evtl. vorhandenes Datendefizit erläutert werden. </t>
        </r>
      </text>
    </comment>
    <comment ref="T20" authorId="1" shapeId="0" xr:uid="{00000000-0006-0000-0600-00000C000000}">
      <text>
        <r>
          <rPr>
            <sz val="9"/>
            <color indexed="81"/>
            <rFont val="Arial"/>
            <family val="2"/>
          </rPr>
          <t xml:space="preserve">Unabhängig von der Datenqualität gesamt muss pro TCH ein evtl. vorhandenes Datendefizit erläutert werden. </t>
        </r>
      </text>
    </comment>
    <comment ref="T23" authorId="1" shapeId="0" xr:uid="{00000000-0006-0000-0600-00000D000000}">
      <text>
        <r>
          <rPr>
            <sz val="9"/>
            <color indexed="81"/>
            <rFont val="Arial"/>
            <family val="2"/>
          </rPr>
          <t xml:space="preserve">Unabhängig von der Datenqualität gesamt muss pro TCH ein evtl. vorhandenes Datendefizit erläutert werden. </t>
        </r>
      </text>
    </comment>
    <comment ref="T26" authorId="1" shapeId="0" xr:uid="{00000000-0006-0000-0600-00000E000000}">
      <text>
        <r>
          <rPr>
            <sz val="9"/>
            <color indexed="81"/>
            <rFont val="Arial"/>
            <family val="2"/>
          </rPr>
          <t xml:space="preserve">Unabhängig von der Datenqualität gesamt muss pro TCH ein evtl. vorhandenes Datendefizit erläutert werden. </t>
        </r>
      </text>
    </comment>
    <comment ref="T29" authorId="1" shapeId="0" xr:uid="{00000000-0006-0000-0600-00000F000000}">
      <text>
        <r>
          <rPr>
            <sz val="9"/>
            <color indexed="81"/>
            <rFont val="Arial"/>
            <family val="2"/>
          </rPr>
          <t xml:space="preserve">Unabhängig von der Datenqualität gesamt muss pro TCH ein evtl. vorhandenes Datendefizit erläutert werden. </t>
        </r>
      </text>
    </comment>
    <comment ref="T32" authorId="1" shapeId="0" xr:uid="{00000000-0006-0000-0600-000010000000}">
      <text>
        <r>
          <rPr>
            <sz val="9"/>
            <color indexed="81"/>
            <rFont val="Arial"/>
            <family val="2"/>
          </rPr>
          <t xml:space="preserve">Unabhängig von der Datenqualität gesamt muss pro TCH ein evtl. vorhandenes Datendefizit erläutert werden. </t>
        </r>
        <r>
          <rPr>
            <sz val="9"/>
            <color indexed="81"/>
            <rFont val="Tahoma"/>
            <family val="2"/>
          </rPr>
          <t xml:space="preserve">
</t>
        </r>
      </text>
    </comment>
    <comment ref="T35" authorId="1" shapeId="0" xr:uid="{00000000-0006-0000-0600-000011000000}">
      <text>
        <r>
          <rPr>
            <sz val="9"/>
            <color indexed="81"/>
            <rFont val="Arial"/>
            <family val="2"/>
          </rPr>
          <t xml:space="preserve">Unabhängig von der Datenqualität gesamt muss pro TCH ein evtl. vorhandenes Datendefizit erläutert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 ref="A11" authorId="0" shapeId="0" xr:uid="{00000000-0006-0000-0900-000004000000}">
      <text>
        <r>
          <rPr>
            <sz val="9"/>
            <color indexed="81"/>
            <rFont val="Arial"/>
            <family val="2"/>
          </rPr>
          <t>KN = Kennzahl</t>
        </r>
      </text>
    </comment>
    <comment ref="B11" authorId="0" shapeId="0" xr:uid="{00000000-0006-0000-0900-000005000000}">
      <text>
        <r>
          <rPr>
            <sz val="9"/>
            <color indexed="81"/>
            <rFont val="Arial"/>
            <family val="2"/>
          </rPr>
          <t>EB = Erhebungbogen
LL = Leitlinie (www.leitlinienprogramm-onkologie.de)</t>
        </r>
      </text>
    </comment>
    <comment ref="N11" authorId="0" shapeId="0" xr:uid="{00000000-0006-0000-0900-000006000000}">
      <text>
        <r>
          <rPr>
            <sz val="9"/>
            <color indexed="81"/>
            <rFont val="Arial"/>
            <family val="2"/>
          </rPr>
          <t>Bitte zuerst Tabellenblatt Basisdaten komplett bearbeiten, 
dann graue Felder Ist-Werte ausfüllen.</t>
        </r>
      </text>
    </comment>
    <comment ref="Q12" authorId="0" shapeId="0" xr:uid="{00000000-0006-0000-0900-000007000000}">
      <text>
        <r>
          <rPr>
            <sz val="9"/>
            <color indexed="81"/>
            <rFont val="Arial"/>
            <family val="2"/>
          </rPr>
          <t>Wenn Zelle grau, bitte Begründung angeben.</t>
        </r>
      </text>
    </comment>
    <comment ref="O13" authorId="0" shapeId="0" xr:uid="{00000000-0006-0000-0900-000008000000}">
      <text>
        <r>
          <rPr>
            <sz val="9"/>
            <color indexed="81"/>
            <rFont val="Arial"/>
            <family val="2"/>
          </rPr>
          <t>Übertrag erfolgt aus Tabellenblatt Basisdaten Primärfälle 
Zelle K33</t>
        </r>
      </text>
    </comment>
    <comment ref="O19" authorId="0" shapeId="0" xr:uid="{00000000-0006-0000-0900-000009000000}">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20" authorId="0" shapeId="0" xr:uid="{00000000-0006-0000-0900-00000A000000}">
      <text>
        <r>
          <rPr>
            <sz val="9"/>
            <color indexed="81"/>
            <rFont val="Arial"/>
            <family val="2"/>
          </rPr>
          <t>Übertrag erfolgt aus Tabellenblatt Basisdaten Primärfälle 
Zelle K33</t>
        </r>
      </text>
    </comment>
    <comment ref="O23" authorId="0" shapeId="0" xr:uid="{00000000-0006-0000-0900-00000B000000}">
      <text>
        <r>
          <rPr>
            <sz val="9"/>
            <color indexed="81"/>
            <rFont val="Arial"/>
            <family val="2"/>
          </rPr>
          <t>Keine Beschränkung auf Rezidive/Metastasen mit Primärbehandlung im Zentrum.</t>
        </r>
      </text>
    </comment>
    <comment ref="O26" authorId="0" shapeId="0" xr:uid="{00000000-0006-0000-0900-00000C000000}">
      <text>
        <r>
          <rPr>
            <sz val="9"/>
            <color indexed="81"/>
            <rFont val="Arial"/>
            <family val="2"/>
          </rPr>
          <t>Übertrag erfolgt aus Tabellenblatt Basisdaten 
operierte Primärfälle Stad. IB-IIIB
Zellen C34 bis G34</t>
        </r>
      </text>
    </comment>
    <comment ref="C31" authorId="1" shapeId="0" xr:uid="{00000000-0006-0000-0900-00000D000000}">
      <text>
        <r>
          <rPr>
            <sz val="9"/>
            <color indexed="81"/>
            <rFont val="Arial"/>
            <family val="2"/>
          </rPr>
          <t>Screeninginstrumente können der S3 Leitlinie Psychoonkologische Diagnostik, Beratung und Behandlung von erwachsenen Krebspat. entnommen werden</t>
        </r>
      </text>
    </comment>
    <comment ref="F31" authorId="1" shapeId="0" xr:uid="{00000000-0006-0000-09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32" authorId="0" shapeId="0" xr:uid="{00000000-0006-0000-0900-00000F000000}">
      <text>
        <r>
          <rPr>
            <sz val="9"/>
            <color indexed="81"/>
            <rFont val="Arial"/>
            <family val="2"/>
          </rPr>
          <t>Anzahl KN 1a + Anzahl KN 1b</t>
        </r>
      </text>
    </comment>
    <comment ref="O35" authorId="0" shapeId="0" xr:uid="{00000000-0006-0000-0900-000010000000}">
      <text>
        <r>
          <rPr>
            <sz val="9"/>
            <color indexed="81"/>
            <rFont val="Arial"/>
            <family val="2"/>
          </rPr>
          <t>Anzahl KN 1a + Anzahl KN 1b</t>
        </r>
      </text>
    </comment>
    <comment ref="O37" authorId="2" shapeId="0" xr:uid="{00000000-0006-0000-0900-000011000000}">
      <text>
        <r>
          <rPr>
            <sz val="9"/>
            <color indexed="81"/>
            <rFont val="Arial"/>
            <family val="2"/>
          </rPr>
          <t>Der Zähler ist keine Teilmenge des Nenners.</t>
        </r>
      </text>
    </comment>
    <comment ref="O38" authorId="0" shapeId="0" xr:uid="{00000000-0006-0000-0900-000012000000}">
      <text>
        <r>
          <rPr>
            <sz val="9"/>
            <color indexed="81"/>
            <rFont val="Arial"/>
            <family val="2"/>
          </rPr>
          <t>Übertrag erfolgt aus Tabellenblatt Basisdaten Primärfälle 
Zelle K33</t>
        </r>
      </text>
    </comment>
    <comment ref="O40" authorId="0" shapeId="0" xr:uid="{00000000-0006-0000-0900-000013000000}">
      <text>
        <r>
          <rPr>
            <sz val="9"/>
            <color indexed="81"/>
            <rFont val="Arial"/>
            <family val="2"/>
          </rPr>
          <t>Übertrag erfolgt aus Tabellenblatt Expertise_Lunge 
Zellen M14 bis M16</t>
        </r>
      </text>
    </comment>
    <comment ref="O43" authorId="0" shapeId="0" xr:uid="{00000000-0006-0000-0900-000014000000}">
      <text>
        <r>
          <rPr>
            <sz val="9"/>
            <color indexed="81"/>
            <rFont val="Arial"/>
            <family val="2"/>
          </rPr>
          <t>Übertrag erfolgt aus Tabellenblatt Expertise_Lunge Zellen M17 bis M19</t>
        </r>
      </text>
    </comment>
    <comment ref="O49" authorId="0" shapeId="0" xr:uid="{00000000-0006-0000-0900-000015000000}">
      <text>
        <r>
          <rPr>
            <sz val="9"/>
            <color indexed="81"/>
            <rFont val="Arial"/>
            <family val="2"/>
          </rPr>
          <t>Übertrag erfolgt aus Tabellenblatt Basisdaten Lungenresektionen
Zelle K34</t>
        </r>
      </text>
    </comment>
    <comment ref="O52" authorId="3" shapeId="0" xr:uid="{00000000-0006-0000-0900-000016000000}">
      <text>
        <r>
          <rPr>
            <sz val="9"/>
            <color indexed="81"/>
            <rFont val="Arial"/>
            <family val="2"/>
          </rPr>
          <t>Übertrag erfolgt aus Tabellenblatt Basisdaten Lungenresektionen
Zelle K39</t>
        </r>
      </text>
    </comment>
    <comment ref="O56" authorId="3" shapeId="0" xr:uid="{00000000-0006-0000-0900-000017000000}">
      <text>
        <r>
          <rPr>
            <sz val="9"/>
            <color indexed="81"/>
            <rFont val="Arial"/>
            <family val="2"/>
          </rPr>
          <t>Siehe die im Tabellenblatt "OPS-Codes Kennzahl 10" aufgeführten OPS-Codes bei Primärfällen.</t>
        </r>
      </text>
    </comment>
    <comment ref="O59" authorId="0" shapeId="0" xr:uid="{00000000-0006-0000-0900-000018000000}">
      <text>
        <r>
          <rPr>
            <sz val="9"/>
            <color indexed="81"/>
            <rFont val="Arial"/>
            <family val="2"/>
          </rPr>
          <t>Übertrag erfolgt aus Tabellenblatt Basisdaten 
operative Primärfälle
Zelle K34</t>
        </r>
      </text>
    </comment>
    <comment ref="O62" authorId="0" shapeId="0" xr:uid="{00000000-0006-0000-0900-000019000000}">
      <text>
        <r>
          <rPr>
            <sz val="9"/>
            <color indexed="81"/>
            <rFont val="Arial"/>
            <family val="2"/>
          </rPr>
          <t>Übertrag erfolgt aus Tabellenblatt Basisdaten operative Primärfälle
Zelle K34</t>
        </r>
      </text>
    </comment>
    <comment ref="O65" authorId="0" shapeId="0" xr:uid="{00000000-0006-0000-0900-00001A000000}">
      <text>
        <r>
          <rPr>
            <sz val="9"/>
            <color indexed="81"/>
            <rFont val="Arial"/>
            <family val="2"/>
          </rPr>
          <t>Übertrag erfolgt aus Tabellenblatt Basisdaten operative Primärfälle
Zelle K34</t>
        </r>
      </text>
    </comment>
    <comment ref="O68" authorId="0" shapeId="0" xr:uid="{00000000-0006-0000-0900-00001B000000}">
      <text>
        <r>
          <rPr>
            <sz val="9"/>
            <color indexed="81"/>
            <rFont val="Arial"/>
            <family val="2"/>
          </rPr>
          <t>Übertrag erfolgt aus Tabellenblatt Basisdaten 
operierte Primärfälle Stad. IA-IIB
Zellen B34 bis E34</t>
        </r>
      </text>
    </comment>
    <comment ref="O71" authorId="0" shapeId="0" xr:uid="{00000000-0006-0000-0900-00001C000000}">
      <text>
        <r>
          <rPr>
            <sz val="9"/>
            <color indexed="81"/>
            <rFont val="Arial"/>
            <family val="2"/>
          </rPr>
          <t>Übertrag erfolgt aus Tabellenblatt Basisdaten 
operierte Primärfälle Stad. IIIA-IIIB
Zelle F34 und G34</t>
        </r>
      </text>
    </comment>
    <comment ref="O73" authorId="0" shapeId="0" xr:uid="{00000000-0006-0000-0900-00001D000000}">
      <text>
        <r>
          <rPr>
            <sz val="9"/>
            <color indexed="81"/>
            <rFont val="Arial"/>
            <family val="2"/>
          </rPr>
          <t>Übertrag erfolgt aus Tabellenblatt Expertise_Lunge 
Zellen M20 bis M23</t>
        </r>
      </text>
    </comment>
    <comment ref="O79" authorId="0" shapeId="0" xr:uid="{00000000-0006-0000-0900-00001E000000}">
      <text>
        <r>
          <rPr>
            <sz val="9"/>
            <color indexed="81"/>
            <rFont val="Arial"/>
            <family val="2"/>
          </rPr>
          <t>Übertrag erfolgt aus Tabellenblatt Expertise_Lunge Zellen M24 bis M27</t>
        </r>
      </text>
    </comment>
    <comment ref="O86" authorId="0" shapeId="0" xr:uid="{00000000-0006-0000-0900-00001F000000}">
      <text>
        <r>
          <rPr>
            <sz val="9"/>
            <color indexed="81"/>
            <rFont val="Arial"/>
            <family val="2"/>
          </rPr>
          <t>Nur cTNM relevant.</t>
        </r>
      </text>
    </comment>
    <comment ref="O116" authorId="4" shapeId="0" xr:uid="{00000000-0006-0000-0900-000020000000}">
      <text>
        <r>
          <rPr>
            <sz val="9"/>
            <color indexed="81"/>
            <rFont val="Arial"/>
            <family val="2"/>
          </rPr>
          <t>Übertrag erfolgt aus Tabellenblatt Basisdaten Zellen I33+J33+Anzahl KN 1b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E6" authorId="0" shapeId="0" xr:uid="{00000000-0006-0000-0D00-000001000000}">
      <text>
        <r>
          <rPr>
            <sz val="9"/>
            <color indexed="81"/>
            <rFont val="Arial"/>
            <family val="2"/>
          </rPr>
          <t>Übertrag erfolgt aus Tabellenblatt Basisdaten</t>
        </r>
      </text>
    </comment>
    <comment ref="E8" authorId="0" shapeId="0" xr:uid="{00000000-0006-0000-0D00-000002000000}">
      <text>
        <r>
          <rPr>
            <sz val="9"/>
            <color indexed="81"/>
            <rFont val="Arial"/>
            <family val="2"/>
          </rPr>
          <t>Übertrag erfolgt aus Tabellenblatt Basisdaten</t>
        </r>
      </text>
    </comment>
    <comment ref="Q8" authorId="0" shapeId="0" xr:uid="{00000000-0006-0000-0D00-000003000000}">
      <text>
        <r>
          <rPr>
            <sz val="9"/>
            <color indexed="81"/>
            <rFont val="Arial"/>
            <family val="2"/>
          </rPr>
          <t>Übertrag erfolgt aus Tabellenblatt Basisdaten</t>
        </r>
      </text>
    </comment>
    <comment ref="B24" authorId="1" shapeId="0" xr:uid="{00000000-0006-0000-0D00-000004000000}">
      <text>
        <r>
          <rPr>
            <sz val="9"/>
            <color indexed="81"/>
            <rFont val="Arial"/>
            <family val="2"/>
          </rPr>
          <t>Aufgrund der mit der neuen TNM-Klassifikation (8. Auflage 2017) einhergehenden Änderung der UICC-Stadien ist eine Angabe der Primärdiagnosen und Follow-Up-Meldungen für 2017 nicht erforderlich.</t>
        </r>
      </text>
    </comment>
    <comment ref="R31" authorId="0" shapeId="0" xr:uid="{00000000-0006-0000-0D00-000005000000}">
      <text>
        <r>
          <rPr>
            <sz val="9"/>
            <color indexed="81"/>
            <rFont val="Arial"/>
            <family val="2"/>
          </rPr>
          <t>Voraussetzung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F00-000001000000}">
      <text>
        <r>
          <rPr>
            <sz val="9"/>
            <color indexed="81"/>
            <rFont val="Arial"/>
            <family val="2"/>
          </rPr>
          <t>Übertrag erfolgt aus Tabellenblatt Basisdaten</t>
        </r>
      </text>
    </comment>
    <comment ref="C8" authorId="0" shapeId="0" xr:uid="{00000000-0006-0000-0F00-000002000000}">
      <text>
        <r>
          <rPr>
            <sz val="9"/>
            <color indexed="81"/>
            <rFont val="Arial"/>
            <family val="2"/>
          </rPr>
          <t>Übertrag erfolgt aus Tabellenblatt Basisdaten</t>
        </r>
      </text>
    </comment>
    <comment ref="F8" authorId="0" shapeId="0" xr:uid="{00000000-0006-0000-0F00-000003000000}">
      <text>
        <r>
          <rPr>
            <sz val="9"/>
            <color indexed="81"/>
            <rFont val="Arial"/>
            <family val="2"/>
          </rPr>
          <t>Übertrag erfolgt aus Tabellenblatt Basisdaten</t>
        </r>
      </text>
    </comment>
    <comment ref="B17" authorId="0" shapeId="0" xr:uid="{00000000-0006-0000-0F00-000004000000}">
      <text>
        <r>
          <rPr>
            <sz val="9"/>
            <color indexed="81"/>
            <rFont val="Arial"/>
            <family val="2"/>
          </rPr>
          <t>Weitere Erläuterungen siehe Tabellenblatt "Matrix - Tabelle Plausibilitätsabfragen"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D6" authorId="0" shapeId="0" xr:uid="{00000000-0006-0000-1100-000001000000}">
      <text>
        <r>
          <rPr>
            <sz val="9"/>
            <color indexed="81"/>
            <rFont val="Arial"/>
            <family val="2"/>
          </rPr>
          <t>Übertrag erfolgt aus Tabellenblatt Basisdaten</t>
        </r>
      </text>
    </comment>
    <comment ref="D8" authorId="0" shapeId="0" xr:uid="{00000000-0006-0000-1100-000002000000}">
      <text>
        <r>
          <rPr>
            <sz val="9"/>
            <color indexed="81"/>
            <rFont val="Arial"/>
            <family val="2"/>
          </rPr>
          <t>Übertrag erfolgt aus Tabellenblatt Basisdaten</t>
        </r>
      </text>
    </comment>
    <comment ref="K8" authorId="0" shapeId="0" xr:uid="{00000000-0006-0000-1100-000003000000}">
      <text>
        <r>
          <rPr>
            <sz val="9"/>
            <color indexed="81"/>
            <rFont val="Arial"/>
            <family val="2"/>
          </rPr>
          <t>Übertrag erfolgt aus Tabellenblatt Basisdaten</t>
        </r>
      </text>
    </comment>
    <comment ref="A10" authorId="0" shapeId="0" xr:uid="{00000000-0006-0000-1100-000004000000}">
      <text>
        <r>
          <rPr>
            <sz val="9"/>
            <color indexed="81"/>
            <rFont val="Arial"/>
            <family val="2"/>
          </rPr>
          <t>KN = Kennzahl</t>
        </r>
      </text>
    </comment>
    <comment ref="B10" authorId="0" shapeId="0" xr:uid="{00000000-0006-0000-1100-000005000000}">
      <text>
        <r>
          <rPr>
            <sz val="9"/>
            <color indexed="81"/>
            <rFont val="Arial"/>
            <family val="2"/>
          </rPr>
          <t>EB = Erhebungbogen
LL = Leitlinie (www.leitlinienprogramm-onkologie.de)</t>
        </r>
      </text>
    </comment>
    <comment ref="N10" authorId="0" shapeId="0" xr:uid="{00000000-0006-0000-1100-000006000000}">
      <text>
        <r>
          <rPr>
            <sz val="9"/>
            <color indexed="81"/>
            <rFont val="Arial"/>
            <family val="2"/>
          </rPr>
          <t>Bitte zuerst Tabellenblatt Basisdaten komplett bearbeiten, 
dann graue Felder Ist-Werte ausfüllen.</t>
        </r>
      </text>
    </comment>
    <comment ref="Q11" authorId="0" shapeId="0" xr:uid="{00000000-0006-0000-1100-000007000000}">
      <text>
        <r>
          <rPr>
            <sz val="9"/>
            <color indexed="81"/>
            <rFont val="Arial"/>
            <family val="2"/>
          </rPr>
          <t>Wenn Zelle grau, bitte Begründung angeben.</t>
        </r>
      </text>
    </comment>
    <comment ref="O18" authorId="1" shapeId="0" xr:uid="{00000000-0006-0000-1100-000008000000}">
      <text>
        <r>
          <rPr>
            <sz val="9"/>
            <color indexed="81"/>
            <rFont val="Arial"/>
            <family val="2"/>
          </rPr>
          <t>Anzahl KN 1a + Anzahl KN 1b</t>
        </r>
      </text>
    </comment>
    <comment ref="O25" authorId="0" shapeId="0" xr:uid="{00000000-0006-0000-1100-000009000000}">
      <text>
        <r>
          <rPr>
            <sz val="9"/>
            <color indexed="81"/>
            <rFont val="Arial"/>
            <family val="2"/>
          </rPr>
          <t>Anzahl KN 1c</t>
        </r>
      </text>
    </comment>
    <comment ref="O28" authorId="0" shapeId="0" xr:uid="{00000000-0006-0000-1100-00000A000000}">
      <text>
        <r>
          <rPr>
            <sz val="9"/>
            <color indexed="81"/>
            <rFont val="Arial"/>
            <family val="2"/>
          </rPr>
          <t>Anzahl KN 2</t>
        </r>
      </text>
    </comment>
    <comment ref="C30" authorId="1" shapeId="0" xr:uid="{00000000-0006-0000-1100-00000B000000}">
      <text>
        <r>
          <rPr>
            <sz val="9"/>
            <color indexed="81"/>
            <rFont val="Arial"/>
            <family val="2"/>
          </rPr>
          <t>Screeninginstrumente können der S3 Leitlinie Psychoonkologische Diagnostik, Beratung und Behandlung von erwachsenen Krebspat. entnommen werden</t>
        </r>
      </text>
    </comment>
    <comment ref="F30" authorId="1" shapeId="0" xr:uid="{00000000-0006-0000-11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31" authorId="0" shapeId="0" xr:uid="{00000000-0006-0000-1100-00000D000000}">
      <text>
        <r>
          <rPr>
            <sz val="9"/>
            <color indexed="81"/>
            <rFont val="Arial"/>
            <family val="2"/>
          </rPr>
          <t>Anzahl KN 1c</t>
        </r>
      </text>
    </comment>
    <comment ref="O34" authorId="0" shapeId="0" xr:uid="{00000000-0006-0000-1100-00000E000000}">
      <text>
        <r>
          <rPr>
            <sz val="9"/>
            <color indexed="81"/>
            <rFont val="Arial"/>
            <family val="2"/>
          </rPr>
          <t>Anzahl KN 1c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J8" authorId="0" shapeId="0" xr:uid="{00000000-0006-0000-12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<sst xmlns="http://schemas.openxmlformats.org/spreadsheetml/2006/main" count="1995" uniqueCount="1104">
  <si>
    <t>EB</t>
  </si>
  <si>
    <t>Texte i.O.</t>
  </si>
  <si>
    <t>Klinikum Nürnberg</t>
  </si>
  <si>
    <t>Texte Matrix Datenquali</t>
  </si>
  <si>
    <t>Fehlermeldungen Matrix</t>
  </si>
  <si>
    <t>nicht relevant</t>
  </si>
  <si>
    <t>Tumordoku. liegt größtenteils beim Krebsregister</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</si>
  <si>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</si>
  <si>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</si>
  <si>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</si>
  <si>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</si>
  <si>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</si>
  <si>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</si>
  <si>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</si>
  <si>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</si>
  <si>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</si>
  <si>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</si>
  <si>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Ist-Wert</t>
  </si>
  <si>
    <t>Nr.</t>
  </si>
  <si>
    <t>Kennzahlenziel</t>
  </si>
  <si>
    <t>Zähler</t>
  </si>
  <si>
    <t>Sollvorgabe</t>
  </si>
  <si>
    <t>Nenner</t>
  </si>
  <si>
    <t>%</t>
  </si>
  <si>
    <t>Primärfälle</t>
  </si>
  <si>
    <t>Anzahl</t>
  </si>
  <si>
    <t>Beratung Sozialdienst</t>
  </si>
  <si>
    <t>Sollvorgabe nicht erfüllt</t>
  </si>
  <si>
    <t>C</t>
  </si>
  <si>
    <t>D</t>
  </si>
  <si>
    <t>E</t>
  </si>
  <si>
    <t>F</t>
  </si>
  <si>
    <t>G</t>
  </si>
  <si>
    <t>I</t>
  </si>
  <si>
    <t>O</t>
  </si>
  <si>
    <t>P</t>
  </si>
  <si>
    <t>T</t>
  </si>
  <si>
    <t>U</t>
  </si>
  <si>
    <t>V</t>
  </si>
  <si>
    <t>W</t>
  </si>
  <si>
    <t>Z</t>
  </si>
  <si>
    <t>Jahr der Erstdiagnose</t>
  </si>
  <si>
    <t>DFS nach Kaplan-Meier
(Disease Free Survival) in %</t>
  </si>
  <si>
    <t>Summe</t>
  </si>
  <si>
    <t>Gesamt</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</si>
  <si>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</si>
  <si>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</si>
  <si>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</si>
  <si>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</si>
  <si>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</si>
  <si>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</si>
  <si>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</si>
  <si>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</si>
  <si>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</si>
  <si>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</si>
  <si>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</si>
  <si>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</si>
  <si>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</si>
  <si>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</si>
  <si>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</si>
  <si>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</si>
  <si>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</si>
  <si>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</si>
  <si>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</si>
  <si>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</si>
  <si>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</si>
  <si>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</si>
  <si>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</si>
  <si>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</si>
  <si>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</si>
  <si>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</si>
  <si>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</si>
  <si>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</si>
  <si>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</si>
  <si>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</si>
  <si>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</si>
  <si>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</si>
  <si>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</si>
  <si>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</si>
  <si>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</si>
  <si>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</si>
  <si>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</si>
  <si>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</si>
  <si>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</si>
  <si>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</si>
  <si>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</si>
  <si>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</si>
  <si>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</si>
  <si>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</si>
  <si>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</si>
  <si>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</si>
  <si>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</si>
  <si>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</si>
  <si>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</si>
  <si>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</si>
  <si>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</si>
  <si>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</si>
  <si>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</si>
  <si>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</si>
  <si>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</si>
  <si>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</si>
  <si>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</si>
  <si>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</si>
  <si>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</si>
  <si>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</si>
  <si>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</si>
  <si>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</si>
  <si>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</si>
  <si>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</si>
  <si>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</si>
  <si>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</si>
  <si>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</si>
  <si>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</si>
  <si>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</si>
  <si>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</si>
  <si>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</si>
  <si>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</si>
  <si>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</si>
  <si>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</si>
  <si>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</si>
  <si>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</si>
  <si>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</si>
  <si>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</si>
  <si>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</si>
  <si>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</si>
  <si>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</si>
  <si>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</si>
  <si>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</si>
  <si>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</si>
  <si>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</si>
  <si>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</si>
  <si>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</si>
  <si>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</si>
  <si>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</si>
  <si>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</si>
  <si>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</si>
  <si>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</si>
  <si>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</si>
  <si>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</si>
  <si>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</si>
  <si>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</si>
  <si>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</si>
  <si>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</si>
  <si>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</si>
  <si>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</si>
  <si>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</si>
  <si>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</si>
  <si>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</si>
  <si>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</si>
  <si>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</si>
  <si>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</si>
  <si>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</si>
  <si>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</si>
  <si>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</si>
  <si>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</si>
  <si>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</si>
  <si>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</si>
  <si>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</si>
  <si>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</si>
  <si>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</si>
  <si>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</si>
  <si>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</si>
  <si>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</si>
  <si>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</si>
  <si>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</si>
  <si>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Verifizierung Zentrum</t>
  </si>
  <si>
    <t xml:space="preserve">Reg.-Nr. </t>
  </si>
  <si>
    <t>Erstzertifizierung</t>
  </si>
  <si>
    <t>Datenqualität Kennzahlen</t>
  </si>
  <si>
    <t>Grundgesamtheit 
(= Nenner)</t>
  </si>
  <si>
    <t>J</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</si>
  <si>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</si>
  <si>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</si>
  <si>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</si>
  <si>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</si>
  <si>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</si>
  <si>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</si>
  <si>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</si>
  <si>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</si>
  <si>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</si>
  <si>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</si>
  <si>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</si>
  <si>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</si>
  <si>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</si>
  <si>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</si>
  <si>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</si>
  <si>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</si>
  <si>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</si>
  <si>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</si>
  <si>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</si>
  <si>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</si>
  <si>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inkorrekt</t>
  </si>
  <si>
    <t>Kennzahlenjahr</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</si>
  <si>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</si>
  <si>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</si>
  <si>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</si>
  <si>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</si>
  <si>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</si>
  <si>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</si>
  <si>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</si>
  <si>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</si>
  <si>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</si>
  <si>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</si>
  <si>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</si>
  <si>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</si>
  <si>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</si>
  <si>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</si>
  <si>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</si>
  <si>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</si>
  <si>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</si>
  <si>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</si>
  <si>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</si>
  <si>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</si>
  <si>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</si>
  <si>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</si>
  <si>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</si>
  <si>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</si>
  <si>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</si>
  <si>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</si>
  <si>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</si>
  <si>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</si>
  <si>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</si>
  <si>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</si>
  <si>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</si>
  <si>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</si>
  <si>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</si>
  <si>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</si>
  <si>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</si>
  <si>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</si>
  <si>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</si>
  <si>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</si>
  <si>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</si>
  <si>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</si>
  <si>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</si>
  <si>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</si>
  <si>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</si>
  <si>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</si>
  <si>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</si>
  <si>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</si>
  <si>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</si>
  <si>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</si>
  <si>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</si>
  <si>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</si>
  <si>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</si>
  <si>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</si>
  <si>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</si>
  <si>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zu viele Pat im Follow-Up</t>
  </si>
  <si>
    <t>Universitätsklinikum Freiburg</t>
  </si>
  <si>
    <t>Evangelisches Krankenhaus Herne</t>
  </si>
  <si>
    <t>Pius-Hospital Oldenburg</t>
  </si>
  <si>
    <t>Derzeit keine Vorgaben</t>
  </si>
  <si>
    <t>-----</t>
  </si>
  <si>
    <t>Möglichst hohe Rate an lokalen R0-Resektionen</t>
  </si>
  <si>
    <t>Kennzahldefinition</t>
  </si>
  <si>
    <t>Tumordokumentation</t>
  </si>
  <si>
    <t>Siehe Sollvorgabe</t>
  </si>
  <si>
    <t>Prätherapeutische Tumorkonferenz</t>
  </si>
  <si>
    <t>Möglichst häufig prätherapeutische Vorstellung</t>
  </si>
  <si>
    <t>Möglichst häufig Vorstellung in der Tumorkonferenz</t>
  </si>
  <si>
    <t xml:space="preserve">Flexible Bronchoskopie </t>
  </si>
  <si>
    <t>Lungenresektionen</t>
  </si>
  <si>
    <t>30d-Letalität nach Resektionen</t>
  </si>
  <si>
    <t>Thorakale Bestrahlungen</t>
  </si>
  <si>
    <t>Pathologische Begutachtungen</t>
  </si>
  <si>
    <t>------</t>
  </si>
  <si>
    <t>IA</t>
  </si>
  <si>
    <t>IB</t>
  </si>
  <si>
    <t>IIA</t>
  </si>
  <si>
    <t>IIB</t>
  </si>
  <si>
    <t>IIIA</t>
  </si>
  <si>
    <t>IIIB</t>
  </si>
  <si>
    <t>2a</t>
  </si>
  <si>
    <t>2b</t>
  </si>
  <si>
    <t>1.2.1</t>
  </si>
  <si>
    <t>1.2.5</t>
  </si>
  <si>
    <t>1.2.6</t>
  </si>
  <si>
    <t>1.7.5</t>
  </si>
  <si>
    <t>2.2.3</t>
  </si>
  <si>
    <t>5.2.2</t>
  </si>
  <si>
    <t>5.2.5</t>
  </si>
  <si>
    <t>Spalte C</t>
  </si>
  <si>
    <t>H</t>
  </si>
  <si>
    <t>N</t>
  </si>
  <si>
    <t>X</t>
  </si>
  <si>
    <t>FAL-Z005</t>
  </si>
  <si>
    <t>Lungentumorzentrum Nürnberg</t>
  </si>
  <si>
    <t>FAL-Z001</t>
  </si>
  <si>
    <t>Lungenkrebszentrum der Lungenklinik Heckeshorn</t>
  </si>
  <si>
    <t>FAL-Z003</t>
  </si>
  <si>
    <t>Ruhrlandklinik Essen</t>
  </si>
  <si>
    <t>FAL-Z004</t>
  </si>
  <si>
    <t>FAL-Z006</t>
  </si>
  <si>
    <t>Lungenkrebszentrum des NCT Heidelberg; Thoraxklinik Heidelberg</t>
  </si>
  <si>
    <t>Universitätsklinikum Heidelberg</t>
  </si>
  <si>
    <t>FAL-Z007</t>
  </si>
  <si>
    <t>Lungenkrebszentrum Hemer</t>
  </si>
  <si>
    <t>FAL-Z013</t>
  </si>
  <si>
    <t>FAL-Z012</t>
  </si>
  <si>
    <t>FAL-Z015</t>
  </si>
  <si>
    <t>Lungenkrebszentrum der Evangelischen Lungenklinik Berlin</t>
  </si>
  <si>
    <t>Evangelische Lungenklinik Berlin</t>
  </si>
  <si>
    <t>FAL-Z016</t>
  </si>
  <si>
    <t>FAL-Z017</t>
  </si>
  <si>
    <t>FAL-Z018</t>
  </si>
  <si>
    <t>FAL-Z011</t>
  </si>
  <si>
    <t>Lungenkrebszentrum Clemenshospital Münster</t>
  </si>
  <si>
    <t>Regionales Lungenkrebszentrum Martha-Maria Halle-Dölau - Lungenklinik Ballenstedt</t>
  </si>
  <si>
    <t>FAL-Z020</t>
  </si>
  <si>
    <t>Lungenkrebszentrum Herne - Bochum</t>
  </si>
  <si>
    <t>FAL-Z023</t>
  </si>
  <si>
    <t>FAL-Z024</t>
  </si>
  <si>
    <t>Lungenkrebszentrum Osnabrück am Krankenhaus St. Raphael Ostercappeln</t>
  </si>
  <si>
    <t>Niels-Stensen-Kliniken</t>
  </si>
  <si>
    <t>FAL-Z029</t>
  </si>
  <si>
    <t>LungenZentrum Saar</t>
  </si>
  <si>
    <t>SHG-Klinken Völklingen</t>
  </si>
  <si>
    <t>FAL-Z030</t>
  </si>
  <si>
    <t>FAL-Z032</t>
  </si>
  <si>
    <t>Lungenkrebszentrum Treuenbrietzen</t>
  </si>
  <si>
    <t>FAL-Z034</t>
  </si>
  <si>
    <t>Lungenkrebszentrum Grosshansdorf</t>
  </si>
  <si>
    <t>Lungentumorzentrum im Charité Comprehensive Cancer Center</t>
  </si>
  <si>
    <t>FAL-Z035</t>
  </si>
  <si>
    <t>Lungenkrebszentrum Trier</t>
  </si>
  <si>
    <t>Krankenhaus der Barmherzigen Brüder Trier</t>
  </si>
  <si>
    <t>CARAT</t>
  </si>
  <si>
    <t>CREDOS</t>
  </si>
  <si>
    <t>Eigenentwicklung (MS Excel, MS Access etc.)</t>
  </si>
  <si>
    <t>GTDS</t>
  </si>
  <si>
    <t>KIS-Erweiterung</t>
  </si>
  <si>
    <t>T2a-N0-M0</t>
  </si>
  <si>
    <t>Basisdaten Lunge</t>
  </si>
  <si>
    <t>Keine Zusammenarbeit</t>
  </si>
  <si>
    <t>Geringe / punktuelle Zusammenarbeit</t>
  </si>
  <si>
    <t>Intensive / regelmäßige Zusammenarbeit</t>
  </si>
  <si>
    <t>Kennzahlenbogen Lunge</t>
  </si>
  <si>
    <t>≥ 500</t>
  </si>
  <si>
    <t>≥ 90%</t>
  </si>
  <si>
    <t>≥ 95%</t>
  </si>
  <si>
    <t>≥ 85%</t>
  </si>
  <si>
    <t>Nicht tumorbedingt gestorben bzw. Todesursache unbekannt</t>
  </si>
  <si>
    <t>S &lt; 60%</t>
  </si>
  <si>
    <t>Strahlentherapie 1</t>
  </si>
  <si>
    <t>Strahlentherapie 2</t>
  </si>
  <si>
    <t>Strahlentherapie 3</t>
  </si>
  <si>
    <t>Strahlentherapie 4</t>
  </si>
  <si>
    <t>Pneumologie 1</t>
  </si>
  <si>
    <t>Pneumologie 2</t>
  </si>
  <si>
    <t>Pneumologie 3</t>
  </si>
  <si>
    <t>Thoraxchirurgie 1</t>
  </si>
  <si>
    <t>Thoraxchirurgie 2</t>
  </si>
  <si>
    <t>Thoraxchirurgie 3</t>
  </si>
  <si>
    <t>Nachsorgejahr "relevant" (Spalte A) =&gt; Sämtliche „hellgrau“ hinterlegte Felder sollten vollständig bearbeitet werden; dies gilt auch für Nullwerte (=0).</t>
  </si>
  <si>
    <t>Pathologie 1</t>
  </si>
  <si>
    <t>Pathologie 2</t>
  </si>
  <si>
    <t>Pathologie 3</t>
  </si>
  <si>
    <t>Pathologie 4</t>
  </si>
  <si>
    <t>Definition Anzahl</t>
  </si>
  <si>
    <t>Expertise Lunge</t>
  </si>
  <si>
    <t>PLZ</t>
  </si>
  <si>
    <t>≥ 75</t>
  </si>
  <si>
    <t>≥ 200</t>
  </si>
  <si>
    <t>≥ 50</t>
  </si>
  <si>
    <t>Kennzahl-definition</t>
  </si>
  <si>
    <t>&gt; 70%</t>
  </si>
  <si>
    <t>&lt; 0,01%</t>
  </si>
  <si>
    <t>Tumorbedingt gestorben 
(bezüglich jeder Tumorentität)</t>
  </si>
  <si>
    <t>Relative Quote tumorfrei 
= R / (M + N)</t>
  </si>
  <si>
    <t>Soll-vorgabe</t>
  </si>
  <si>
    <t>Auffällig niedrige Quote tumorfreier Patienten</t>
  </si>
  <si>
    <t>Geringe Follow-Up Quote der Nachsorgejahre</t>
  </si>
  <si>
    <t>Klinik-, Praxis-, Einrichtungsname</t>
  </si>
  <si>
    <t>Straße Hausnummer</t>
  </si>
  <si>
    <t>Ort</t>
  </si>
  <si>
    <t>≥ 200 maligne Lungenfälle 
(je Facharzt 100 L.)</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</si>
  <si>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</si>
  <si>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</si>
  <si>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</si>
  <si>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</si>
  <si>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</si>
  <si>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</si>
  <si>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</si>
  <si>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</si>
  <si>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</si>
  <si>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</si>
  <si>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</si>
  <si>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</si>
  <si>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</si>
  <si>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</si>
  <si>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</si>
  <si>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</si>
  <si>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</si>
  <si>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Daten-qualität
gesamt</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</si>
  <si>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</si>
  <si>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</si>
  <si>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</si>
  <si>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</si>
  <si>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</si>
  <si>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</si>
  <si>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</si>
  <si>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</si>
  <si>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</si>
  <si>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</si>
  <si>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</si>
  <si>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</si>
  <si>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</si>
  <si>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</si>
  <si>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Bundesland / Land</t>
  </si>
  <si>
    <t>Leistungserbringer / Kooperationspartner</t>
  </si>
  <si>
    <t>Zähler / Anzahl</t>
  </si>
  <si>
    <t>Begründung / Ursache</t>
  </si>
  <si>
    <t>Eingeleitete / geplante Aktionen</t>
  </si>
  <si>
    <t>Spalte / Zelle</t>
  </si>
  <si>
    <t>Erläuterung hinsichtlich Datendefizit
Begründung / Ursachenanalyse / Aktionen</t>
  </si>
  <si>
    <t>Vorstellung neu aufgetretener Rezidive u/o Fernmetastasen nach vorheriger kurativer Behandlung in Tumorkonferenz</t>
  </si>
  <si>
    <t>Möglichst niedrige Rate an post-op Bronchusstumpf-/ Anastomoseninsuff.</t>
  </si>
  <si>
    <t>Lokale R0-Resektionen im Stadium IA/B u. IIA/B</t>
  </si>
  <si>
    <t xml:space="preserve">Lokale R0-Resektionen im Stadium IIIA/B </t>
  </si>
  <si>
    <t>„Hellgrün“ hinterlegte Felder weisen auf Unplausibilitäten hin. Diese Werte sind zu analysieren und das Ergebnis ist auf dem Folgeblatt „Datendefizite_Matrix“ darzulegen.</t>
  </si>
  <si>
    <t>Ansprechpartner</t>
  </si>
  <si>
    <t>Matrix - Ergebnisqualität Primärbehandlung Lunge</t>
  </si>
  <si>
    <t>Daten-qualität</t>
  </si>
  <si>
    <t>Plausi unklar</t>
  </si>
  <si>
    <r>
      <t xml:space="preserve">Eingeleitete / geplante Aktionen
</t>
    </r>
    <r>
      <rPr>
        <sz val="6"/>
        <rFont val="Arial"/>
        <family val="2"/>
      </rPr>
      <t>(bei plausibler Begründung keine Aktion erforderlich)</t>
    </r>
  </si>
  <si>
    <t>Achieva</t>
  </si>
  <si>
    <t>Achiever Medical System</t>
  </si>
  <si>
    <t>c37.CancerCenter</t>
  </si>
  <si>
    <t>H.I.T.</t>
  </si>
  <si>
    <t>IndivuNET</t>
  </si>
  <si>
    <t>Kolorekt</t>
  </si>
  <si>
    <t>KRAZTUR</t>
  </si>
  <si>
    <t>Medbrix</t>
  </si>
  <si>
    <t>MR-TU-DO</t>
  </si>
  <si>
    <t>NUK</t>
  </si>
  <si>
    <t>Oncolution</t>
  </si>
  <si>
    <t>onkodok (XAXOA)</t>
  </si>
  <si>
    <t>OnkoManager</t>
  </si>
  <si>
    <t>Onkomedia</t>
  </si>
  <si>
    <t>OnkoNet</t>
  </si>
  <si>
    <t>online Dokumentation IDZB</t>
  </si>
  <si>
    <t>Tudok (Tumorzentrum Regensburg)</t>
  </si>
  <si>
    <t>WDC-Kolonakte</t>
  </si>
  <si>
    <t>Tumorzentrum Ostsachsen</t>
  </si>
  <si>
    <t>Tumorzentrum Weser-Ems</t>
  </si>
  <si>
    <t>FAL-Z040</t>
  </si>
  <si>
    <t>Lungenkrebszentrum Lostau</t>
  </si>
  <si>
    <t>Lungenklinik Lostau (Pfeiffersche Stiftungen Magdeburg)</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</si>
  <si>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</si>
  <si>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</si>
  <si>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</si>
  <si>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</si>
  <si>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</si>
  <si>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</si>
  <si>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</si>
  <si>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</si>
  <si>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</si>
  <si>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</si>
  <si>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</si>
  <si>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</si>
  <si>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</si>
  <si>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</si>
  <si>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</si>
  <si>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</si>
  <si>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</si>
  <si>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</si>
  <si>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</si>
  <si>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</si>
  <si>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Datenverifizierung_ID</t>
  </si>
  <si>
    <t>Bewertung Ausschuss</t>
  </si>
  <si>
    <t>Anmerkung OnkoZert</t>
  </si>
  <si>
    <t>Noch nicht vorhanden</t>
  </si>
  <si>
    <t>Datenqualität gesamt</t>
  </si>
  <si>
    <t>FAL-Z041</t>
  </si>
  <si>
    <t>FAL-Z042</t>
  </si>
  <si>
    <t>Lungenkrebszentrum am Fachkrankenhaus Coswig</t>
  </si>
  <si>
    <t>Inselspital Bern</t>
  </si>
  <si>
    <t>Jahre</t>
  </si>
  <si>
    <t>Jahr</t>
  </si>
  <si>
    <t xml:space="preserve">Jahr </t>
  </si>
  <si>
    <t>Prostata-Ca Register</t>
  </si>
  <si>
    <t>QuaDoSta</t>
  </si>
  <si>
    <t>UroCloud</t>
  </si>
  <si>
    <t>Österreich</t>
  </si>
  <si>
    <t>OncoBox</t>
  </si>
  <si>
    <t>KN NR.</t>
  </si>
  <si>
    <t>Für Übertragung in Datendefizite_KB:</t>
  </si>
  <si>
    <t>Alle KN leer:</t>
  </si>
  <si>
    <t>Postoperative Bronchusstumpf-/Anastomoseninsuffizienz</t>
  </si>
  <si>
    <t>ixserv.4</t>
  </si>
  <si>
    <t>Heartsoft Tumordatenbank</t>
  </si>
  <si>
    <r>
      <t xml:space="preserve">Eingeleitete / geplante Aktionen
</t>
    </r>
    <r>
      <rPr>
        <sz val="8"/>
        <color indexed="8"/>
        <rFont val="Arial"/>
        <family val="2"/>
      </rPr>
      <t>(bei plausibler Begründung keine Aktion erforderlich)</t>
    </r>
  </si>
  <si>
    <t>Unvollständige Jahre</t>
  </si>
  <si>
    <t>KN</t>
  </si>
  <si>
    <r>
      <rPr>
        <b/>
        <u/>
        <sz val="8"/>
        <rFont val="Arial"/>
        <family val="2"/>
      </rPr>
      <t>Bearbeitungshinweise:</t>
    </r>
    <r>
      <rPr>
        <sz val="8"/>
        <rFont val="Arial"/>
        <family val="2"/>
      </rPr>
      <t xml:space="preserve">
Sofern die Sollvorgabe(n) bei einem oder mehreren Kooperationspartner nicht erfüllt wird / werden, ist eine unmittelbare Rücksprache mit OnkoZert erforderlich, da in diesen Fällen die Anerkennung eines Kooperationspartner grundsätzlich gefährdet ist.</t>
    </r>
  </si>
  <si>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</si>
  <si>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</si>
  <si>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</si>
  <si>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</si>
  <si>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</si>
  <si>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</si>
  <si>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</si>
  <si>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</si>
  <si>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</si>
  <si>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</si>
  <si>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</si>
  <si>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</si>
  <si>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</si>
  <si>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xml:space="preserve">Möglichst häufig Vorstellung von Primärfällen im Stad. IB-IIIB in Tumorkonferenz nach operativer Therapie </t>
  </si>
  <si>
    <t>Flexible Bronchoskopien je Leistungserbringer</t>
  </si>
  <si>
    <t>Begutachtete maligne Lungenfälle</t>
  </si>
  <si>
    <r>
      <t xml:space="preserve">Begründung / Ursache
</t>
    </r>
    <r>
      <rPr>
        <sz val="8"/>
        <color indexed="8"/>
        <rFont val="Arial"/>
        <family val="2"/>
      </rPr>
      <t>(min. 30 Zeichen / max. 500 Zeichen)</t>
    </r>
  </si>
  <si>
    <t>FAL-Z043</t>
  </si>
  <si>
    <t>Lungenkrebszentrum der Zentralklinik Bad Berka</t>
  </si>
  <si>
    <t>Lungentumorzentrum Universität Göttingen</t>
  </si>
  <si>
    <t>Krebsregister Schweiz</t>
  </si>
  <si>
    <t>Krebsregister Österreich</t>
  </si>
  <si>
    <t>XML-OncoBox</t>
  </si>
  <si>
    <t>Krebsregister Italien</t>
  </si>
  <si>
    <t>Tumorkonferenz nach operativer Therapie von Primärfällen Stad. IB-IIIB</t>
  </si>
  <si>
    <t>nur Darm</t>
  </si>
  <si>
    <t>KoReDos</t>
  </si>
  <si>
    <t>MaDoS</t>
  </si>
  <si>
    <t>ProDos</t>
  </si>
  <si>
    <t>nur Prostata</t>
  </si>
  <si>
    <t>durchschnittliche Follow-Up Quote &lt; 80%</t>
  </si>
  <si>
    <t>Sollvorgabe nicht erfüllt; durchschnittliche Follow-Up Quote &lt; 80%; ID: d</t>
  </si>
  <si>
    <t>Lungenkrebszentrum des Tumorzentrums Freiburg - CCCF</t>
  </si>
  <si>
    <t>Lungenkrebszentrum Oldenburg Pius-Hospital</t>
  </si>
  <si>
    <t>Fachkrankenhaus Coswig</t>
  </si>
  <si>
    <t>Krankenhaus Martha-Maria Halle-Dölau / Lungenklinik Ballenstedt</t>
  </si>
  <si>
    <t>Klinikum Esslingen / Krankenhaus vom Roten Kreuz Bad Cannstatt</t>
  </si>
  <si>
    <t>UCC-TDS (Tumorzentrum Dresden)</t>
  </si>
  <si>
    <t>FAL-Z046</t>
  </si>
  <si>
    <t>FAL-Z047</t>
  </si>
  <si>
    <t>FAL-Z048</t>
  </si>
  <si>
    <t>FAL-Z049</t>
  </si>
  <si>
    <t>Lungenkrebszentrum Paderborn</t>
  </si>
  <si>
    <t>Lungenkrebszentrum Barmherzige Brüder Regensburg</t>
  </si>
  <si>
    <t>Brüderkrankenhaus St. Josef Paderborn</t>
  </si>
  <si>
    <t>Krankenhaus Barmherzige Brüder Regensburg</t>
  </si>
  <si>
    <t>FAL-Z028</t>
  </si>
  <si>
    <t xml:space="preserve"> ≥ 90%</t>
  </si>
  <si>
    <t xml:space="preserve"> ≥ 5%</t>
  </si>
  <si>
    <t>&lt; 15%</t>
  </si>
  <si>
    <t xml:space="preserve">   Reg.-Nr.</t>
  </si>
  <si>
    <t xml:space="preserve">   Zentrum</t>
  </si>
  <si>
    <t xml:space="preserve">   Standort</t>
  </si>
  <si>
    <t xml:space="preserve">   Ansprechpartner</t>
  </si>
  <si>
    <t>≥ 10</t>
  </si>
  <si>
    <t>Uro-Link</t>
  </si>
  <si>
    <t>Fälle Lungenkarzinom</t>
  </si>
  <si>
    <t>Lungenkrebszentrum am Westdeutschen Tumorzentrum - Universitätsmedizin Essen</t>
  </si>
  <si>
    <t>KRH Klinikum Siloah</t>
  </si>
  <si>
    <t>Universitäres Lungenkrebszentrum Inselspital Bern</t>
  </si>
  <si>
    <t>Lungenkrebszentrum Katholisches Klinikum Koblenz-Montabaur</t>
  </si>
  <si>
    <t>FAL-Z050</t>
  </si>
  <si>
    <t>FAL-Z051</t>
  </si>
  <si>
    <t>Lungenkrebszentrum Braunschweig</t>
  </si>
  <si>
    <t>Universitätsklinikum Köln / Krankenhaus Bethanien Solingen</t>
  </si>
  <si>
    <t>Operative Expertise - Anzahl anatomische Resektionen</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</si>
  <si>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Pathologie: Kooperation mit 2 eigenständigen Lungenkrebszentren). Bei diesen Kennzahlen steht die Expertise der Behandlungseinheit im Vordergrund und nicht die Kennzahl.
</t>
    </r>
    <r>
      <rPr>
        <sz val="8"/>
        <rFont val="Arial"/>
        <family val="2"/>
      </rPr>
      <t xml:space="preserve">
</t>
    </r>
  </si>
  <si>
    <t>Nicht operative Primärfälle</t>
  </si>
  <si>
    <t>Zusammenarbeit mit KFRG-Krebsregister</t>
  </si>
  <si>
    <r>
      <t>Follow-Up-Daten vom Krebsregister</t>
    </r>
    <r>
      <rPr>
        <vertAlign val="superscript"/>
        <sz val="8"/>
        <rFont val="Arial"/>
        <family val="2"/>
      </rPr>
      <t xml:space="preserve">   2) 3) 4) 5)</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</si>
  <si>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</si>
  <si>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</si>
  <si>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</si>
  <si>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</si>
  <si>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</si>
  <si>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</si>
  <si>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</si>
  <si>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</si>
  <si>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</si>
  <si>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</si>
  <si>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</si>
  <si>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</si>
  <si>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</si>
  <si>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</si>
  <si>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</si>
  <si>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</si>
  <si>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</si>
  <si>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</si>
  <si>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</si>
  <si>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Jedes T-
Jedes N-M1a/M1b</t>
  </si>
  <si>
    <r>
      <t>Kombinierte Radiochemotherapie im Stad. IIIA</t>
    </r>
    <r>
      <rPr>
        <vertAlign val="subscript"/>
        <sz val="8"/>
        <rFont val="Arial"/>
        <family val="2"/>
      </rPr>
      <t>4</t>
    </r>
    <r>
      <rPr>
        <sz val="8"/>
        <rFont val="Arial"/>
        <family val="2"/>
      </rPr>
      <t>/IIIB/IIIC</t>
    </r>
  </si>
  <si>
    <r>
      <t>NSCLC-Primärfälle
Stad. IIIA</t>
    </r>
    <r>
      <rPr>
        <vertAlign val="subscript"/>
        <sz val="8"/>
        <rFont val="Arial"/>
        <family val="2"/>
      </rPr>
      <t>4</t>
    </r>
    <r>
      <rPr>
        <sz val="8"/>
        <rFont val="Arial"/>
        <family val="2"/>
      </rPr>
      <t>/IIIB/IIIC mit ECOG 0/1</t>
    </r>
  </si>
  <si>
    <t>FAL-Z054</t>
  </si>
  <si>
    <t>Lungenkrebszentrum Kaiserswerther Diakonie Düsseldorf</t>
  </si>
  <si>
    <t>Florence-Nightingale-Krankenhaus der Kaiserswerther Diakonie</t>
  </si>
  <si>
    <t>FAL-Z056</t>
  </si>
  <si>
    <t>Lungenkrebszentrum Gemeinschaftskrankenhaus Havelhöhe</t>
  </si>
  <si>
    <t>Gemeinschaftskrankenhaus Havelhöhe</t>
  </si>
  <si>
    <t>FAL-Z058</t>
  </si>
  <si>
    <t>Universitäres Lungenkrebszentrum des Saarlandes</t>
  </si>
  <si>
    <t>Universitätsklinikum des Saarlandes</t>
  </si>
  <si>
    <r>
      <t xml:space="preserve">   Nicht-operative 
   Primärfälle</t>
    </r>
    <r>
      <rPr>
        <vertAlign val="superscript"/>
        <sz val="11"/>
        <color theme="1"/>
        <rFont val="Arial"/>
        <family val="2"/>
      </rPr>
      <t xml:space="preserve"> 2)</t>
    </r>
    <r>
      <rPr>
        <sz val="11"/>
        <color theme="1"/>
        <rFont val="Arial"/>
        <family val="2"/>
      </rPr>
      <t xml:space="preserve"> </t>
    </r>
  </si>
  <si>
    <t>MADOS 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</si>
  <si>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</si>
  <si>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</si>
  <si>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Jedes T-
Jedes N-M1c</t>
  </si>
  <si>
    <t>FAL-Z014</t>
  </si>
  <si>
    <t>Lungenkrebszentrum der Kliniken Maria Hilf Mönchengladbach</t>
  </si>
  <si>
    <t>Lungenkrebszentrum am KRH Klinikum Siloah</t>
  </si>
  <si>
    <t>LungenClinic Grosshansdorf</t>
  </si>
  <si>
    <t>Lungenkrebszentrum Chemnitz</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</si>
  <si>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</si>
  <si>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</si>
  <si>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Verhältnis Broncho-/Angioplastischen Operationen zu Pneumonektomien</t>
  </si>
  <si>
    <t>Adäquates Verhältnis Broncho-/Angioplastischen Operationen zu Pneumonektomien</t>
  </si>
  <si>
    <t xml:space="preserve">Primärfälle mit Pneumonektomien und Primärfälle mit Broncho-/Angioplastischen Operationen
</t>
  </si>
  <si>
    <t>&lt; 50%</t>
  </si>
  <si>
    <t>Videothorakoskopische (VATS) und Roboter-assistierte (RATS) anatomische Resektionen</t>
  </si>
  <si>
    <t>CTCAE Grad V unter Systemtherapie</t>
  </si>
  <si>
    <t>Wenn möglich, Radiochemotherapie bei SCLC Stadium IIB-IIIC, ECOG 0/1</t>
  </si>
  <si>
    <t>Primärfälle Stadium III oder IV mit Systemtherapie</t>
  </si>
  <si>
    <t>&lt; 30%</t>
  </si>
  <si>
    <t>&gt; 5%</t>
  </si>
  <si>
    <t>Adjumed</t>
  </si>
  <si>
    <t>CaOnkoDok (Eigenentwicklung)</t>
  </si>
  <si>
    <t>Clinic WinData</t>
  </si>
  <si>
    <t>ODSeasy / ODSeasyNet</t>
  </si>
  <si>
    <t>Tumorregister München (TRM)</t>
  </si>
  <si>
    <t>Eigenentwicklung auf Basis medico (Cerner)</t>
  </si>
  <si>
    <t>Martini-Data</t>
  </si>
  <si>
    <t>Oncodossier (Eigenentwicklung auf Basis ORBIS)</t>
  </si>
  <si>
    <t xml:space="preserve">nur Darm </t>
  </si>
  <si>
    <t>Brust / Gyn</t>
  </si>
  <si>
    <t>Darm, Leber, Magen, Pankreas</t>
  </si>
  <si>
    <t>Primärfälle mit NSCLC Stadium IV, ALK pos.</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</si>
  <si>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</si>
  <si>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</si>
  <si>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</si>
  <si>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</si>
  <si>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</si>
  <si>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</si>
  <si>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</si>
  <si>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</si>
  <si>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</si>
  <si>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</si>
  <si>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</si>
  <si>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</si>
  <si>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</si>
  <si>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</si>
  <si>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</si>
  <si>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</si>
  <si>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</si>
  <si>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</si>
  <si>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</si>
  <si>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</si>
  <si>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</si>
  <si>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</si>
  <si>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</si>
  <si>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</si>
  <si>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</si>
  <si>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</si>
  <si>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</si>
  <si>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</si>
  <si>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</si>
  <si>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</si>
  <si>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</si>
  <si>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</si>
  <si>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</si>
  <si>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</si>
  <si>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</si>
  <si>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</si>
  <si>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</si>
  <si>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</si>
  <si>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</si>
  <si>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</si>
  <si>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</si>
  <si>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</si>
  <si>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</si>
  <si>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</si>
  <si>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</si>
  <si>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</si>
  <si>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</si>
  <si>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</si>
  <si>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</si>
  <si>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</si>
  <si>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</si>
  <si>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</si>
  <si>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</si>
  <si>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</si>
  <si>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</si>
  <si>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</si>
  <si>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</si>
  <si>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</si>
  <si>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</si>
  <si>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</si>
  <si>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</si>
  <si>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</si>
  <si>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</si>
  <si>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</si>
  <si>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</si>
  <si>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</si>
  <si>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</si>
  <si>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</si>
  <si>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</si>
  <si>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</si>
  <si>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</si>
  <si>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</si>
  <si>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</si>
  <si>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</si>
  <si>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</si>
  <si>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</si>
  <si>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</si>
  <si>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</si>
  <si>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</si>
  <si>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</si>
  <si>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</si>
  <si>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</si>
  <si>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</si>
  <si>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</si>
  <si>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</si>
  <si>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</si>
  <si>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Lungenklinik Hemer, Deutscher Gemeinschafts-Diakonieverband</t>
  </si>
  <si>
    <t>Kliniken Maria Hilf GmbH</t>
  </si>
  <si>
    <t>Lungenkrebszentrum der ViDia Christliche Kliniken Karlsruhe am Standort St. Vincentius-Kliniken</t>
  </si>
  <si>
    <t>FAL-Z060</t>
  </si>
  <si>
    <t>FAL-Z062</t>
  </si>
  <si>
    <t>FAL-Z063</t>
  </si>
  <si>
    <t>Lungenkrebszentrum am Universitätsklinikum Regensburg</t>
  </si>
  <si>
    <t>Universitätsklinikum Regensburg</t>
  </si>
  <si>
    <t>FAL-Z064</t>
  </si>
  <si>
    <t>Lungenkrebszentrum UKSH Kiel</t>
  </si>
  <si>
    <t>Universitätsklinikum Schleswig-Holstein Campus Kiel</t>
  </si>
  <si>
    <r>
      <rPr>
        <b/>
        <sz val="11"/>
        <color theme="1"/>
        <rFont val="Arial"/>
        <family val="2"/>
      </rPr>
      <t>Primärfälle Lungenkarzinom</t>
    </r>
    <r>
      <rPr>
        <sz val="11"/>
        <color theme="1"/>
        <rFont val="Arial"/>
        <family val="2"/>
      </rPr>
      <t xml:space="preserve">
</t>
    </r>
    <r>
      <rPr>
        <sz val="8"/>
        <color theme="1"/>
        <rFont val="Arial"/>
        <family val="2"/>
      </rPr>
      <t>automatischer Übertrag "Anzahl / Nenner" in den Kennzahlenbogen</t>
    </r>
  </si>
  <si>
    <t xml:space="preserve"> </t>
  </si>
  <si>
    <t>5-324.34</t>
  </si>
  <si>
    <t xml:space="preserve">  Bilobektomie mit radikaler Lymphadenektomie, offen chirurgisch, mit bronchoplastischer und 
  angioplastischer Erweiterung</t>
  </si>
  <si>
    <t>Zählbare OPS-Codes für Kennzahl 10
(„Verhältnis Broncho-/Angioplastischen Operationen zu Pneumonektomien“)</t>
  </si>
  <si>
    <t>Für Kennzahl 10 („Verhältnis Broncho-/Angioplastischen Operationen zu Pneumonektomien“) können die in der nachfolgenden Liste aufgeführten OPS-Codes bei Primärfällen gezählt werden:</t>
  </si>
  <si>
    <t>Primärfälle des Nenners, die in der prätherapeutischen Konferenz vorgestellt wurden</t>
  </si>
  <si>
    <t>Primärfälle des Nenners, die in der Tumorkonferenz vorgestellt wurden</t>
  </si>
  <si>
    <t>Operative Primärfälle Stad. IB-IIIB  mit anatomischer Lungenresektion</t>
  </si>
  <si>
    <t>Primärfälle des Nenners mit Broncho-/Angioplastischen Operationen</t>
  </si>
  <si>
    <t>Erfassung der videothorakoskopischen (VATS) und Roboter-assistierten (RATS) anatomischen Resektionen</t>
  </si>
  <si>
    <t>Operationen des Nenners, die videothorakoskopisch (VATS) und Roboter-assistiert (RATS) durchgeführt wurden</t>
  </si>
  <si>
    <t>Primärfälle des Nenners, die postoperativ innerhalb von 30d verstorben sind</t>
  </si>
  <si>
    <t xml:space="preserve">Primärfälle des Nenners mit postoperativen Bronchusstumpf-/ Anastomoseninsuff. </t>
  </si>
  <si>
    <t>Primärfälle des Nenners mit lokalen R0-Resektionen nach Abschluss der operativen Therapie</t>
  </si>
  <si>
    <r>
      <t>Adjuvante cisplatinhaltige Chemotherapie Stad. II-IIIA</t>
    </r>
    <r>
      <rPr>
        <vertAlign val="subscript"/>
        <sz val="8"/>
        <rFont val="Arial"/>
        <family val="2"/>
      </rPr>
      <t xml:space="preserve">1/2 </t>
    </r>
  </si>
  <si>
    <r>
      <t>Möglichst häufig adjuvante cisplatinhaltige Chemotherapie bei R0- und LK-resezierten NSCLC-Primärfällen
Stad. II-IIIA</t>
    </r>
    <r>
      <rPr>
        <vertAlign val="subscript"/>
        <sz val="8"/>
        <rFont val="Arial"/>
        <family val="2"/>
      </rPr>
      <t>1/2</t>
    </r>
  </si>
  <si>
    <t>Primärfälle des Nenners mit cisplatinhaltiger Chemotherapie</t>
  </si>
  <si>
    <r>
      <t>R0- und LK-resezierte NSCLC-Primärfälle mit anatomische Lungenresektion
Stad. II-IIIA</t>
    </r>
    <r>
      <rPr>
        <vertAlign val="subscript"/>
        <sz val="8"/>
        <rFont val="Arial"/>
        <family val="2"/>
      </rPr>
      <t xml:space="preserve">1/2 </t>
    </r>
    <r>
      <rPr>
        <sz val="8"/>
        <rFont val="Arial"/>
        <family val="2"/>
      </rPr>
      <t>mit ECOG 0/1</t>
    </r>
  </si>
  <si>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</si>
  <si>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</si>
  <si>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t xml:space="preserve">Primärfälle des Nenners mit Beginn einer Erstlinientherapie mit EGFR-TKI </t>
  </si>
  <si>
    <t>Primärfälle des Nenners mit Radiochemotherapie</t>
  </si>
  <si>
    <t xml:space="preserve">Primärfälle des Nenners mit CTCAE Grad V unter Systemtherapie </t>
  </si>
  <si>
    <t>Ausnahme (Plausibilität unklar)</t>
  </si>
  <si>
    <t>Anmerkung:</t>
  </si>
  <si>
    <r>
      <t xml:space="preserve">UICC IIIC   </t>
    </r>
    <r>
      <rPr>
        <vertAlign val="superscript"/>
        <sz val="8"/>
        <rFont val="Arial"/>
        <family val="2"/>
      </rPr>
      <t>1) 9)</t>
    </r>
  </si>
  <si>
    <r>
      <t xml:space="preserve">UICC IVA (IV bis 2016)   </t>
    </r>
    <r>
      <rPr>
        <vertAlign val="superscript"/>
        <sz val="8"/>
        <rFont val="Arial"/>
        <family val="2"/>
      </rPr>
      <t>1) 9)</t>
    </r>
  </si>
  <si>
    <r>
      <t xml:space="preserve">UICC IVB   </t>
    </r>
    <r>
      <rPr>
        <vertAlign val="superscript"/>
        <sz val="8"/>
        <rFont val="Arial"/>
        <family val="2"/>
      </rPr>
      <t>1) 9)</t>
    </r>
  </si>
  <si>
    <t>K</t>
  </si>
  <si>
    <t>Q</t>
  </si>
  <si>
    <t>Y</t>
  </si>
  <si>
    <t>AB</t>
  </si>
  <si>
    <t>AC</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</si>
  <si>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</si>
  <si>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r>
      <rPr>
        <vertAlign val="superscript"/>
        <sz val="8"/>
        <rFont val="Arial"/>
        <family val="2"/>
      </rPr>
      <t>9)</t>
    </r>
    <r>
      <rPr>
        <sz val="8"/>
        <rFont val="Arial"/>
        <family val="2"/>
      </rPr>
      <t xml:space="preserve"> Für die Diagnosejahre bis 2016 sind die UICC-Stadien gemäß der alten TNM-Klassifikation (7. Auflage 2010) anzugeben.</t>
    </r>
  </si>
  <si>
    <t>Ausnahmen sind die optional anzugebenden Felder OAS und DFS (Spalten AB und AC). Dezimaltrennzeichen ist das Komma (nicht der Punkt). Rundung erfolgt auf zwei Nachkommastellen.</t>
  </si>
  <si>
    <t>T &lt; 0</t>
  </si>
  <si>
    <t>Werte Spalte T "Pat. tumorfrei" dürfen keine negativen Werte annehmen</t>
  </si>
  <si>
    <t>R31</t>
  </si>
  <si>
    <t>R31 &lt; 80%</t>
  </si>
  <si>
    <t>R25 - R27</t>
  </si>
  <si>
    <t>R &lt; 40%</t>
  </si>
  <si>
    <t>R31 &gt; 95%</t>
  </si>
  <si>
    <t>AB27</t>
  </si>
  <si>
    <t>AC27</t>
  </si>
  <si>
    <t>Zahlen in Spalte T dürfen keine negativen Werte annehmen</t>
  </si>
  <si>
    <t>Summe Spalten V+W+X+Y+Z (Patienten mit Ereignisse) darf nicht größer als Summe Spalten O+P (Patientenrückmeldungen) sein.</t>
  </si>
  <si>
    <t xml:space="preserve">                                              (Muster Zertifikat) </t>
  </si>
  <si>
    <t>Clinical Information Catalogue (CIC) (Eigenentwicklung)</t>
  </si>
  <si>
    <t>SHGHoncoDoc</t>
  </si>
  <si>
    <t>TD System KEM (Eigenentwicklung)</t>
  </si>
  <si>
    <t>Summe Plausibilität unklar</t>
  </si>
  <si>
    <t>Ausnahme</t>
  </si>
  <si>
    <t>Deutschland</t>
  </si>
  <si>
    <t>FAL-Z009-1/-2</t>
  </si>
  <si>
    <t>Lungenkrebszentrum der DRK Kliniken Berlin Mitte</t>
  </si>
  <si>
    <t>DRK Kliniken Berlin Mitte</t>
  </si>
  <si>
    <t>FAL-Z025-1/-2</t>
  </si>
  <si>
    <t xml:space="preserve">Lungentumorzentrum München Klinik Bogenhausen </t>
  </si>
  <si>
    <t>München Klinik Bogenhausen</t>
  </si>
  <si>
    <t>FAL-Z036-1/-2/-3</t>
  </si>
  <si>
    <t>Charité - Campus Mitte / Charité - Campus Virchow-Klinikum / Charité - Campus Benjamin-Franklin</t>
  </si>
  <si>
    <t xml:space="preserve">Vivantes Lungenkrebszentrum </t>
  </si>
  <si>
    <t>FAL-Z045-1/-2</t>
  </si>
  <si>
    <t>Katholisches Klinikum Koblenz-Montabaur, Standort Marienhof</t>
  </si>
  <si>
    <t>Lungenkrebszentrum am Helios Universitätsklinikum Wuppertal</t>
  </si>
  <si>
    <t>Helios Universitätsklinikum Wuppertal</t>
  </si>
  <si>
    <t>Städtisches Klinikum Braunschweig</t>
  </si>
  <si>
    <t>FAL-Z052-1/-2</t>
  </si>
  <si>
    <t>Lungenkrebszentrum Uniklinik Köln / Solingen - LuKS</t>
  </si>
  <si>
    <t>FAL-Z057-1/-2/-3</t>
  </si>
  <si>
    <t>Lungenkrebszentrum Augsburg - Schwaben</t>
  </si>
  <si>
    <t>Universitätsklinikum Augsburg - Medizincampus</t>
  </si>
  <si>
    <t>FAL-Z065-1/-2</t>
  </si>
  <si>
    <t>Lungenkrebszentrum Köln - Merheim und Kalk</t>
  </si>
  <si>
    <t>Krankenhaus Merheim, Kliniken der Stadt Köln / Evangelisches Krankenhaus Kalk</t>
  </si>
  <si>
    <t>FAL-Z067</t>
  </si>
  <si>
    <t>Lungenkrebszentrum am Krankenhaus Nordwest</t>
  </si>
  <si>
    <t>Krankenhaus Nordwest, Frankfurt am Main</t>
  </si>
  <si>
    <t>FAL-Z068</t>
  </si>
  <si>
    <t>HELIOS Lungenkrebszentrum Krefeld</t>
  </si>
  <si>
    <t>HELIOS Klinikum Krefeld</t>
  </si>
  <si>
    <t>FAL-Z069</t>
  </si>
  <si>
    <t>Lungenkrebszentrum Klinikum Klagenfurt</t>
  </si>
  <si>
    <t>Klinikum Klagenfurt am Wörthersee</t>
  </si>
  <si>
    <t>FAL-Z070</t>
  </si>
  <si>
    <t>Lungenkrebszentrum St. Marien- und St. Vinzenz-Hospital Köln</t>
  </si>
  <si>
    <t>St. Vinzenz-Hospital Köln</t>
  </si>
  <si>
    <t>Land</t>
  </si>
  <si>
    <t xml:space="preserve">Möglichst selten CTCAE Grad V unter Systemtherapie </t>
  </si>
  <si>
    <t>Filtername EMAC: "Liste Reg.Nr DS" -&gt; Bitte Datum bei Gültigkeit aktualisieren</t>
  </si>
  <si>
    <r>
      <t xml:space="preserve">   Operative Primärfälle
   mit anatomischer 
   Lungenresektion
   (OPS: 5-323 bis 5-328)</t>
    </r>
    <r>
      <rPr>
        <vertAlign val="superscript"/>
        <sz val="11"/>
        <color theme="1"/>
        <rFont val="Arial"/>
        <family val="2"/>
      </rPr>
      <t>1)</t>
    </r>
  </si>
  <si>
    <t>Operative Primärfälle mit anatomischer Lungenresektion</t>
  </si>
  <si>
    <t>EB/ LL</t>
  </si>
  <si>
    <t>1a</t>
  </si>
  <si>
    <t>1b</t>
  </si>
  <si>
    <t>Operative Primärfälle mit anatomischer Lungenresektion
(OPS: 5-323 bis 5-328, 6-stellig, ausschließlich mit ICD-10 C34)</t>
  </si>
  <si>
    <t>Operative Primärfälle mit anatomischer Lungenresektion im Stadium IA/B u. IIA/B</t>
  </si>
  <si>
    <t>LL QI</t>
  </si>
  <si>
    <t>≥ 25%</t>
  </si>
  <si>
    <t>≥ 75%</t>
  </si>
  <si>
    <t>Möglichst häufig Symptomerfassung mittels MIDOS oder IPOS</t>
  </si>
  <si>
    <t>&lt; 60%</t>
  </si>
  <si>
    <t>Möglichst häufig PD-L1-Testung vor Beginn der Radio-Chemotherapie</t>
  </si>
  <si>
    <t>Primärfälle des Nenners mit PD-L1-Testung vor Beginn der Radio-Chemotherapie</t>
  </si>
  <si>
    <t>Möglichst häufig PD-L1-Testung</t>
  </si>
  <si>
    <t>Primärfälle des Nenners mit PD-L1-Testung</t>
  </si>
  <si>
    <t>Primärfälle 
(= Kennzahl 1a)</t>
  </si>
  <si>
    <t>Primärfälle
(= Kennzahl 1a)</t>
  </si>
  <si>
    <t>Follow-Up Quote in %
= (O + P) / N</t>
  </si>
  <si>
    <t>Ludgerus-Kliniken Münster, Standort Clemenshospital</t>
  </si>
  <si>
    <t>FAL-Z022-1/-2</t>
  </si>
  <si>
    <t>Stiftung Krankenhaus Bethanien für die Grafschaft Moers / Alfried-Krupp-Krankenhaus Essen-Steele</t>
  </si>
  <si>
    <t>ViDia Christliche Kliniken Karlsruhe - Standort St. Vincentius-Kliniken Karlsruhe</t>
  </si>
  <si>
    <t>Johanniter-Krankenhaus Treuenbrietzen</t>
  </si>
  <si>
    <t>FAL-Z039</t>
  </si>
  <si>
    <t>Lungenkrebszentrum Gera</t>
  </si>
  <si>
    <t>SRH Wald-Klinikum Gera</t>
  </si>
  <si>
    <t>Klinikum Chemnitz, Standort Küchwald</t>
  </si>
  <si>
    <t>Helios Lungenkrebszentrum Erfurt</t>
  </si>
  <si>
    <t>Helios Klinikum Erfurt</t>
  </si>
  <si>
    <t>FAL-Z061</t>
  </si>
  <si>
    <t xml:space="preserve">Lungenkrebszentrum Wangen -  Allgäu / Oberschwaben </t>
  </si>
  <si>
    <t>Waldburg-Zeil Kliniken - Fachkliniken Wangen</t>
  </si>
  <si>
    <t>FAL-Z071</t>
  </si>
  <si>
    <t>Lungenkrebszentrum Marburg im Comprehensive Cancer Center (CCC) Marburg</t>
  </si>
  <si>
    <t>Universitätsklinikum Gießen und Marburg; Standort Marburg</t>
  </si>
  <si>
    <t>FAL-Z072</t>
  </si>
  <si>
    <t>Lungenkrebszentrum Missio Würzburg</t>
  </si>
  <si>
    <t>Klinikum Würzburg Mitte, Standort Missioklinik</t>
  </si>
  <si>
    <t>PD-L1-Testung bei NSCLC im Stadium III mit Radiochemotherapie</t>
  </si>
  <si>
    <t>Primärfälle NSCLC Stadium III mit Radio-Chemotherapie</t>
  </si>
  <si>
    <t>PD-L1-Testung bei NSCLC Stadium IV</t>
  </si>
  <si>
    <t>Primärfälle NSCLC Stadium IV</t>
  </si>
  <si>
    <t>nur Lungenkrebszentrum</t>
  </si>
  <si>
    <t>1c</t>
  </si>
  <si>
    <t>≥ 12</t>
  </si>
  <si>
    <t>Prätherapeutische Tumorkonferenz Mesotheliom</t>
  </si>
  <si>
    <t xml:space="preserve">Primärfälle Mesotheliom
(= Kennzahl 1c)
</t>
  </si>
  <si>
    <t>Tumorkonferenz nach operativer Therapie Mesotheliom</t>
  </si>
  <si>
    <t>Möglichst häufig Vorstellung von Primärfällen mit Mesotheliom in der Tumorkonferenz nach operativer Therapie</t>
  </si>
  <si>
    <t>Primärfälle Mesotheliom
(= Kennzahl 1c)</t>
  </si>
  <si>
    <t>Beratung Sozialdienst Mesotheliom</t>
  </si>
  <si>
    <t>≥ 1</t>
  </si>
  <si>
    <t>Primärfälle mit operativer Therapie bei Mesotheliom 
(= Kennzahl 2)</t>
  </si>
  <si>
    <t xml:space="preserve">Primärfälle (C45.0, C45.2)
</t>
  </si>
  <si>
    <t xml:space="preserve">Primärfälle Mesotheliom der Pleura und des Perikards 
</t>
  </si>
  <si>
    <t>Primärfälle (C45.1)</t>
  </si>
  <si>
    <t xml:space="preserve">Primärfälle Mesotheliom des Peritoneums
</t>
  </si>
  <si>
    <t xml:space="preserve">Primärfälle Mesotheliom </t>
  </si>
  <si>
    <t>Primärfälle (C45.0, C45.1, C45.2)</t>
  </si>
  <si>
    <t>Der Zähler ist immer eine Teilmenge des Nenners.</t>
  </si>
  <si>
    <t>Lungenkrebszentrum + Mesotheliomeinheit</t>
  </si>
  <si>
    <t>Operative Therapie bei Mesotheliom</t>
  </si>
  <si>
    <t xml:space="preserve">   Tumorentität:</t>
  </si>
  <si>
    <t>Tumorentität:</t>
  </si>
  <si>
    <t>Kennzahlenbogen Mesotheliom</t>
  </si>
  <si>
    <t xml:space="preserve">  </t>
  </si>
  <si>
    <t>2</t>
  </si>
  <si>
    <t>Kennzahlenbogen - Analyseprotokoll Datendefizite Mesotheliom</t>
  </si>
  <si>
    <t>Nicht relevant - Zentrum nicht in Deutschland</t>
  </si>
  <si>
    <r>
      <rPr>
        <b/>
        <sz val="10"/>
        <color theme="1"/>
        <rFont val="Arial"/>
        <family val="2"/>
      </rPr>
      <t>Primärfälle (ICD-10 C34-
alle Histologien)</t>
    </r>
    <r>
      <rPr>
        <sz val="11"/>
        <color theme="1"/>
        <rFont val="Arial"/>
        <family val="2"/>
      </rPr>
      <t xml:space="preserve">
   </t>
    </r>
    <r>
      <rPr>
        <sz val="10"/>
        <color theme="1"/>
        <rFont val="Arial"/>
        <family val="2"/>
      </rPr>
      <t>Def. gemäß EB 1.2.1</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</si>
  <si>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</si>
  <si>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</si>
  <si>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Pat. mit neuaufgetretenem Rezidiv und/oder Fernmetastasen</t>
  </si>
  <si>
    <t>Pat. des Nenners, die in der Tumorkonferenz vorgestellt wurden</t>
  </si>
  <si>
    <t>Pat. mit neuaufgetretenem Rezidiv u/o Fernmetastasen nach vorheriger kurativer Behandlung (R0 Resektion)</t>
  </si>
  <si>
    <t>Primärfälle (= Kennzahl 1a) + Pat. mit neuaufgetretenem Rezidiv und/oder Fernmetastasen 
(= Kennzahl 1b)</t>
  </si>
  <si>
    <t>Pat. des Nenners, die stationär oder ambulant durch den Sozialdienst beraten wurden</t>
  </si>
  <si>
    <t>Anteil Studienpat.</t>
  </si>
  <si>
    <t>Möglichst niedrige Rate an post-op verstorbenen Pat. nach Resektion</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</si>
  <si>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</si>
  <si>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</si>
  <si>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</si>
  <si>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</si>
  <si>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2)</t>
    </r>
  </si>
  <si>
    <r>
      <t xml:space="preserve">Pat.  tumorfrei  </t>
    </r>
    <r>
      <rPr>
        <vertAlign val="superscript"/>
        <sz val="8"/>
        <rFont val="Arial"/>
        <family val="2"/>
      </rPr>
      <t xml:space="preserve">6)
</t>
    </r>
    <r>
      <rPr>
        <sz val="8"/>
        <rFont val="Arial"/>
        <family val="2"/>
      </rPr>
      <t>- mit Ereignis (Rezidive, Fernmetastasen) -</t>
    </r>
  </si>
  <si>
    <r>
      <t xml:space="preserve">Pat. nicht tumorfrei  </t>
    </r>
    <r>
      <rPr>
        <vertAlign val="superscript"/>
        <sz val="8"/>
        <rFont val="Arial"/>
        <family val="2"/>
      </rPr>
      <t xml:space="preserve">6)
</t>
    </r>
    <r>
      <rPr>
        <sz val="8"/>
        <rFont val="Arial"/>
        <family val="2"/>
      </rPr>
      <t>- ohne Progress -</t>
    </r>
  </si>
  <si>
    <r>
      <t xml:space="preserve">Pat. nicht tumorfrei  </t>
    </r>
    <r>
      <rPr>
        <vertAlign val="superscript"/>
        <sz val="8"/>
        <rFont val="Arial"/>
        <family val="2"/>
      </rPr>
      <t>6)</t>
    </r>
    <r>
      <rPr>
        <sz val="8"/>
        <rFont val="Arial"/>
        <family val="2"/>
      </rPr>
      <t xml:space="preserve">
- mit Progress u. / o. mit Fernmetastasen -</t>
    </r>
  </si>
  <si>
    <r>
      <rPr>
        <vertAlign val="superscript"/>
        <sz val="8"/>
        <rFont val="Arial"/>
        <family val="2"/>
      </rPr>
      <t>2)</t>
    </r>
    <r>
      <rPr>
        <sz val="8"/>
        <rFont val="Arial"/>
        <family val="2"/>
      </rPr>
      <t xml:space="preserve">  Pat., die in dieser Darstellung (Spalte N - Z) nicht berücksichtigt werden dürfen, sind: Pat. mit vorausgegangenem Tumor (alle Entitäten).</t>
    </r>
  </si>
  <si>
    <r>
      <t xml:space="preserve">5) </t>
    </r>
    <r>
      <rPr>
        <sz val="8"/>
        <rFont val="Arial"/>
        <family val="2"/>
      </rPr>
      <t xml:space="preserve">  Krebsregister können in der Regel keine Follow-Up-Daten zu Pat. außerhalb des Einzugsgebietes einholen.</t>
    </r>
  </si>
  <si>
    <r>
      <rPr>
        <vertAlign val="superscript"/>
        <sz val="8"/>
        <rFont val="Arial"/>
        <family val="2"/>
      </rPr>
      <t>6)</t>
    </r>
    <r>
      <rPr>
        <sz val="8"/>
        <rFont val="Arial"/>
        <family val="2"/>
      </rPr>
      <t xml:space="preserve">  Spalte T: Pat. tumorfrei - ohne Ereignis - (=seit Abschluss Primärtherapie unverändert);</t>
    </r>
  </si>
  <si>
    <t xml:space="preserve">Spalte W: Pat. nicht tumorfrei - ohne Progress - (=seit Abschluss Primärtherapie unverändert);   </t>
  </si>
  <si>
    <t xml:space="preserve">Spalte X: Pat. nicht tumorfrei - mit Progress und / oder mit Fernmetastasen - (gilt für nicht tumorfreie Pat. nach Abschluss der Primärtherapie); </t>
  </si>
  <si>
    <t>Spalte V: Pat. tumorfrei - mit Ereignis (Rezidiv, Fernmetastasen) - (gilt für tumorfreie Pat. nach Abschluss Primätherapie).</t>
  </si>
  <si>
    <t xml:space="preserve">   nach der Primärtherapie tumorfreien Pat. berücksichtigt.</t>
  </si>
  <si>
    <t xml:space="preserve">   Die Auswertungen der Kaplan-Meier-Kurven beziehen sich beim OAS auf die entsprechende Jahreskohorte ohne die in der Fußnote 2 genannten Pat.gruppen. Beim DFS werden nur die </t>
  </si>
  <si>
    <t>Alle Pat. ab dem Folgejahr der EZ sind im Follow-Up zu berücksichtigen; alle relevanten Nachsorgejahre sind zu bearbeiten, abhängig vom Datum der Erstzertifizierung.</t>
  </si>
  <si>
    <t>Werte Spalte N "Pat. im Follow-Up" müssen mindestens kleiner oder gleich sein als Spalte C; siehe Fußnote 2</t>
  </si>
  <si>
    <t xml:space="preserve">                    Sollvorgabe nicht erfüllt</t>
  </si>
  <si>
    <t>Helios Klinikum Emil von Behring Berlin</t>
  </si>
  <si>
    <t>Lungenkrebszentrum am Marienhaus Klinikum Mainz</t>
  </si>
  <si>
    <t>Marienhaus Klinikum Mainz</t>
  </si>
  <si>
    <t>Lungenkrebszentrum am Lungen- und Thoraxzentrum Nordrhein - Standort Krankenhaus Bethanien Moers (in Kooperation mit dem Alfried-Krupp-Krankenhaus Essen-Steele)</t>
  </si>
  <si>
    <t>Lungenkrebszentrum des Thoraxzentrums Esslingen - Stuttgart (TESS)</t>
  </si>
  <si>
    <t>Zentralklinik Bad Berka</t>
  </si>
  <si>
    <t>Lungenkrebszentrum Mittelhessen an den Standorten Universitätsklinikum Gießen, Kerckhoffklinik Bad Nauheim, Evangelisches Krankenhaus Gießen</t>
  </si>
  <si>
    <t>FAL-Z066</t>
  </si>
  <si>
    <t>Lungenkrebszentrum der Helios Dr. Horst Schmidt Kliniken Wiesbaden</t>
  </si>
  <si>
    <t>Helios Dr. Horst Schmidt Kliniken Wiesbaden</t>
  </si>
  <si>
    <t>FAL-Z073</t>
  </si>
  <si>
    <t xml:space="preserve">Lungenkrebszentrum der Medizinischen Hochschule Hannover </t>
  </si>
  <si>
    <t>Medizinische Hochschule Hannover</t>
  </si>
  <si>
    <t>FAL-Z074</t>
  </si>
  <si>
    <t>FAL-Z076</t>
  </si>
  <si>
    <t>Lungenkrebszentrum Kliniken Essen-Mitte</t>
  </si>
  <si>
    <t>Kliniken Essen-Mitte, Standort Evang. Huyssens-Stiftung Essen-Huttrop</t>
  </si>
  <si>
    <t>FAL-Z078</t>
  </si>
  <si>
    <t>Lungenkrebszentrum Sana Klinikum Offenbach</t>
  </si>
  <si>
    <t>Sana Klinikum Offenbach</t>
  </si>
  <si>
    <t>FAL-Z079</t>
  </si>
  <si>
    <t>Lungentumorzentrum Winterthur</t>
  </si>
  <si>
    <t>Kantonsspital Winterthur</t>
  </si>
  <si>
    <t>FAL-Z044-1/-2</t>
  </si>
  <si>
    <t>Universitätsmedizin Göttingen / Lungenfachklinik Immenhausen</t>
  </si>
  <si>
    <t>Universitätsklinikum Gießen und Marburg, Standort Gießen / Kerckhoff-Klinik Bad Nauheim / Pneumologische Klinik Evangelisches Krankenhaus Mittelhessen Gießen</t>
  </si>
  <si>
    <t>AC25</t>
  </si>
  <si>
    <t>AC26</t>
  </si>
  <si>
    <t>Studienpat. Mesotheliom</t>
  </si>
  <si>
    <t>Einbringen von möglichst vielen Pat. mit Mesotheliom in Studien</t>
  </si>
  <si>
    <t>Kombinierte Radiochemotherapie bei SCLC Stad. IIB – IIIC</t>
  </si>
  <si>
    <t>Teilmenge Primärfälle - nichtkleinzellige Tumoren (optionale Angabe)</t>
  </si>
  <si>
    <r>
      <rPr>
        <b/>
        <sz val="10"/>
        <color theme="1" tint="0.34998626667073579"/>
        <rFont val="Arial"/>
        <family val="2"/>
      </rPr>
      <t>Teilmenge Primärfälle - nichtkleinzellige Tumoren</t>
    </r>
    <r>
      <rPr>
        <sz val="10"/>
        <color theme="1" tint="0.34998626667073579"/>
        <rFont val="Arial"/>
        <family val="2"/>
      </rPr>
      <t xml:space="preserve">
(optionale Angabe) </t>
    </r>
    <r>
      <rPr>
        <vertAlign val="superscript"/>
        <sz val="10"/>
        <color theme="1" tint="0.34998626667073579"/>
        <rFont val="Arial"/>
        <family val="2"/>
      </rPr>
      <t>3)</t>
    </r>
  </si>
  <si>
    <t xml:space="preserve">    Unter Follow-up ist Spalte N bis Z zu verstehen (Aktives Follow-Up).</t>
  </si>
  <si>
    <t>Primärfälle (ICD-10 C34-alle Histologien)</t>
  </si>
  <si>
    <t>FAL-Z027</t>
  </si>
  <si>
    <t>Lungenkrebszentrum Klinikum Dortmund</t>
  </si>
  <si>
    <t>Klinikum Dortmund</t>
  </si>
  <si>
    <t>FAL-Z031</t>
  </si>
  <si>
    <t>Lungen- und Thoraxonkologiezentrum am Cancer Center UniversitätsSpital Zürich</t>
  </si>
  <si>
    <t>UniversitätsSpital Zürich</t>
  </si>
  <si>
    <r>
      <t xml:space="preserve">Operative Expertise - Anzahl anatomische Resektionen
    </t>
    </r>
    <r>
      <rPr>
        <sz val="9"/>
        <color theme="1"/>
        <rFont val="Arial"/>
        <family val="2"/>
      </rPr>
      <t xml:space="preserve">(OPS: 5-323 bis 5-328 bei ICD-10 C34.0 - .9, C78.0) </t>
    </r>
    <r>
      <rPr>
        <vertAlign val="superscript"/>
        <sz val="9"/>
        <color theme="1"/>
        <rFont val="Arial"/>
        <family val="2"/>
      </rPr>
      <t>1)</t>
    </r>
  </si>
  <si>
    <t>Grundlage des Erhebungsbogens stellt die TNM – Klassifikation maligner Tumoren, 8. Auflage 2017 sowie die ICD-Klassifikation ICD-10-GM 2022 (DIMDI) und die OPS-Klassifikation OPS 2022 (DIMDI) dar.</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</si>
  <si>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</si>
  <si>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Expertise TCH mehrstandortige Lungenkrebszentren</t>
  </si>
  <si>
    <r>
      <rPr>
        <b/>
        <sz val="8"/>
        <rFont val="Arial"/>
        <family val="2"/>
      </rPr>
      <t xml:space="preserve">Bearbeitungshinweis: </t>
    </r>
    <r>
      <rPr>
        <sz val="8"/>
        <rFont val="Arial"/>
        <family val="2"/>
      </rPr>
      <t xml:space="preserve">Dieses Tabellenblatt ist nur von mehrstandortigen Lungenkrebszentren mit 2 oder 3 Thoraxchirurgien zu bearbeiten.
</t>
    </r>
    <r>
      <rPr>
        <b/>
        <sz val="8"/>
        <rFont val="Arial"/>
        <family val="2"/>
      </rPr>
      <t>Operative Expertise TCH mehrstandortige Lungenkrebszentren:</t>
    </r>
    <r>
      <rPr>
        <sz val="8"/>
        <rFont val="Arial"/>
        <family val="2"/>
      </rPr>
      <t xml:space="preserve">
Die Kennzahlen zur Beurteilung der operativen Qualität sind von jeder(m) Thoraxchirurgie/Standort separat darzulegen.  
</t>
    </r>
  </si>
  <si>
    <t>11a</t>
  </si>
  <si>
    <t>11b</t>
  </si>
  <si>
    <t>Plausi</t>
  </si>
  <si>
    <t>Operative Primärfälle 
(= Kennzahl 11a)</t>
  </si>
  <si>
    <t>Anzahl/Zähler</t>
  </si>
  <si>
    <t>Daten-qualität  pro TCH</t>
  </si>
  <si>
    <t>Quote gesamt</t>
  </si>
  <si>
    <r>
      <t xml:space="preserve">Begründung / Ursache pro TCH
</t>
    </r>
    <r>
      <rPr>
        <sz val="6"/>
        <rFont val="Arial"/>
        <family val="2"/>
      </rPr>
      <t>(min. 30 Zeichen / max. 500 Zeichen)</t>
    </r>
  </si>
  <si>
    <t>4
Angabe optional</t>
  </si>
  <si>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</si>
  <si>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</si>
  <si>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</si>
  <si>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</si>
  <si>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5
Angabe optional</t>
  </si>
  <si>
    <t>Adäquate Rate an psychoonkologischem Distress-Screening</t>
  </si>
  <si>
    <t>Pat. des Nenners,  die psychoonkologisch gescreent wurden</t>
  </si>
  <si>
    <t xml:space="preserve"> ≥ 65%</t>
  </si>
  <si>
    <t xml:space="preserve">
Psychoonkologisches Distress-Screening</t>
  </si>
  <si>
    <t>Adäquate Rate an Beratung durch Sozialdienst</t>
  </si>
  <si>
    <t>Einschluss von möglichst vielen Pat. in Studien</t>
  </si>
  <si>
    <t>Pat., die in eine Studie mit Ethikvotum eingebracht wurden</t>
  </si>
  <si>
    <t>10
Angabe optional</t>
  </si>
  <si>
    <t xml:space="preserve">FDG-PET/CT zum Staging </t>
  </si>
  <si>
    <t xml:space="preserve">Möglichst häufig Ganzkörper-FDG-PET/CT zum Staging </t>
  </si>
  <si>
    <t>Patienten des Nenners mit Ganzkörper-FDG-PET/CT zum Staging</t>
  </si>
  <si>
    <t>Primärfälle mit NSCLC klinisches Stadium IB-IIIB</t>
  </si>
  <si>
    <t>Operative Primärfälle
(= Kennzahl 11a)</t>
  </si>
  <si>
    <t>Operative Primärfälle mit anatomischer Lungenresektion  im Stadium IIIA/B</t>
  </si>
  <si>
    <t>Anzahl Pat. mit Lungenkarzinom und thorakaler Bestrahlung als Primärbehandlung*  (keine Beschränkung auf Primärfälle des Zentrums)
* erstmalige thorakale Bestrahlung</t>
  </si>
  <si>
    <t>19
Angabe optional</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</si>
  <si>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</si>
  <si>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</si>
  <si>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</si>
  <si>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</si>
  <si>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23
Angabe optional</t>
  </si>
  <si>
    <t>Möglichst häufig Erhaltungstherapie mit PD-L1 Antikörper Durvalumab nach definitiver Radiochemotherapie ohne Progress und PD-L1-Expresson ≥1% auf Tumorzellen</t>
  </si>
  <si>
    <t xml:space="preserve">Primärfälle des Nenners mit begonnener Durvalumab-Therapie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</si>
  <si>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</si>
  <si>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</si>
  <si>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</si>
  <si>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</si>
  <si>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25
Angabe optional</t>
  </si>
  <si>
    <t xml:space="preserve">Molekularpathologische Untersuchung nach kurativer Tumorresektion </t>
  </si>
  <si>
    <t xml:space="preserve">Möglichst häufig molekularpathologische Untersuchung auf EGFR-Mutationen nach kurativer Tumorresektion, NSCLC Stadium IB-IIIA </t>
  </si>
  <si>
    <t>Primärfälle des Nenners mit Testung auf EGFR-Mutationen in den Exonen 19 und 21</t>
  </si>
  <si>
    <t>Primärfälle mit NSCLC Stadium IB-IIIA und kurativer Tumorresektion (anatom. Resektion, R0)</t>
  </si>
  <si>
    <t>Erstlinientherapie mit EGFR-TKI bei Pat. NSCLC Stadium IV mit typischer aktivierender EGFR-Mutation (del 19, L858R) und ECOG 0-2</t>
  </si>
  <si>
    <t>Möglichst häufig Erstlinientherapie mit EGFR-TKI bei typischer aktivierenden EGFR Mutation (del 19, L858R) im NSCLC Stadium IV mit ECOG 0-2</t>
  </si>
  <si>
    <t>Primärfälle mit NSCLC Stadium IV, typischer aktivierender EGFR-Mutation (del 19, L858R) und ECOG 0-2</t>
  </si>
  <si>
    <t>Erstlinientherapie mit ZNS-wirksamer ALK-spezifischer TKI-Therapie bei Pat. mit ALK positivem NSCLC im Stadium IV</t>
  </si>
  <si>
    <t>Möglichst häufig ZNS-wirksamer ALK- spezifische TKI-Therapie als Erstlinientherapie bei ALK-pos. NSCLC Stadium IV</t>
  </si>
  <si>
    <t>Primärfälle des Nenners mit Beginn ZNS-wirksamer ALK spezifischer TKI-Therapie</t>
  </si>
  <si>
    <t>Primärfälle mit SCLC Stadium IIB[T3] – IIIC [TNM: cT1/2 N2-3 M0, cT3/4 N0-3 M0] und ECOG 0/1</t>
  </si>
  <si>
    <t>29
Angabe optional</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</si>
  <si>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</si>
  <si>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</si>
  <si>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</si>
  <si>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</si>
  <si>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30
Angabe optional</t>
  </si>
  <si>
    <t xml:space="preserve">Chemo-Immuntherapie bei SCLC </t>
  </si>
  <si>
    <t xml:space="preserve">Möglichst häufig Chemo-Immuntherapie mit Platin/Etoposid und einem PD-L1-Antikörper (Atezolizumab o. Durvalumab) bei SCLC Stadium IV </t>
  </si>
  <si>
    <t>Primärfälle des Nenners mit Kombination mit PD-L1-Antikörper-Therapie (Atezolizumab oder Durvalumab)</t>
  </si>
  <si>
    <t>Primärfälle mit SCLC Stad. IV und Chemotherapie (Platin/Etoposid)</t>
  </si>
  <si>
    <t>Symptomerfassung mittels MIDOS/ IPOS</t>
  </si>
  <si>
    <t>Primärfälle Stadium IV und Pat. mit neuaufgetretenem Rezidiv und/oder Fernmetastasen</t>
  </si>
  <si>
    <t>Optional</t>
  </si>
  <si>
    <t>optional - Ausnahme (Plausibilität unklar)</t>
  </si>
  <si>
    <r>
      <t xml:space="preserve">Daten-qualität pro </t>
    </r>
    <r>
      <rPr>
        <b/>
        <sz val="8"/>
        <rFont val="Arial"/>
        <family val="2"/>
      </rPr>
      <t>PNEU/STR/PAT</t>
    </r>
  </si>
  <si>
    <t>Anzahl gesamt</t>
  </si>
  <si>
    <r>
      <t xml:space="preserve">Begründung / Ursache pro PNEU/STR/PAT
</t>
    </r>
    <r>
      <rPr>
        <sz val="6"/>
        <rFont val="Arial"/>
        <family val="2"/>
      </rPr>
      <t>(min. 30 Zeichen / max. 500 Zeichen)</t>
    </r>
  </si>
  <si>
    <r>
      <t xml:space="preserve">Eingeleitete / geplante Aktionen pro PNEU/STR/PAT
</t>
    </r>
    <r>
      <rPr>
        <sz val="6"/>
        <rFont val="Arial"/>
        <family val="2"/>
      </rPr>
      <t>(bei plausibler Begründung keine Aktion erforderlich)</t>
    </r>
  </si>
  <si>
    <t xml:space="preserve">Operative Expertise Anzahl anatomische Resektionen (OPS: 
5-323 bis 5-328 bei ICD-10 C34.0 -.9, C78.0) </t>
  </si>
  <si>
    <t>Die jeweilige Eingabe oder Änderung  "Anzahl / Zähler / Nenner" (gepunktete Felder) ist nur im Tabellenblatt "Basisdaten" möglich, die Übertragung erfolgt automatisch.            
Der Zähler ist immer eine Teilmenge des Nenners (Ausnahme: Kennzahl 7 - Anteil Studienpat.).</t>
  </si>
  <si>
    <t>Auditjahr 2023 / Kennzahlenjahr 2022</t>
  </si>
  <si>
    <r>
      <t xml:space="preserve">2022 </t>
    </r>
    <r>
      <rPr>
        <vertAlign val="superscript"/>
        <sz val="9"/>
        <rFont val="Arial"/>
        <family val="2"/>
      </rPr>
      <t>8) 9)</t>
    </r>
  </si>
  <si>
    <t>Ø Follow-Up Quote der Jahre 2018-2020</t>
  </si>
  <si>
    <r>
      <t xml:space="preserve">3)   </t>
    </r>
    <r>
      <rPr>
        <sz val="8"/>
        <rFont val="Arial"/>
        <family val="2"/>
      </rPr>
      <t xml:space="preserve">Die Daten müssen pat.bezogen rückverfolgbar sein. Es werden Follow-up-Daten aus dem vorletzten Kalenderjahr vor dem Audit betrachtet (Auditjahr 2023 =&gt; Follow-up-Daten aus dem Zeitraum 01.01.2021-31.12.2021).             </t>
    </r>
  </si>
  <si>
    <t>Follow-Up Quote der Jahre 2018-2020</t>
  </si>
  <si>
    <t>2018-2020</t>
  </si>
  <si>
    <t>Primärfälle mit Extrapleuraler Pleuropneumektomien (EPP) (OPS 5-328.6) oder Pleurektomien/Dekortikationen (P/D) (OPS 5-344.0 und 5-344.2)</t>
  </si>
  <si>
    <t>Psychoonkologisches Distress-Screening</t>
  </si>
  <si>
    <t>Pat. des Nenners, die psychoonkologisch gescreent wurden</t>
  </si>
  <si>
    <t>Pat. mit Mesotheliom, die in eine Studie mit Ethikvotum eingebracht  wurden</t>
  </si>
  <si>
    <t>Stand: 12.10.2022</t>
  </si>
  <si>
    <t>Follow-Up Quote der Jahre 2018-2020 (positive Unplausibilität)</t>
  </si>
  <si>
    <t>geringe Follow-Up Quote 2018-2020</t>
  </si>
  <si>
    <t>zu hohe Follow-Up Quote 2018-2020</t>
  </si>
  <si>
    <t>AB25-AB26</t>
  </si>
  <si>
    <t>AB24</t>
  </si>
  <si>
    <t>AB23</t>
  </si>
  <si>
    <t>AC23</t>
  </si>
  <si>
    <t>AC24</t>
  </si>
  <si>
    <r>
      <rPr>
        <b/>
        <sz val="8"/>
        <color indexed="8"/>
        <rFont val="Arial"/>
        <family val="2"/>
      </rPr>
      <t>Aktualisierung</t>
    </r>
    <r>
      <rPr>
        <sz val="8"/>
        <color indexed="8"/>
        <rFont val="Arial"/>
        <family val="2"/>
      </rPr>
      <t>: 03.11.2022</t>
    </r>
  </si>
  <si>
    <t>Mesotheliomeinheit der Lungenklinik Heckeshorn</t>
  </si>
  <si>
    <t>FAL-Z002</t>
  </si>
  <si>
    <t>Lungenkrebszentrum Bremen</t>
  </si>
  <si>
    <t>Gesundheit Nord, Klinikum Bremen-Ost</t>
  </si>
  <si>
    <t>Mesotheliomeinheit Bremen - Ost</t>
  </si>
  <si>
    <t xml:space="preserve">Klinikum Bremen - Ost </t>
  </si>
  <si>
    <t>Mesotheliomeinheit am Westdeutschen Tumorzentrum - Universitätsmedizin Essen</t>
  </si>
  <si>
    <t>Mesotheliomeinheit des NCT Heidelberg; Thoraxklinik Heidelberg</t>
  </si>
  <si>
    <t>Mesotheliomeinheit Hemer</t>
  </si>
  <si>
    <t>Mesotheliomeinheit Clemenshospital Münster</t>
  </si>
  <si>
    <t>Lungenkrebszentrum Fachklinik Löwenstein</t>
  </si>
  <si>
    <t>Fachklinik Löwenstein / SLK-Kliniken Heilbronn</t>
  </si>
  <si>
    <t>RBK Lungenkrebszentrum Stuttgart</t>
  </si>
  <si>
    <t>Robert-Bosch-Krankenhaus</t>
  </si>
  <si>
    <t>FAL-Z019-1/-2/-3</t>
  </si>
  <si>
    <t>Lungenkrebszentrum Helios/Johanniter/Universitätsklinikum Bonn</t>
  </si>
  <si>
    <t>Helios Klinikum Bonn/Rhein-Sieg / Johanniter Krankenhaus Bonn / Universitätsklinikum Bonn</t>
  </si>
  <si>
    <t>Mesotheliomeinheit Grosshansdorf</t>
  </si>
  <si>
    <t>FAL-Z038-1/-2/-3</t>
  </si>
  <si>
    <t>Vivantes Klinikum Neukölln / Vivantes Klinikum im Friedrichshain / Vivantes Klinikum Spandau</t>
  </si>
  <si>
    <t>Lungentumorzentrum München am LMU Klinikum und an der Asklepios Lungenklinik Gauting</t>
  </si>
  <si>
    <t>LMU Klinikum / Asklepios Lungenklinik Gauting</t>
  </si>
  <si>
    <t>FAL-Z059</t>
  </si>
  <si>
    <t>Lungenkrebszentrum Kepler Universitätsklinikum Linz</t>
  </si>
  <si>
    <t>Kepler Universitätsklinikum Linz</t>
  </si>
  <si>
    <t>Mesotheliomeinheit Augsburg – Schwaben</t>
  </si>
  <si>
    <t>Lungenkrebszentrum der GFO Kliniken Bonn St. Marien Hospital</t>
  </si>
  <si>
    <t>GFO Kliniken Bonn St. Marien Hospital</t>
  </si>
  <si>
    <t>FAL-Z075</t>
  </si>
  <si>
    <t>Lung Cancer Centre Bydgoszcz</t>
  </si>
  <si>
    <t>Oncology Centre Bydgoszcz</t>
  </si>
  <si>
    <t>Polen</t>
  </si>
  <si>
    <t>FAL-Z080</t>
  </si>
  <si>
    <t>Lungenkrebszentrum Ordensklinikum Linz</t>
  </si>
  <si>
    <t>Ordensklinikum Linz Elisabethinen</t>
  </si>
  <si>
    <t>FAL-Z081-1/-2</t>
  </si>
  <si>
    <t>Lungenkrebszentrum der Stiftung Mathias Spital - Rheine/Ibbenbüren</t>
  </si>
  <si>
    <t>Klinikum Ibbenbüren / Klinikum Rheine</t>
  </si>
  <si>
    <t>FAL-Z082</t>
  </si>
  <si>
    <t>Lungenkrebszentrum Universitätsklinikum Krems</t>
  </si>
  <si>
    <t>Universitätsklinikum Krems, NÖ Landesgesundheitsagentur</t>
  </si>
  <si>
    <t>Adäquate Rate an Beratung durch den Sozialdienst</t>
  </si>
  <si>
    <r>
      <t xml:space="preserve">Pat. tumorfrei  </t>
    </r>
    <r>
      <rPr>
        <vertAlign val="superscript"/>
        <sz val="8"/>
        <rFont val="Arial"/>
        <family val="2"/>
      </rPr>
      <t xml:space="preserve">6) 10)
</t>
    </r>
    <r>
      <rPr>
        <sz val="8"/>
        <rFont val="Arial"/>
        <family val="2"/>
      </rPr>
      <t>- ohne Ereignis -</t>
    </r>
  </si>
  <si>
    <r>
      <rPr>
        <vertAlign val="superscript"/>
        <sz val="8"/>
        <rFont val="Arial"/>
        <family val="2"/>
      </rPr>
      <t>10)</t>
    </r>
    <r>
      <rPr>
        <sz val="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t>
    </r>
  </si>
  <si>
    <t>Anlage EB Version I1.3 (Auditjahr 2023 / Kennzahlenjahr 2022)</t>
  </si>
  <si>
    <t>Pat. des Nenners mit Symptomerfassung mittels MIDOS oder IPOS</t>
  </si>
  <si>
    <t>Erhaltungstherapie nach definitiver Radiochemotherapie bei NSCLC im Stadium III</t>
  </si>
  <si>
    <t xml:space="preserve">Primärfälle mit NSCLC Stadium III nach definitiver Radiochemotherapie ohne Progress und mit PD-L1-Expression von ≥ 1% auf Tumorzellen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</si>
</sst>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5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sz val="8"/>
      <color indexed="81"/>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8"/>
      <name val="Calibri"/>
      <family val="2"/>
    </font>
    <font>
      <sz val="6"/>
      <name val="Calibri"/>
      <family val="2"/>
    </font>
    <font>
      <sz val="6"/>
      <color indexed="8"/>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b/>
      <sz val="8"/>
      <color indexed="8"/>
      <name val="Arial Narrow"/>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z val="11"/>
      <color theme="1"/>
      <name val="Calibri"/>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vertAlign val="superscript"/>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sz val="8"/>
      <color rgb="FFFF0000"/>
      <name val="Arial Narrow"/>
      <family val="2"/>
    </font>
    <font>
      <sz val="10"/>
      <color theme="1" tint="0.34998626667073579"/>
      <name val="Arial"/>
      <family val="2"/>
    </font>
    <font>
      <b/>
      <sz val="10"/>
      <color theme="1" tint="0.34998626667073579"/>
      <name val="Arial"/>
      <family val="2"/>
    </font>
    <font>
      <vertAlign val="superscript"/>
      <sz val="10"/>
      <color theme="1" tint="0.34998626667073579"/>
      <name val="Arial"/>
      <family val="2"/>
    </font>
    <font>
      <sz val="6"/>
      <color theme="1"/>
      <name val="Arial"/>
      <family val="2"/>
    </font>
    <font>
      <sz val="6"/>
      <color theme="1"/>
      <name val="Calibri"/>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
      <sz val="9"/>
      <name val="Calibri"/>
      <family val="2"/>
    </font>
    <font>
      <b/>
      <sz val="9"/>
      <color indexed="81"/>
      <name val="Arial"/>
      <family val="2"/>
    </font>
    <font>
      <sz val="9"/>
      <color indexed="81"/>
      <name val="Tahoma"/>
      <family val="2"/>
    </font>
  </fonts>
  <fills count="98">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7" tint="0.39997558519241921"/>
        <bgColor indexed="64"/>
      </patternFill>
    </fill>
    <fill>
      <patternFill patternType="solid">
        <fgColor theme="0" tint="-0.14999847407452621"/>
        <bgColor indexed="64"/>
      </patternFill>
    </fill>
    <fill>
      <patternFill patternType="lightUp"/>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lightDown"/>
    </fill>
    <fill>
      <patternFill patternType="lightDown">
        <bgColor indexed="42"/>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lightUp">
        <fgColor theme="1"/>
      </patternFill>
    </fill>
    <fill>
      <patternFill patternType="solid">
        <fgColor rgb="FFDCE6F1"/>
        <bgColor indexed="64"/>
      </patternFill>
    </fill>
    <fill>
      <patternFill patternType="solid">
        <fgColor rgb="FFDCE6F1"/>
        <bgColor indexed="9"/>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ck">
        <color indexed="64"/>
      </left>
      <right/>
      <top style="medium">
        <color indexed="64"/>
      </top>
      <bottom style="medium">
        <color indexed="64"/>
      </bottom>
      <diagonal/>
    </border>
  </borders>
  <cellStyleXfs count="613">
    <xf numFmtId="0" fontId="0" fillId="0" borderId="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44"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4" borderId="0" applyNumberFormat="0" applyBorder="0" applyAlignment="0" applyProtection="0"/>
    <xf numFmtId="0" fontId="98"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4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45" borderId="0" applyNumberFormat="0" applyBorder="0" applyAlignment="0" applyProtection="0"/>
    <xf numFmtId="0" fontId="98"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4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46" borderId="0" applyNumberFormat="0" applyBorder="0" applyAlignment="0" applyProtection="0"/>
    <xf numFmtId="0" fontId="98"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47"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47" borderId="0" applyNumberFormat="0" applyBorder="0" applyAlignment="0" applyProtection="0"/>
    <xf numFmtId="0" fontId="98"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8" fillId="3" borderId="0" applyNumberFormat="0" applyBorder="0" applyAlignment="0" applyProtection="0"/>
    <xf numFmtId="0" fontId="98" fillId="48"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8" fillId="4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8" fillId="5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4" borderId="0" applyNumberFormat="0" applyBorder="0" applyAlignment="0" applyProtection="0"/>
    <xf numFmtId="0" fontId="98" fillId="52"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52" borderId="0" applyNumberFormat="0" applyBorder="0" applyAlignment="0" applyProtection="0"/>
    <xf numFmtId="0" fontId="98"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8" fillId="15" borderId="0" applyNumberFormat="0" applyBorder="0" applyAlignment="0" applyProtection="0"/>
    <xf numFmtId="0" fontId="98" fillId="53"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5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8" fillId="6" borderId="0" applyNumberFormat="0" applyBorder="0" applyAlignment="0" applyProtection="0"/>
    <xf numFmtId="0" fontId="98" fillId="5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99" fillId="3" borderId="0" applyNumberFormat="0" applyBorder="0" applyAlignment="0" applyProtection="0"/>
    <xf numFmtId="0" fontId="99" fillId="56" borderId="0" applyNumberFormat="0" applyBorder="0" applyAlignment="0" applyProtection="0"/>
    <xf numFmtId="0" fontId="99" fillId="3" borderId="0" applyNumberFormat="0" applyBorder="0" applyAlignment="0" applyProtection="0"/>
    <xf numFmtId="0" fontId="99" fillId="4" borderId="0" applyNumberFormat="0" applyBorder="0" applyAlignment="0" applyProtection="0"/>
    <xf numFmtId="0" fontId="99" fillId="5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99" fillId="57"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99" fillId="58"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5" borderId="0" applyNumberFormat="0" applyBorder="0" applyAlignment="0" applyProtection="0"/>
    <xf numFmtId="0" fontId="99" fillId="59"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59" borderId="0" applyNumberFormat="0" applyBorder="0" applyAlignment="0" applyProtection="0"/>
    <xf numFmtId="0" fontId="99" fillId="1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99" fillId="3" borderId="0" applyNumberFormat="0" applyBorder="0" applyAlignment="0" applyProtection="0"/>
    <xf numFmtId="0" fontId="99" fillId="60" borderId="0" applyNumberFormat="0" applyBorder="0" applyAlignment="0" applyProtection="0"/>
    <xf numFmtId="0" fontId="99" fillId="3" borderId="0" applyNumberFormat="0" applyBorder="0" applyAlignment="0" applyProtection="0"/>
    <xf numFmtId="0" fontId="99" fillId="4" borderId="0" applyNumberFormat="0" applyBorder="0" applyAlignment="0" applyProtection="0"/>
    <xf numFmtId="0" fontId="99" fillId="6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9" fillId="6" borderId="0" applyNumberFormat="0" applyBorder="0" applyAlignment="0" applyProtection="0"/>
    <xf numFmtId="0" fontId="99" fillId="61"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1" borderId="0" applyNumberFormat="0" applyBorder="0" applyAlignment="0" applyProtection="0"/>
    <xf numFmtId="0" fontId="99" fillId="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99" fillId="62"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62" borderId="0" applyNumberFormat="0" applyBorder="0" applyAlignment="0" applyProtection="0"/>
    <xf numFmtId="0" fontId="99" fillId="21" borderId="0" applyNumberFormat="0" applyBorder="0" applyAlignment="0" applyProtection="0"/>
    <xf numFmtId="0" fontId="51" fillId="23" borderId="0" applyNumberFormat="0" applyBorder="0" applyAlignment="0" applyProtection="0"/>
    <xf numFmtId="0" fontId="99" fillId="22" borderId="0" applyNumberFormat="0" applyBorder="0" applyAlignment="0" applyProtection="0"/>
    <xf numFmtId="0" fontId="99" fillId="63" borderId="0" applyNumberFormat="0" applyBorder="0" applyAlignment="0" applyProtection="0"/>
    <xf numFmtId="0" fontId="99" fillId="23" borderId="0" applyNumberFormat="0" applyBorder="0" applyAlignment="0" applyProtection="0"/>
    <xf numFmtId="0" fontId="51" fillId="24" borderId="0" applyNumberFormat="0" applyBorder="0" applyAlignment="0" applyProtection="0"/>
    <xf numFmtId="0" fontId="99" fillId="64" borderId="0" applyNumberFormat="0" applyBorder="0" applyAlignment="0" applyProtection="0"/>
    <xf numFmtId="0" fontId="51" fillId="18" borderId="0" applyNumberFormat="0" applyBorder="0" applyAlignment="0" applyProtection="0"/>
    <xf numFmtId="0" fontId="99" fillId="6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65" borderId="0" applyNumberFormat="0" applyBorder="0" applyAlignment="0" applyProtection="0"/>
    <xf numFmtId="0" fontId="99" fillId="18" borderId="0" applyNumberFormat="0" applyBorder="0" applyAlignment="0" applyProtection="0"/>
    <xf numFmtId="0" fontId="51" fillId="19" borderId="0" applyNumberFormat="0" applyBorder="0" applyAlignment="0" applyProtection="0"/>
    <xf numFmtId="0" fontId="99" fillId="66" borderId="0" applyNumberFormat="0" applyBorder="0" applyAlignment="0" applyProtection="0"/>
    <xf numFmtId="0" fontId="51" fillId="22" borderId="0" applyNumberFormat="0" applyBorder="0" applyAlignment="0" applyProtection="0"/>
    <xf numFmtId="0" fontId="99" fillId="67"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100" fillId="15" borderId="70" applyNumberFormat="0" applyAlignment="0" applyProtection="0"/>
    <xf numFmtId="0" fontId="100" fillId="15" borderId="70" applyNumberFormat="0" applyAlignment="0" applyProtection="0"/>
    <xf numFmtId="0" fontId="100" fillId="15" borderId="70" applyNumberFormat="0" applyAlignment="0" applyProtection="0"/>
    <xf numFmtId="0" fontId="17" fillId="15" borderId="2" applyNumberFormat="0" applyAlignment="0" applyProtection="0"/>
    <xf numFmtId="0" fontId="100" fillId="10" borderId="70" applyNumberFormat="0" applyAlignment="0" applyProtection="0"/>
    <xf numFmtId="0" fontId="100" fillId="68" borderId="70" applyNumberFormat="0" applyAlignment="0" applyProtection="0"/>
    <xf numFmtId="0" fontId="100" fillId="10" borderId="70" applyNumberFormat="0" applyAlignment="0" applyProtection="0"/>
    <xf numFmtId="0" fontId="17" fillId="10" borderId="2" applyNumberFormat="0" applyAlignment="0" applyProtection="0"/>
    <xf numFmtId="0" fontId="100" fillId="68" borderId="70" applyNumberFormat="0" applyAlignment="0" applyProtection="0"/>
    <xf numFmtId="0" fontId="100" fillId="15" borderId="70" applyNumberFormat="0" applyAlignment="0" applyProtection="0"/>
    <xf numFmtId="0" fontId="17" fillId="10" borderId="2" applyNumberFormat="0" applyAlignment="0" applyProtection="0"/>
    <xf numFmtId="0" fontId="100" fillId="15" borderId="70" applyNumberFormat="0" applyAlignment="0" applyProtection="0"/>
    <xf numFmtId="0" fontId="100" fillId="15" borderId="70" applyNumberFormat="0" applyAlignment="0" applyProtection="0"/>
    <xf numFmtId="0" fontId="17" fillId="15" borderId="2"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100" fillId="15" borderId="70" applyNumberFormat="0" applyAlignment="0" applyProtection="0"/>
    <xf numFmtId="0" fontId="52" fillId="15" borderId="1" applyNumberFormat="0" applyAlignment="0" applyProtection="0"/>
    <xf numFmtId="0" fontId="17" fillId="15" borderId="2" applyNumberFormat="0" applyAlignment="0" applyProtection="0"/>
    <xf numFmtId="0" fontId="100" fillId="15" borderId="70" applyNumberFormat="0" applyAlignment="0" applyProtection="0"/>
    <xf numFmtId="0" fontId="100" fillId="15" borderId="70" applyNumberFormat="0" applyAlignment="0" applyProtection="0"/>
    <xf numFmtId="0" fontId="100" fillId="15" borderId="70" applyNumberFormat="0" applyAlignment="0" applyProtection="0"/>
    <xf numFmtId="0" fontId="52" fillId="15" borderId="1" applyNumberFormat="0" applyAlignment="0" applyProtection="0"/>
    <xf numFmtId="0" fontId="57" fillId="5" borderId="0" applyNumberFormat="0" applyBorder="0" applyAlignment="0" applyProtection="0"/>
    <xf numFmtId="0" fontId="101" fillId="69" borderId="0" applyNumberFormat="0" applyBorder="0" applyAlignment="0" applyProtection="0"/>
    <xf numFmtId="0" fontId="102" fillId="15" borderId="71" applyNumberFormat="0" applyAlignment="0" applyProtection="0"/>
    <xf numFmtId="0" fontId="102" fillId="15" borderId="71" applyNumberFormat="0" applyAlignment="0" applyProtection="0"/>
    <xf numFmtId="0" fontId="102" fillId="10" borderId="71" applyNumberFormat="0" applyAlignment="0" applyProtection="0"/>
    <xf numFmtId="0" fontId="102" fillId="68" borderId="71" applyNumberFormat="0" applyAlignment="0" applyProtection="0"/>
    <xf numFmtId="0" fontId="102" fillId="10" borderId="71" applyNumberFormat="0" applyAlignment="0" applyProtection="0"/>
    <xf numFmtId="0" fontId="102" fillId="10" borderId="71" applyNumberFormat="0" applyAlignment="0" applyProtection="0"/>
    <xf numFmtId="0" fontId="102" fillId="68" borderId="71" applyNumberFormat="0" applyAlignment="0" applyProtection="0"/>
    <xf numFmtId="0" fontId="102" fillId="10" borderId="71" applyNumberFormat="0" applyAlignment="0" applyProtection="0"/>
    <xf numFmtId="0" fontId="102" fillId="15" borderId="71" applyNumberFormat="0" applyAlignment="0" applyProtection="0"/>
    <xf numFmtId="0" fontId="53" fillId="15" borderId="3" applyNumberFormat="0" applyAlignment="0" applyProtection="0"/>
    <xf numFmtId="0" fontId="53" fillId="15" borderId="3" applyNumberFormat="0" applyAlignment="0" applyProtection="0"/>
    <xf numFmtId="0" fontId="53" fillId="15" borderId="3" applyNumberFormat="0" applyAlignment="0" applyProtection="0"/>
    <xf numFmtId="0" fontId="102" fillId="15" borderId="71" applyNumberFormat="0" applyAlignment="0" applyProtection="0"/>
    <xf numFmtId="0" fontId="53" fillId="15" borderId="3" applyNumberFormat="0" applyAlignment="0" applyProtection="0"/>
    <xf numFmtId="0" fontId="102" fillId="15" borderId="71" applyNumberFormat="0" applyAlignment="0" applyProtection="0"/>
    <xf numFmtId="0" fontId="53" fillId="15" borderId="3" applyNumberFormat="0" applyAlignment="0" applyProtection="0"/>
    <xf numFmtId="0" fontId="53" fillId="15" borderId="3" applyNumberFormat="0" applyAlignment="0" applyProtection="0"/>
    <xf numFmtId="0" fontId="59" fillId="26" borderId="4" applyNumberFormat="0" applyAlignment="0" applyProtection="0"/>
    <xf numFmtId="0" fontId="103" fillId="70" borderId="72" applyNumberFormat="0" applyAlignment="0" applyProtection="0"/>
    <xf numFmtId="0" fontId="103" fillId="70" borderId="5" applyNumberFormat="0" applyAlignment="0" applyProtection="0"/>
    <xf numFmtId="0" fontId="104" fillId="71" borderId="71"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105" fillId="0" borderId="6" applyNumberFormat="0" applyFill="0" applyAlignment="0" applyProtection="0"/>
    <xf numFmtId="0" fontId="105" fillId="0" borderId="6" applyNumberFormat="0" applyFill="0" applyAlignment="0" applyProtection="0"/>
    <xf numFmtId="0" fontId="105" fillId="0" borderId="6" applyNumberFormat="0" applyFill="0" applyAlignment="0" applyProtection="0"/>
    <xf numFmtId="0" fontId="105" fillId="0" borderId="6" applyNumberFormat="0" applyFill="0" applyAlignment="0" applyProtection="0"/>
    <xf numFmtId="0" fontId="105" fillId="0" borderId="7" applyNumberFormat="0" applyFill="0" applyAlignment="0" applyProtection="0"/>
    <xf numFmtId="0" fontId="105" fillId="0" borderId="73" applyNumberFormat="0" applyFill="0" applyAlignment="0" applyProtection="0"/>
    <xf numFmtId="0" fontId="105" fillId="0" borderId="7" applyNumberFormat="0" applyFill="0" applyAlignment="0" applyProtection="0"/>
    <xf numFmtId="0" fontId="105" fillId="0" borderId="7" applyNumberFormat="0" applyFill="0" applyAlignment="0" applyProtection="0"/>
    <xf numFmtId="0" fontId="105" fillId="0" borderId="73" applyNumberFormat="0" applyFill="0" applyAlignment="0" applyProtection="0"/>
    <xf numFmtId="0" fontId="105" fillId="0" borderId="7" applyNumberFormat="0" applyFill="0" applyAlignment="0" applyProtection="0"/>
    <xf numFmtId="0" fontId="105" fillId="0" borderId="6" applyNumberFormat="0" applyFill="0" applyAlignment="0" applyProtection="0"/>
    <xf numFmtId="0" fontId="105"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5"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5" fillId="0" borderId="6" applyNumberFormat="0" applyFill="0" applyAlignment="0" applyProtection="0"/>
    <xf numFmtId="0" fontId="17" fillId="0" borderId="6" applyNumberFormat="0" applyFill="0" applyAlignment="0" applyProtection="0"/>
    <xf numFmtId="0" fontId="105" fillId="0" borderId="6" applyNumberFormat="0" applyFill="0" applyAlignment="0" applyProtection="0"/>
    <xf numFmtId="0" fontId="17" fillId="0" borderId="6" applyNumberFormat="0" applyFill="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7"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8" fillId="0" borderId="74" applyNumberFormat="0" applyFill="0" applyAlignment="0" applyProtection="0"/>
    <xf numFmtId="0" fontId="91" fillId="0" borderId="8" applyNumberFormat="0" applyFill="0" applyAlignment="0" applyProtection="0"/>
    <xf numFmtId="0" fontId="91" fillId="0" borderId="8" applyNumberFormat="0" applyFill="0" applyAlignment="0" applyProtection="0"/>
    <xf numFmtId="0" fontId="108" fillId="0" borderId="74" applyNumberFormat="0" applyFill="0" applyAlignment="0" applyProtection="0"/>
    <xf numFmtId="0" fontId="42" fillId="0" borderId="9" applyNumberFormat="0" applyFill="0" applyAlignment="0" applyProtection="0"/>
    <xf numFmtId="0" fontId="109" fillId="0" borderId="75" applyNumberFormat="0" applyFill="0" applyAlignment="0" applyProtection="0"/>
    <xf numFmtId="0" fontId="92" fillId="0" borderId="10" applyNumberFormat="0" applyFill="0" applyAlignment="0" applyProtection="0"/>
    <xf numFmtId="0" fontId="92" fillId="0" borderId="11" applyNumberFormat="0" applyFill="0" applyAlignment="0" applyProtection="0"/>
    <xf numFmtId="0" fontId="109" fillId="0" borderId="75" applyNumberFormat="0" applyFill="0" applyAlignment="0" applyProtection="0"/>
    <xf numFmtId="0" fontId="45" fillId="0" borderId="12" applyNumberFormat="0" applyFill="0" applyAlignment="0" applyProtection="0"/>
    <xf numFmtId="0" fontId="110" fillId="0" borderId="76" applyNumberFormat="0" applyFill="0" applyAlignment="0" applyProtection="0"/>
    <xf numFmtId="0" fontId="93" fillId="0" borderId="13" applyNumberFormat="0" applyFill="0" applyAlignment="0" applyProtection="0"/>
    <xf numFmtId="0" fontId="93" fillId="0" borderId="14" applyNumberFormat="0" applyFill="0" applyAlignment="0" applyProtection="0"/>
    <xf numFmtId="0" fontId="110" fillId="0" borderId="76" applyNumberFormat="0" applyFill="0" applyAlignment="0" applyProtection="0"/>
    <xf numFmtId="0" fontId="43" fillId="0" borderId="15" applyNumberFormat="0" applyFill="0" applyAlignment="0" applyProtection="0"/>
    <xf numFmtId="0" fontId="110"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0" fillId="0" borderId="0" applyNumberFormat="0" applyFill="0" applyBorder="0" applyAlignment="0" applyProtection="0"/>
    <xf numFmtId="0" fontId="43" fillId="0" borderId="0" applyNumberFormat="0" applyFill="0" applyBorder="0" applyAlignment="0" applyProtection="0"/>
    <xf numFmtId="0" fontId="54" fillId="6" borderId="3" applyNumberFormat="0" applyAlignment="0" applyProtection="0"/>
    <xf numFmtId="0" fontId="58" fillId="0" borderId="16" applyNumberFormat="0" applyFill="0" applyAlignment="0" applyProtection="0"/>
    <xf numFmtId="0" fontId="111" fillId="0" borderId="77" applyNumberFormat="0" applyFill="0" applyAlignment="0" applyProtection="0"/>
    <xf numFmtId="0" fontId="112" fillId="73" borderId="0" applyNumberFormat="0" applyBorder="0" applyAlignment="0" applyProtection="0"/>
    <xf numFmtId="0" fontId="98" fillId="0" borderId="0"/>
    <xf numFmtId="0" fontId="7" fillId="8" borderId="17" applyNumberFormat="0" applyFont="0" applyAlignment="0" applyProtection="0"/>
    <xf numFmtId="0" fontId="7" fillId="8" borderId="17"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16" fillId="74" borderId="78" applyNumberFormat="0" applyFont="0" applyAlignment="0" applyProtection="0"/>
    <xf numFmtId="0" fontId="16" fillId="74" borderId="78" applyNumberFormat="0" applyFont="0" applyAlignment="0" applyProtection="0"/>
    <xf numFmtId="0" fontId="39"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67" fillId="74" borderId="78" applyNumberFormat="0" applyFont="0" applyAlignment="0" applyProtection="0"/>
    <xf numFmtId="0" fontId="5" fillId="74" borderId="78" applyNumberFormat="0" applyFont="0" applyAlignment="0" applyProtection="0"/>
    <xf numFmtId="0" fontId="67"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67"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39"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0" fontId="52" fillId="15" borderId="1" applyNumberFormat="0" applyAlignment="0" applyProtection="0"/>
    <xf numFmtId="9" fontId="16"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7" fillId="0" borderId="0"/>
    <xf numFmtId="0" fontId="98" fillId="0" borderId="0"/>
    <xf numFmtId="0" fontId="98" fillId="0" borderId="0"/>
    <xf numFmtId="0" fontId="113" fillId="0" borderId="0"/>
    <xf numFmtId="0" fontId="7" fillId="0" borderId="0"/>
    <xf numFmtId="0" fontId="98" fillId="0" borderId="0"/>
    <xf numFmtId="0" fontId="98" fillId="0" borderId="0"/>
    <xf numFmtId="0" fontId="113" fillId="0" borderId="0"/>
    <xf numFmtId="0" fontId="3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1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xf numFmtId="0" fontId="98" fillId="0" borderId="0"/>
    <xf numFmtId="0" fontId="7" fillId="0" borderId="0"/>
    <xf numFmtId="0" fontId="7" fillId="0" borderId="0"/>
    <xf numFmtId="0" fontId="7" fillId="0" borderId="0"/>
    <xf numFmtId="0" fontId="7" fillId="0" borderId="0"/>
    <xf numFmtId="0" fontId="1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14" fillId="0" borderId="0" applyNumberFormat="0" applyFill="0" applyBorder="0" applyAlignment="0" applyProtection="0"/>
    <xf numFmtId="0" fontId="41" fillId="0" borderId="0" applyNumberFormat="0" applyFill="0" applyBorder="0" applyAlignment="0" applyProtection="0"/>
    <xf numFmtId="0" fontId="17" fillId="0" borderId="6"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1" fillId="0" borderId="77" applyNumberFormat="0" applyFill="0" applyAlignment="0" applyProtection="0"/>
    <xf numFmtId="0" fontId="111" fillId="0" borderId="77" applyNumberFormat="0" applyFill="0" applyAlignment="0" applyProtection="0"/>
    <xf numFmtId="0" fontId="111" fillId="0" borderId="7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3" fillId="70" borderId="72" applyNumberFormat="0" applyAlignment="0" applyProtection="0"/>
    <xf numFmtId="0" fontId="103" fillId="70" borderId="72" applyNumberFormat="0" applyAlignment="0" applyProtection="0"/>
    <xf numFmtId="0" fontId="103" fillId="70" borderId="72" applyNumberFormat="0" applyAlignment="0" applyProtection="0"/>
    <xf numFmtId="0" fontId="103" fillId="70" borderId="5" applyNumberFormat="0" applyAlignment="0" applyProtection="0"/>
    <xf numFmtId="0" fontId="103" fillId="70" borderId="72" applyNumberFormat="0" applyAlignment="0" applyProtection="0"/>
    <xf numFmtId="0" fontId="103" fillId="70" borderId="5" applyNumberFormat="0" applyAlignment="0" applyProtection="0"/>
    <xf numFmtId="0" fontId="99" fillId="21" borderId="0" applyNumberFormat="0" applyBorder="0" applyAlignment="0" applyProtection="0"/>
    <xf numFmtId="0" fontId="99" fillId="23" borderId="0" applyNumberFormat="0" applyBorder="0" applyAlignment="0" applyProtection="0"/>
    <xf numFmtId="0" fontId="99" fillId="18" borderId="0" applyNumberFormat="0" applyBorder="0" applyAlignment="0" applyProtection="0"/>
    <xf numFmtId="164" fontId="5" fillId="0" borderId="0" applyFont="0" applyFill="0" applyBorder="0" applyAlignment="0" applyProtection="0"/>
    <xf numFmtId="0" fontId="42" fillId="0" borderId="9"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71" fillId="0" borderId="0"/>
    <xf numFmtId="0" fontId="71" fillId="0" borderId="0"/>
    <xf numFmtId="0" fontId="41" fillId="0" borderId="0" applyNumberFormat="0" applyFill="0" applyBorder="0" applyAlignment="0" applyProtection="0"/>
    <xf numFmtId="0" fontId="17" fillId="15" borderId="2" applyNumberFormat="0" applyAlignment="0" applyProtection="0"/>
    <xf numFmtId="0" fontId="17" fillId="10" borderId="2" applyNumberFormat="0" applyAlignment="0" applyProtection="0"/>
    <xf numFmtId="0" fontId="17" fillId="10" borderId="2" applyNumberFormat="0" applyAlignment="0" applyProtection="0"/>
    <xf numFmtId="0" fontId="17" fillId="15" borderId="2" applyNumberFormat="0" applyAlignment="0" applyProtection="0"/>
    <xf numFmtId="0" fontId="17" fillId="15" borderId="2" applyNumberFormat="0" applyAlignment="0" applyProtection="0"/>
    <xf numFmtId="164" fontId="5" fillId="0" borderId="0" applyFont="0" applyFill="0" applyBorder="0" applyAlignment="0" applyProtection="0"/>
    <xf numFmtId="0" fontId="5" fillId="74" borderId="78" applyNumberFormat="0" applyFont="0" applyAlignment="0" applyProtection="0"/>
    <xf numFmtId="0" fontId="5" fillId="74" borderId="78" applyNumberFormat="0" applyFont="0" applyAlignment="0" applyProtection="0"/>
    <xf numFmtId="0" fontId="5" fillId="74" borderId="7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1" fillId="0" borderId="0"/>
  </cellStyleXfs>
  <cellXfs count="940">
    <xf numFmtId="0" fontId="0" fillId="0" borderId="0" xfId="0"/>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3" fillId="0" borderId="0" xfId="0" applyFont="1"/>
    <xf numFmtId="0" fontId="27" fillId="0" borderId="0" xfId="0" applyFont="1"/>
    <xf numFmtId="0" fontId="23" fillId="27" borderId="0" xfId="0" applyFont="1" applyFill="1"/>
    <xf numFmtId="0" fontId="8" fillId="0" borderId="0" xfId="515" applyFont="1"/>
    <xf numFmtId="0" fontId="18" fillId="0" borderId="0" xfId="0" applyFont="1"/>
    <xf numFmtId="0" fontId="27" fillId="0" borderId="0" xfId="0" applyFont="1" applyAlignment="1">
      <alignment vertical="center"/>
    </xf>
    <xf numFmtId="0" fontId="26" fillId="0" borderId="0" xfId="0" applyFont="1"/>
    <xf numFmtId="0" fontId="23" fillId="0" borderId="0" xfId="0" applyFont="1" applyAlignment="1">
      <alignment horizontal="center"/>
    </xf>
    <xf numFmtId="0" fontId="23" fillId="0" borderId="0" xfId="0" applyFont="1" applyAlignment="1">
      <alignment horizontal="center" vertical="center"/>
    </xf>
    <xf numFmtId="0" fontId="11" fillId="0" borderId="20" xfId="0" applyFont="1" applyBorder="1" applyAlignment="1">
      <alignment horizontal="center" vertical="center" wrapText="1"/>
    </xf>
    <xf numFmtId="0" fontId="7" fillId="0" borderId="0" xfId="0" applyFont="1"/>
    <xf numFmtId="0" fontId="25" fillId="0" borderId="0" xfId="0" applyFont="1"/>
    <xf numFmtId="0" fontId="18" fillId="0" borderId="21" xfId="0" applyFont="1" applyBorder="1" applyAlignment="1">
      <alignment vertical="center" wrapText="1"/>
    </xf>
    <xf numFmtId="0" fontId="9" fillId="0" borderId="0" xfId="0" applyFont="1"/>
    <xf numFmtId="0" fontId="10" fillId="0" borderId="0" xfId="0" applyFont="1"/>
    <xf numFmtId="0" fontId="7" fillId="0" borderId="0" xfId="515"/>
    <xf numFmtId="0" fontId="29" fillId="0" borderId="0" xfId="0" applyFont="1"/>
    <xf numFmtId="0" fontId="19" fillId="0" borderId="0" xfId="0" applyFont="1"/>
    <xf numFmtId="0" fontId="32" fillId="0" borderId="0" xfId="0" applyFont="1"/>
    <xf numFmtId="0" fontId="7" fillId="0" borderId="0" xfId="515" applyAlignment="1">
      <alignment horizontal="left"/>
    </xf>
    <xf numFmtId="0" fontId="20" fillId="0" borderId="0" xfId="0" applyFont="1"/>
    <xf numFmtId="0" fontId="22" fillId="0" borderId="0" xfId="515" applyFont="1"/>
    <xf numFmtId="0" fontId="8" fillId="0" borderId="0" xfId="515" applyFont="1" applyAlignment="1">
      <alignment horizontal="left"/>
    </xf>
    <xf numFmtId="0" fontId="22" fillId="0" borderId="0" xfId="515" applyFont="1" applyAlignment="1">
      <alignment vertical="center"/>
    </xf>
    <xf numFmtId="0" fontId="27" fillId="27" borderId="0" xfId="0" applyFont="1" applyFill="1"/>
    <xf numFmtId="0" fontId="7" fillId="0" borderId="0" xfId="0" applyFont="1" applyAlignment="1">
      <alignment wrapText="1"/>
    </xf>
    <xf numFmtId="0" fontId="24" fillId="0" borderId="0" xfId="0" applyFont="1"/>
    <xf numFmtId="0" fontId="18" fillId="0" borderId="22" xfId="0" applyFont="1" applyBorder="1" applyAlignment="1">
      <alignment horizontal="center" vertical="center" wrapText="1"/>
    </xf>
    <xf numFmtId="0" fontId="18" fillId="0" borderId="22" xfId="0" applyFont="1" applyBorder="1"/>
    <xf numFmtId="0" fontId="18" fillId="0" borderId="0" xfId="0" applyFont="1" applyAlignment="1">
      <alignment vertical="center"/>
    </xf>
    <xf numFmtId="0" fontId="11" fillId="0" borderId="0" xfId="0" applyFont="1" applyAlignment="1">
      <alignment horizontal="center" wrapText="1"/>
    </xf>
    <xf numFmtId="165" fontId="11" fillId="0" borderId="0" xfId="425" applyNumberFormat="1" applyFont="1" applyFill="1" applyBorder="1" applyAlignment="1" applyProtection="1">
      <alignment horizontal="center" wrapText="1"/>
    </xf>
    <xf numFmtId="0" fontId="11" fillId="0" borderId="0" xfId="0" applyFont="1" applyAlignment="1">
      <alignment wrapText="1"/>
    </xf>
    <xf numFmtId="0" fontId="18" fillId="0" borderId="18" xfId="0" applyFont="1" applyBorder="1" applyAlignment="1">
      <alignment vertical="center" wrapText="1"/>
    </xf>
    <xf numFmtId="0" fontId="11" fillId="0" borderId="23" xfId="0" applyFont="1" applyBorder="1" applyAlignment="1">
      <alignment horizontal="center" vertical="center" wrapText="1"/>
    </xf>
    <xf numFmtId="14" fontId="34" fillId="28" borderId="22" xfId="0" applyNumberFormat="1" applyFont="1" applyFill="1" applyBorder="1" applyAlignment="1">
      <alignment horizontal="center" vertical="center"/>
    </xf>
    <xf numFmtId="0" fontId="15" fillId="28" borderId="22" xfId="515" applyFont="1" applyFill="1" applyBorder="1" applyAlignment="1">
      <alignment vertical="center"/>
    </xf>
    <xf numFmtId="0" fontId="27" fillId="29" borderId="24" xfId="0" applyFont="1" applyFill="1" applyBorder="1" applyAlignment="1">
      <alignment horizontal="center" vertical="center"/>
    </xf>
    <xf numFmtId="0" fontId="40" fillId="0" borderId="0" xfId="0" applyFont="1"/>
    <xf numFmtId="1" fontId="31" fillId="30" borderId="18" xfId="0" applyNumberFormat="1" applyFont="1" applyFill="1" applyBorder="1" applyAlignment="1" applyProtection="1">
      <alignment horizontal="center" vertical="center"/>
      <protection locked="0"/>
    </xf>
    <xf numFmtId="0" fontId="35" fillId="0" borderId="0" xfId="0" applyFont="1"/>
    <xf numFmtId="166" fontId="35" fillId="0" borderId="0" xfId="0" applyNumberFormat="1" applyFont="1"/>
    <xf numFmtId="0" fontId="27" fillId="31" borderId="24" xfId="0" applyFont="1" applyFill="1" applyBorder="1" applyAlignment="1">
      <alignment horizontal="center" vertical="center"/>
    </xf>
    <xf numFmtId="0" fontId="27" fillId="31" borderId="25" xfId="0" applyFont="1" applyFill="1" applyBorder="1" applyAlignment="1">
      <alignment horizontal="center" vertical="center"/>
    </xf>
    <xf numFmtId="0" fontId="18" fillId="0" borderId="22" xfId="0" applyFont="1" applyBorder="1" applyAlignment="1">
      <alignment horizontal="center" vertical="center"/>
    </xf>
    <xf numFmtId="0" fontId="69" fillId="0" borderId="0" xfId="515" applyFont="1"/>
    <xf numFmtId="0" fontId="11" fillId="0" borderId="26" xfId="0" applyFont="1" applyBorder="1" applyAlignment="1">
      <alignment horizontal="center" vertical="center" wrapText="1"/>
    </xf>
    <xf numFmtId="165" fontId="11" fillId="0" borderId="23" xfId="436" applyNumberFormat="1" applyFont="1" applyFill="1" applyBorder="1" applyAlignment="1" applyProtection="1">
      <alignment horizontal="center" vertical="center"/>
    </xf>
    <xf numFmtId="0" fontId="13" fillId="0" borderId="0" xfId="515" applyFont="1" applyAlignment="1">
      <alignment horizontal="left"/>
    </xf>
    <xf numFmtId="165" fontId="7" fillId="0" borderId="0" xfId="515" applyNumberFormat="1"/>
    <xf numFmtId="165" fontId="35" fillId="0" borderId="0" xfId="436" applyNumberFormat="1" applyFont="1" applyProtection="1"/>
    <xf numFmtId="10" fontId="35" fillId="0" borderId="0" xfId="436" applyNumberFormat="1" applyFont="1" applyProtection="1"/>
    <xf numFmtId="9" fontId="35" fillId="0" borderId="0" xfId="0" applyNumberFormat="1" applyFont="1"/>
    <xf numFmtId="165" fontId="22" fillId="32" borderId="24" xfId="436" applyNumberFormat="1" applyFont="1" applyFill="1" applyBorder="1" applyAlignment="1" applyProtection="1">
      <alignment horizontal="center" vertical="center" wrapText="1"/>
    </xf>
    <xf numFmtId="0" fontId="50" fillId="0" borderId="0" xfId="0" applyFont="1"/>
    <xf numFmtId="49" fontId="18" fillId="33" borderId="22" xfId="0" applyNumberFormat="1" applyFont="1" applyFill="1" applyBorder="1" applyAlignment="1">
      <alignment horizontal="center"/>
    </xf>
    <xf numFmtId="0" fontId="18" fillId="33" borderId="22" xfId="0" applyFont="1" applyFill="1" applyBorder="1" applyAlignment="1">
      <alignment horizontal="center"/>
    </xf>
    <xf numFmtId="0" fontId="47" fillId="0" borderId="0" xfId="0" applyFont="1" applyAlignment="1">
      <alignment horizontal="left" vertical="top"/>
    </xf>
    <xf numFmtId="0" fontId="27" fillId="32" borderId="28" xfId="0" applyFont="1" applyFill="1" applyBorder="1" applyAlignment="1">
      <alignment horizontal="center" vertical="center" wrapText="1"/>
    </xf>
    <xf numFmtId="0" fontId="27" fillId="29" borderId="28" xfId="0" applyFont="1" applyFill="1" applyBorder="1" applyAlignment="1">
      <alignment horizontal="center" vertical="center"/>
    </xf>
    <xf numFmtId="0" fontId="7" fillId="0" borderId="22" xfId="515" applyBorder="1" applyAlignment="1">
      <alignment horizontal="center" vertical="center"/>
    </xf>
    <xf numFmtId="0" fontId="7" fillId="0" borderId="0" xfId="515" applyAlignment="1">
      <alignment vertical="center"/>
    </xf>
    <xf numFmtId="1" fontId="31" fillId="28" borderId="18" xfId="0" applyNumberFormat="1"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36" fillId="0" borderId="29" xfId="0" applyFont="1" applyBorder="1" applyAlignment="1">
      <alignment horizontal="center" vertical="center" wrapText="1"/>
    </xf>
    <xf numFmtId="0" fontId="20" fillId="0" borderId="22" xfId="0" applyFont="1" applyBorder="1" applyAlignment="1">
      <alignment horizontal="left" vertical="center" wrapText="1"/>
    </xf>
    <xf numFmtId="0" fontId="25" fillId="0" borderId="0" xfId="0" applyFont="1" applyAlignment="1">
      <alignment horizontal="center"/>
    </xf>
    <xf numFmtId="0" fontId="71" fillId="0" borderId="0" xfId="0" applyFont="1"/>
    <xf numFmtId="0" fontId="8" fillId="0" borderId="0" xfId="0" applyFont="1"/>
    <xf numFmtId="0" fontId="7" fillId="0" borderId="0" xfId="0" applyFont="1" applyAlignment="1">
      <alignment horizontal="right"/>
    </xf>
    <xf numFmtId="0" fontId="71" fillId="0" borderId="0" xfId="0" applyFont="1" applyAlignment="1">
      <alignment horizontal="center" vertical="center"/>
    </xf>
    <xf numFmtId="14" fontId="15" fillId="28" borderId="22" xfId="0" applyNumberFormat="1" applyFont="1" applyFill="1" applyBorder="1" applyAlignment="1">
      <alignment horizontal="center"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6" fillId="0" borderId="18" xfId="0" applyFont="1" applyBorder="1" applyAlignment="1">
      <alignment vertical="center"/>
    </xf>
    <xf numFmtId="0" fontId="46" fillId="0" borderId="0" xfId="0" applyFont="1"/>
    <xf numFmtId="0" fontId="72" fillId="34" borderId="24" xfId="0" applyFont="1" applyFill="1" applyBorder="1" applyAlignment="1">
      <alignment horizontal="center" vertical="center"/>
    </xf>
    <xf numFmtId="0" fontId="11" fillId="35" borderId="0" xfId="0" applyFont="1" applyFill="1" applyAlignment="1">
      <alignment wrapText="1"/>
    </xf>
    <xf numFmtId="1" fontId="18" fillId="30" borderId="18" xfId="0" applyNumberFormat="1" applyFont="1" applyFill="1" applyBorder="1" applyAlignment="1" applyProtection="1">
      <alignment horizontal="center" vertical="center"/>
      <protection locked="0"/>
    </xf>
    <xf numFmtId="0" fontId="28" fillId="0" borderId="0" xfId="0" applyFont="1"/>
    <xf numFmtId="0" fontId="18" fillId="37" borderId="30" xfId="0" applyFont="1" applyFill="1" applyBorder="1" applyAlignment="1" applyProtection="1">
      <alignment horizontal="left" vertical="center" wrapText="1"/>
      <protection locked="0"/>
    </xf>
    <xf numFmtId="1" fontId="11" fillId="36" borderId="18" xfId="515" applyNumberFormat="1" applyFont="1" applyFill="1" applyBorder="1" applyAlignment="1" applyProtection="1">
      <alignment horizontal="center" vertical="center"/>
      <protection locked="0"/>
    </xf>
    <xf numFmtId="0" fontId="18" fillId="30" borderId="30" xfId="0" applyFont="1" applyFill="1" applyBorder="1" applyAlignment="1" applyProtection="1">
      <alignment horizontal="left" vertical="center" wrapText="1"/>
      <protection locked="0"/>
    </xf>
    <xf numFmtId="0" fontId="18" fillId="30" borderId="18" xfId="0" applyFont="1" applyFill="1" applyBorder="1" applyAlignment="1" applyProtection="1">
      <alignment horizontal="left" vertical="center" wrapText="1"/>
      <protection locked="0"/>
    </xf>
    <xf numFmtId="0" fontId="31" fillId="35" borderId="22" xfId="0" applyFont="1" applyFill="1" applyBorder="1" applyAlignment="1">
      <alignment horizontal="center"/>
    </xf>
    <xf numFmtId="0" fontId="31" fillId="0" borderId="22" xfId="0" applyFont="1" applyBorder="1" applyAlignment="1">
      <alignment horizontal="center"/>
    </xf>
    <xf numFmtId="1" fontId="31" fillId="0" borderId="22" xfId="0" applyNumberFormat="1" applyFont="1" applyBorder="1" applyAlignment="1">
      <alignment horizontal="center"/>
    </xf>
    <xf numFmtId="9" fontId="18" fillId="33" borderId="22" xfId="454" applyFont="1" applyFill="1" applyBorder="1" applyAlignment="1" applyProtection="1">
      <alignment horizontal="center"/>
    </xf>
    <xf numFmtId="0" fontId="18" fillId="33" borderId="22" xfId="454" applyNumberFormat="1" applyFont="1" applyFill="1" applyBorder="1" applyAlignment="1" applyProtection="1">
      <alignment horizontal="center"/>
    </xf>
    <xf numFmtId="1" fontId="18" fillId="33" borderId="22" xfId="454" applyNumberFormat="1" applyFont="1" applyFill="1" applyBorder="1" applyAlignment="1" applyProtection="1">
      <alignment horizontal="center"/>
    </xf>
    <xf numFmtId="49" fontId="18" fillId="0" borderId="22" xfId="0" applyNumberFormat="1" applyFont="1" applyBorder="1" applyAlignment="1">
      <alignment horizontal="center"/>
    </xf>
    <xf numFmtId="0" fontId="18" fillId="0" borderId="22" xfId="0" applyFont="1" applyBorder="1" applyAlignment="1">
      <alignment horizontal="center"/>
    </xf>
    <xf numFmtId="9" fontId="18" fillId="0" borderId="22" xfId="454" applyFont="1" applyBorder="1" applyAlignment="1" applyProtection="1">
      <alignment horizontal="center"/>
    </xf>
    <xf numFmtId="1" fontId="18" fillId="0" borderId="22" xfId="454" applyNumberFormat="1" applyFont="1" applyBorder="1" applyAlignment="1" applyProtection="1">
      <alignment horizontal="center"/>
    </xf>
    <xf numFmtId="0" fontId="31" fillId="0" borderId="0" xfId="0" applyFont="1"/>
    <xf numFmtId="0" fontId="60" fillId="0" borderId="0" xfId="0" applyFont="1"/>
    <xf numFmtId="0" fontId="31" fillId="35" borderId="0" xfId="0" applyFont="1" applyFill="1"/>
    <xf numFmtId="0" fontId="18" fillId="0" borderId="0" xfId="0" applyFont="1" applyAlignment="1">
      <alignment horizontal="center"/>
    </xf>
    <xf numFmtId="0" fontId="73" fillId="0" borderId="0" xfId="0" applyFont="1"/>
    <xf numFmtId="0" fontId="11" fillId="0" borderId="0" xfId="0" applyFont="1"/>
    <xf numFmtId="0" fontId="18" fillId="0" borderId="0" xfId="0" applyFont="1" applyAlignment="1">
      <alignment horizontal="center" vertical="center"/>
    </xf>
    <xf numFmtId="0" fontId="36" fillId="0" borderId="34" xfId="0" applyFont="1" applyBorder="1" applyAlignment="1">
      <alignment vertical="center"/>
    </xf>
    <xf numFmtId="0" fontId="12" fillId="0" borderId="31" xfId="0" applyFont="1" applyBorder="1" applyAlignment="1">
      <alignment horizontal="center" vertical="center" wrapText="1"/>
    </xf>
    <xf numFmtId="0" fontId="71" fillId="0" borderId="22" xfId="0" applyFont="1" applyBorder="1"/>
    <xf numFmtId="10" fontId="18" fillId="33" borderId="22" xfId="454" applyNumberFormat="1" applyFont="1" applyFill="1" applyBorder="1" applyAlignment="1" applyProtection="1">
      <alignment horizontal="center"/>
    </xf>
    <xf numFmtId="10" fontId="18" fillId="0" borderId="22" xfId="454" applyNumberFormat="1" applyFont="1" applyBorder="1" applyAlignment="1" applyProtection="1">
      <alignment horizontal="center"/>
    </xf>
    <xf numFmtId="0" fontId="11" fillId="0" borderId="0" xfId="515" applyFont="1"/>
    <xf numFmtId="0" fontId="11" fillId="0" borderId="0" xfId="515" applyFont="1" applyAlignment="1">
      <alignment horizontal="left"/>
    </xf>
    <xf numFmtId="0" fontId="62" fillId="0" borderId="0" xfId="515" applyFont="1" applyAlignment="1">
      <alignment horizontal="left"/>
    </xf>
    <xf numFmtId="0" fontId="74" fillId="0" borderId="0" xfId="0" applyFont="1"/>
    <xf numFmtId="0" fontId="63" fillId="0" borderId="0" xfId="0" applyFont="1"/>
    <xf numFmtId="0" fontId="18" fillId="27" borderId="0" xfId="0" applyFont="1" applyFill="1" applyAlignment="1">
      <alignment horizontal="right" vertical="center"/>
    </xf>
    <xf numFmtId="0" fontId="18" fillId="27" borderId="0" xfId="0" applyFont="1" applyFill="1"/>
    <xf numFmtId="0" fontId="18" fillId="0" borderId="0" xfId="0" applyFont="1" applyAlignment="1">
      <alignment horizontal="right" vertical="center"/>
    </xf>
    <xf numFmtId="0" fontId="18" fillId="0" borderId="0" xfId="0" applyFont="1" applyAlignment="1">
      <alignment horizontal="right"/>
    </xf>
    <xf numFmtId="0" fontId="31" fillId="0" borderId="0" xfId="0" applyFont="1" applyAlignment="1">
      <alignment vertical="center"/>
    </xf>
    <xf numFmtId="0" fontId="18" fillId="0" borderId="35" xfId="0" applyFont="1" applyBorder="1" applyAlignment="1">
      <alignment vertical="center"/>
    </xf>
    <xf numFmtId="0" fontId="18" fillId="0" borderId="35" xfId="0" applyFont="1" applyBorder="1"/>
    <xf numFmtId="0" fontId="18" fillId="0" borderId="36" xfId="0" applyFont="1" applyBorder="1"/>
    <xf numFmtId="0" fontId="11" fillId="0" borderId="0" xfId="515" applyFont="1" applyAlignment="1">
      <alignment horizontal="left" indent="1"/>
    </xf>
    <xf numFmtId="0" fontId="18" fillId="0" borderId="32" xfId="0" applyFont="1" applyBorder="1" applyAlignment="1">
      <alignment vertical="center"/>
    </xf>
    <xf numFmtId="0" fontId="18" fillId="0" borderId="36" xfId="0" applyFont="1" applyBorder="1" applyAlignment="1">
      <alignment vertical="center"/>
    </xf>
    <xf numFmtId="0" fontId="31" fillId="0" borderId="22" xfId="0" applyFont="1" applyBorder="1" applyAlignment="1">
      <alignment horizontal="center" vertical="center"/>
    </xf>
    <xf numFmtId="9" fontId="31" fillId="0" borderId="22" xfId="436" applyFont="1" applyBorder="1" applyAlignment="1" applyProtection="1">
      <alignment horizontal="center" vertical="center"/>
    </xf>
    <xf numFmtId="0" fontId="35" fillId="0" borderId="0" xfId="436" applyNumberFormat="1" applyFont="1" applyProtection="1"/>
    <xf numFmtId="0" fontId="72" fillId="31" borderId="28" xfId="0" applyFont="1" applyFill="1" applyBorder="1" applyAlignment="1">
      <alignment horizontal="center" vertical="center"/>
    </xf>
    <xf numFmtId="0" fontId="72" fillId="31" borderId="37" xfId="0" applyFont="1" applyFill="1" applyBorder="1" applyAlignment="1">
      <alignment horizontal="center" vertical="center"/>
    </xf>
    <xf numFmtId="0" fontId="30" fillId="34" borderId="28" xfId="0" applyFont="1" applyFill="1" applyBorder="1" applyAlignment="1">
      <alignment horizontal="center" wrapText="1"/>
    </xf>
    <xf numFmtId="0" fontId="75" fillId="0" borderId="0" xfId="0" applyFont="1"/>
    <xf numFmtId="0" fontId="73" fillId="0" borderId="22" xfId="0" applyFont="1" applyBorder="1"/>
    <xf numFmtId="9" fontId="31" fillId="0" borderId="22" xfId="436" applyFont="1" applyFill="1" applyBorder="1" applyAlignment="1" applyProtection="1">
      <alignment horizontal="center" vertical="center"/>
    </xf>
    <xf numFmtId="9" fontId="18" fillId="0" borderId="22" xfId="436" applyFont="1" applyFill="1" applyBorder="1" applyAlignment="1" applyProtection="1">
      <alignment horizontal="center" vertical="center"/>
    </xf>
    <xf numFmtId="0" fontId="73" fillId="0" borderId="22" xfId="0" applyFont="1" applyBorder="1" applyAlignment="1">
      <alignment horizontal="center" vertical="center"/>
    </xf>
    <xf numFmtId="167" fontId="73" fillId="0" borderId="22" xfId="0" applyNumberFormat="1" applyFont="1" applyBorder="1" applyAlignment="1">
      <alignment horizontal="center" vertical="center"/>
    </xf>
    <xf numFmtId="167" fontId="18" fillId="0" borderId="22" xfId="436" applyNumberFormat="1" applyFont="1" applyFill="1" applyBorder="1" applyAlignment="1" applyProtection="1">
      <alignment horizontal="center" vertical="center"/>
    </xf>
    <xf numFmtId="9" fontId="73" fillId="0" borderId="22" xfId="0" applyNumberFormat="1" applyFont="1" applyBorder="1" applyAlignment="1">
      <alignment horizontal="center" vertical="center"/>
    </xf>
    <xf numFmtId="10" fontId="18" fillId="30" borderId="18" xfId="436" applyNumberFormat="1" applyFont="1" applyFill="1" applyBorder="1" applyAlignment="1" applyProtection="1">
      <alignment horizontal="center" vertical="center"/>
      <protection locked="0"/>
    </xf>
    <xf numFmtId="10" fontId="18" fillId="30" borderId="20" xfId="436" applyNumberFormat="1" applyFont="1" applyFill="1" applyBorder="1" applyAlignment="1" applyProtection="1">
      <alignment horizontal="center" vertical="center"/>
      <protection locked="0"/>
    </xf>
    <xf numFmtId="0" fontId="36" fillId="0" borderId="18" xfId="0" applyFont="1" applyBorder="1" applyAlignment="1">
      <alignment horizontal="center" vertical="center" wrapText="1"/>
    </xf>
    <xf numFmtId="1" fontId="70" fillId="37" borderId="22" xfId="0" applyNumberFormat="1" applyFont="1" applyFill="1" applyBorder="1" applyAlignment="1">
      <alignment horizontal="center" vertical="center"/>
    </xf>
    <xf numFmtId="166" fontId="70" fillId="37" borderId="22" xfId="0" applyNumberFormat="1" applyFont="1" applyFill="1" applyBorder="1" applyAlignment="1">
      <alignment horizontal="center" vertical="center"/>
    </xf>
    <xf numFmtId="1" fontId="70" fillId="0" borderId="22" xfId="0" applyNumberFormat="1" applyFont="1" applyBorder="1" applyAlignment="1">
      <alignment horizontal="center" vertical="center"/>
    </xf>
    <xf numFmtId="0" fontId="70" fillId="0" borderId="22" xfId="0" applyFont="1" applyBorder="1" applyAlignment="1">
      <alignment horizontal="left" vertical="center"/>
    </xf>
    <xf numFmtId="14" fontId="70" fillId="0" borderId="22" xfId="0" applyNumberFormat="1" applyFont="1" applyBorder="1" applyAlignment="1">
      <alignment horizontal="left" vertical="center"/>
    </xf>
    <xf numFmtId="0" fontId="11" fillId="0" borderId="22" xfId="0" applyFont="1" applyBorder="1" applyAlignment="1">
      <alignment horizontal="center" vertical="center" wrapText="1"/>
    </xf>
    <xf numFmtId="0" fontId="70" fillId="0" borderId="22" xfId="0" applyFont="1" applyBorder="1" applyAlignment="1">
      <alignment horizontal="center" vertical="top"/>
    </xf>
    <xf numFmtId="0" fontId="75" fillId="0" borderId="22" xfId="0" applyFont="1" applyBorder="1"/>
    <xf numFmtId="0" fontId="27" fillId="0" borderId="22" xfId="0" applyFont="1" applyBorder="1" applyAlignment="1">
      <alignment horizontal="left" vertical="center"/>
    </xf>
    <xf numFmtId="0" fontId="19" fillId="0" borderId="22" xfId="0" applyFont="1" applyBorder="1" applyAlignment="1">
      <alignment horizontal="center" vertical="center"/>
    </xf>
    <xf numFmtId="1" fontId="70" fillId="0" borderId="22" xfId="0" applyNumberFormat="1" applyFont="1" applyBorder="1" applyAlignment="1">
      <alignment horizontal="center"/>
    </xf>
    <xf numFmtId="0" fontId="70" fillId="0" borderId="22" xfId="0" applyFont="1" applyBorder="1"/>
    <xf numFmtId="0" fontId="77" fillId="0" borderId="22" xfId="0" applyFont="1" applyBorder="1" applyAlignment="1">
      <alignment horizontal="center" vertical="center"/>
    </xf>
    <xf numFmtId="0" fontId="8" fillId="0" borderId="22" xfId="515" applyFont="1" applyBorder="1"/>
    <xf numFmtId="0" fontId="73" fillId="0" borderId="0" xfId="0" applyFont="1" applyAlignment="1">
      <alignment vertical="center" wrapText="1"/>
    </xf>
    <xf numFmtId="0" fontId="73" fillId="0" borderId="22" xfId="0" applyFont="1" applyBorder="1" applyAlignment="1">
      <alignment vertical="center"/>
    </xf>
    <xf numFmtId="0" fontId="73" fillId="0" borderId="0" xfId="0" applyFont="1" applyAlignment="1">
      <alignment vertical="center"/>
    </xf>
    <xf numFmtId="0" fontId="0" fillId="0" borderId="0" xfId="0" applyAlignment="1">
      <alignment vertical="center"/>
    </xf>
    <xf numFmtId="0" fontId="18" fillId="34" borderId="24" xfId="0" applyFont="1" applyFill="1" applyBorder="1" applyAlignment="1">
      <alignment horizontal="center" vertical="center"/>
    </xf>
    <xf numFmtId="165" fontId="11" fillId="32" borderId="24" xfId="436" applyNumberFormat="1" applyFont="1" applyFill="1" applyBorder="1" applyAlignment="1" applyProtection="1">
      <alignment horizontal="center" vertical="center" wrapText="1"/>
    </xf>
    <xf numFmtId="0" fontId="18" fillId="29" borderId="24" xfId="0" applyFont="1" applyFill="1" applyBorder="1" applyAlignment="1">
      <alignment horizontal="center" vertical="center"/>
    </xf>
    <xf numFmtId="0" fontId="18" fillId="38" borderId="24" xfId="0" applyFont="1" applyFill="1" applyBorder="1" applyAlignment="1">
      <alignment horizontal="center" vertical="center"/>
    </xf>
    <xf numFmtId="0" fontId="18" fillId="38" borderId="25" xfId="0" applyFont="1" applyFill="1" applyBorder="1" applyAlignment="1">
      <alignment horizontal="center" vertical="center"/>
    </xf>
    <xf numFmtId="0" fontId="18" fillId="32" borderId="28" xfId="0" applyFont="1" applyFill="1" applyBorder="1" applyAlignment="1">
      <alignment horizontal="center" vertical="center" wrapText="1"/>
    </xf>
    <xf numFmtId="0" fontId="18" fillId="29" borderId="28" xfId="0" applyFont="1" applyFill="1" applyBorder="1" applyAlignment="1">
      <alignment horizontal="center" vertical="center"/>
    </xf>
    <xf numFmtId="0" fontId="18" fillId="38" borderId="28" xfId="0" applyFont="1" applyFill="1" applyBorder="1" applyAlignment="1">
      <alignment horizontal="center" vertical="center"/>
    </xf>
    <xf numFmtId="0" fontId="18" fillId="38" borderId="37" xfId="0" applyFont="1" applyFill="1" applyBorder="1" applyAlignment="1">
      <alignment horizontal="center" vertical="center"/>
    </xf>
    <xf numFmtId="0" fontId="18" fillId="29" borderId="21" xfId="0" applyFont="1" applyFill="1" applyBorder="1" applyAlignment="1">
      <alignment horizontal="center" vertical="center" wrapText="1"/>
    </xf>
    <xf numFmtId="49" fontId="18" fillId="0" borderId="0" xfId="0" applyNumberFormat="1" applyFont="1" applyAlignment="1">
      <alignment horizontal="center" vertical="center"/>
    </xf>
    <xf numFmtId="0" fontId="18" fillId="34" borderId="28"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vertical="center"/>
    </xf>
    <xf numFmtId="0" fontId="60" fillId="0" borderId="0" xfId="0" applyFont="1" applyAlignment="1">
      <alignment vertical="center"/>
    </xf>
    <xf numFmtId="0" fontId="11" fillId="0" borderId="0" xfId="0" applyFont="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32" borderId="21" xfId="0" applyFont="1" applyFill="1" applyBorder="1" applyAlignment="1">
      <alignment horizontal="center" vertical="center" wrapText="1"/>
    </xf>
    <xf numFmtId="0" fontId="18" fillId="32" borderId="41" xfId="0" applyFont="1" applyFill="1" applyBorder="1" applyAlignment="1">
      <alignment horizontal="center" vertical="center"/>
    </xf>
    <xf numFmtId="0" fontId="18" fillId="32" borderId="42" xfId="0" applyFont="1" applyFill="1" applyBorder="1" applyAlignment="1">
      <alignment horizontal="center" vertical="center" wrapText="1"/>
    </xf>
    <xf numFmtId="49" fontId="18" fillId="39" borderId="42" xfId="0" applyNumberFormat="1" applyFont="1" applyFill="1" applyBorder="1" applyAlignment="1">
      <alignment horizontal="center" vertical="center"/>
    </xf>
    <xf numFmtId="0" fontId="18" fillId="0" borderId="22" xfId="0" applyFont="1" applyBorder="1" applyAlignment="1">
      <alignment vertical="center"/>
    </xf>
    <xf numFmtId="0" fontId="18" fillId="0" borderId="0" xfId="0" applyFont="1" applyAlignment="1">
      <alignment horizontal="left" vertical="center"/>
    </xf>
    <xf numFmtId="0" fontId="27" fillId="0" borderId="22" xfId="0" applyFont="1" applyBorder="1" applyAlignment="1">
      <alignment vertical="center"/>
    </xf>
    <xf numFmtId="0" fontId="27" fillId="0" borderId="22"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1" fillId="0" borderId="22" xfId="0"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22" xfId="0" applyFont="1" applyBorder="1" applyAlignment="1">
      <alignment vertical="center" wrapText="1"/>
    </xf>
    <xf numFmtId="167" fontId="31" fillId="0" borderId="22" xfId="0" applyNumberFormat="1" applyFont="1" applyBorder="1" applyAlignment="1">
      <alignment horizontal="center" vertical="center" wrapText="1"/>
    </xf>
    <xf numFmtId="167" fontId="73" fillId="0" borderId="22" xfId="0" applyNumberFormat="1" applyFont="1" applyBorder="1" applyAlignment="1">
      <alignment horizontal="center" vertical="center" wrapText="1"/>
    </xf>
    <xf numFmtId="167" fontId="18" fillId="0" borderId="22" xfId="436" applyNumberFormat="1" applyFont="1" applyFill="1" applyBorder="1" applyAlignment="1" applyProtection="1">
      <alignment horizontal="center" vertical="center" wrapText="1"/>
    </xf>
    <xf numFmtId="0" fontId="73" fillId="0" borderId="22" xfId="0" applyFont="1" applyBorder="1" applyAlignment="1">
      <alignment horizontal="center" vertical="center" wrapText="1"/>
    </xf>
    <xf numFmtId="9" fontId="18" fillId="0" borderId="22" xfId="436" applyFont="1" applyFill="1" applyBorder="1" applyAlignment="1" applyProtection="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2" fillId="0" borderId="22" xfId="515" applyFont="1" applyBorder="1" applyAlignment="1">
      <alignment horizontal="center" vertical="center" wrapText="1"/>
    </xf>
    <xf numFmtId="0" fontId="12" fillId="0" borderId="22" xfId="0" quotePrefix="1" applyFont="1" applyBorder="1" applyAlignment="1">
      <alignment horizontal="center" vertical="center" wrapText="1"/>
    </xf>
    <xf numFmtId="0" fontId="72" fillId="0" borderId="22" xfId="0" applyFont="1" applyBorder="1" applyAlignment="1">
      <alignment horizontal="center"/>
    </xf>
    <xf numFmtId="0" fontId="72" fillId="0" borderId="22" xfId="0" applyFont="1" applyBorder="1" applyAlignment="1">
      <alignment horizontal="center" vertical="center"/>
    </xf>
    <xf numFmtId="0" fontId="72" fillId="0" borderId="22" xfId="0" applyFont="1" applyBorder="1"/>
    <xf numFmtId="0" fontId="70" fillId="0" borderId="0" xfId="0" applyFont="1" applyAlignment="1">
      <alignment horizontal="center" vertical="center"/>
    </xf>
    <xf numFmtId="0" fontId="70" fillId="0" borderId="0" xfId="0" applyFont="1"/>
    <xf numFmtId="0" fontId="77" fillId="0" borderId="25" xfId="0" applyFont="1" applyBorder="1" applyAlignment="1">
      <alignment horizontal="center" vertical="center"/>
    </xf>
    <xf numFmtId="0" fontId="19" fillId="0" borderId="25" xfId="0" applyFont="1" applyBorder="1" applyAlignment="1">
      <alignment horizontal="center" vertical="center" wrapText="1"/>
    </xf>
    <xf numFmtId="4" fontId="73" fillId="0" borderId="22" xfId="0" applyNumberFormat="1" applyFont="1" applyBorder="1" applyAlignment="1">
      <alignment horizontal="center" vertical="center"/>
    </xf>
    <xf numFmtId="0" fontId="72" fillId="0" borderId="0" xfId="0" applyFont="1" applyAlignment="1">
      <alignment horizontal="left" vertical="center"/>
    </xf>
    <xf numFmtId="0" fontId="27" fillId="29" borderId="22" xfId="0" applyFont="1" applyFill="1" applyBorder="1" applyAlignment="1">
      <alignment horizontal="center" vertical="center"/>
    </xf>
    <xf numFmtId="0" fontId="20" fillId="29" borderId="22" xfId="0" applyFont="1" applyFill="1" applyBorder="1" applyAlignment="1">
      <alignment horizontal="right" vertical="center"/>
    </xf>
    <xf numFmtId="0" fontId="27" fillId="34" borderId="22" xfId="0" applyFont="1" applyFill="1" applyBorder="1" applyAlignment="1">
      <alignment horizontal="center" vertical="center"/>
    </xf>
    <xf numFmtId="0" fontId="20" fillId="34" borderId="22" xfId="0" applyFont="1" applyFill="1" applyBorder="1" applyAlignment="1">
      <alignment horizontal="right" vertical="center"/>
    </xf>
    <xf numFmtId="0" fontId="27" fillId="39" borderId="22" xfId="0" applyFont="1" applyFill="1" applyBorder="1" applyAlignment="1">
      <alignment horizontal="center" vertical="center"/>
    </xf>
    <xf numFmtId="0" fontId="20" fillId="39" borderId="22" xfId="0" applyFont="1" applyFill="1" applyBorder="1" applyAlignment="1">
      <alignment horizontal="right" vertical="center"/>
    </xf>
    <xf numFmtId="0" fontId="72" fillId="39" borderId="22" xfId="0" applyFont="1" applyFill="1" applyBorder="1" applyAlignment="1">
      <alignment horizontal="center" vertical="center"/>
    </xf>
    <xf numFmtId="0" fontId="20" fillId="39" borderId="22" xfId="0" applyFont="1" applyFill="1" applyBorder="1" applyAlignment="1">
      <alignment horizontal="right"/>
    </xf>
    <xf numFmtId="0" fontId="11" fillId="0" borderId="38" xfId="0" applyFont="1" applyBorder="1" applyAlignment="1">
      <alignment vertical="center"/>
    </xf>
    <xf numFmtId="0" fontId="18" fillId="0" borderId="38" xfId="0" applyFont="1" applyBorder="1" applyAlignment="1">
      <alignment horizontal="center"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22" xfId="0" applyFont="1" applyBorder="1" applyAlignment="1">
      <alignment vertical="center"/>
    </xf>
    <xf numFmtId="0" fontId="68" fillId="0" borderId="22" xfId="0" applyFont="1" applyBorder="1" applyAlignment="1">
      <alignment horizontal="center" vertical="center" wrapText="1"/>
    </xf>
    <xf numFmtId="0" fontId="18" fillId="0" borderId="39" xfId="0" applyFont="1" applyBorder="1" applyAlignment="1">
      <alignment horizontal="center" vertical="center" wrapText="1"/>
    </xf>
    <xf numFmtId="0" fontId="78"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78" fillId="0" borderId="22" xfId="0" applyFont="1" applyBorder="1" applyAlignment="1">
      <alignment horizontal="center" vertical="center"/>
    </xf>
    <xf numFmtId="0" fontId="72" fillId="0" borderId="0" xfId="0" applyFont="1" applyAlignment="1">
      <alignment horizontal="center" vertical="center"/>
    </xf>
    <xf numFmtId="0" fontId="31" fillId="35" borderId="22" xfId="0" applyFont="1" applyFill="1" applyBorder="1" applyAlignment="1">
      <alignment horizontal="center" vertical="center" wrapText="1"/>
    </xf>
    <xf numFmtId="0" fontId="90" fillId="0" borderId="0" xfId="0" applyFont="1" applyAlignment="1">
      <alignment vertical="center"/>
    </xf>
    <xf numFmtId="14" fontId="73" fillId="40" borderId="22" xfId="0" applyNumberFormat="1" applyFont="1" applyFill="1" applyBorder="1" applyAlignment="1">
      <alignment vertical="center"/>
    </xf>
    <xf numFmtId="0" fontId="73" fillId="40" borderId="22" xfId="0" applyFont="1" applyFill="1" applyBorder="1" applyAlignment="1">
      <alignment vertical="center"/>
    </xf>
    <xf numFmtId="14" fontId="11" fillId="40" borderId="22" xfId="0" applyNumberFormat="1" applyFont="1" applyFill="1" applyBorder="1" applyAlignment="1">
      <alignment horizontal="left" vertical="center"/>
    </xf>
    <xf numFmtId="0" fontId="31" fillId="40" borderId="22" xfId="0" applyFont="1" applyFill="1" applyBorder="1" applyAlignment="1">
      <alignment vertical="center"/>
    </xf>
    <xf numFmtId="14" fontId="73" fillId="0" borderId="0" xfId="0" applyNumberFormat="1" applyFont="1" applyAlignment="1">
      <alignment horizontal="center" vertical="center"/>
    </xf>
    <xf numFmtId="0" fontId="18" fillId="0" borderId="0" xfId="0" quotePrefix="1" applyFont="1" applyAlignment="1">
      <alignment vertical="center"/>
    </xf>
    <xf numFmtId="14" fontId="18" fillId="0" borderId="22" xfId="0" quotePrefix="1" applyNumberFormat="1" applyFont="1" applyBorder="1" applyAlignment="1">
      <alignment horizontal="center" vertical="center"/>
    </xf>
    <xf numFmtId="0" fontId="18" fillId="0" borderId="22" xfId="0" quotePrefix="1" applyFont="1" applyBorder="1" applyAlignment="1">
      <alignment vertical="center"/>
    </xf>
    <xf numFmtId="0" fontId="73" fillId="0" borderId="0" xfId="0" applyFont="1" applyAlignment="1">
      <alignment horizontal="left" vertical="center"/>
    </xf>
    <xf numFmtId="14" fontId="11" fillId="0" borderId="0" xfId="0" applyNumberFormat="1" applyFont="1" applyAlignment="1">
      <alignment vertical="center"/>
    </xf>
    <xf numFmtId="14" fontId="18" fillId="0" borderId="0" xfId="0" applyNumberFormat="1" applyFont="1" applyAlignment="1">
      <alignment vertical="center"/>
    </xf>
    <xf numFmtId="14" fontId="73" fillId="0" borderId="0" xfId="0" applyNumberFormat="1" applyFont="1" applyAlignment="1">
      <alignment vertical="center"/>
    </xf>
    <xf numFmtId="0" fontId="11" fillId="0" borderId="22" xfId="0" applyFont="1" applyBorder="1" applyAlignment="1">
      <alignment vertical="center" wrapText="1"/>
    </xf>
    <xf numFmtId="0" fontId="11" fillId="0" borderId="0" xfId="0" applyFont="1" applyAlignment="1">
      <alignment vertical="center" wrapText="1"/>
    </xf>
    <xf numFmtId="0" fontId="11" fillId="0" borderId="47" xfId="0" applyFont="1" applyBorder="1" applyAlignment="1">
      <alignment vertical="center"/>
    </xf>
    <xf numFmtId="0" fontId="73" fillId="0" borderId="32" xfId="0" applyFont="1" applyBorder="1" applyAlignment="1">
      <alignment vertical="center"/>
    </xf>
    <xf numFmtId="0" fontId="88" fillId="0" borderId="22" xfId="0" applyFont="1" applyBorder="1" applyAlignment="1">
      <alignment vertical="center"/>
    </xf>
    <xf numFmtId="1" fontId="11" fillId="0" borderId="0" xfId="0" applyNumberFormat="1" applyFont="1" applyAlignment="1">
      <alignment vertical="center"/>
    </xf>
    <xf numFmtId="0" fontId="11" fillId="0" borderId="32" xfId="0" applyFont="1" applyBorder="1" applyAlignment="1">
      <alignment vertical="center"/>
    </xf>
    <xf numFmtId="0" fontId="11" fillId="0" borderId="36" xfId="0" applyFont="1" applyBorder="1" applyAlignment="1">
      <alignment vertical="center"/>
    </xf>
    <xf numFmtId="0" fontId="12" fillId="0" borderId="0" xfId="0" applyFont="1" applyAlignment="1">
      <alignment vertical="center"/>
    </xf>
    <xf numFmtId="0" fontId="12" fillId="0" borderId="28" xfId="0" applyFont="1" applyBorder="1" applyAlignment="1">
      <alignment vertical="center"/>
    </xf>
    <xf numFmtId="0" fontId="12" fillId="0" borderId="37" xfId="0" applyFont="1" applyBorder="1" applyAlignment="1">
      <alignment vertical="center"/>
    </xf>
    <xf numFmtId="0" fontId="12" fillId="0" borderId="48" xfId="0" applyFont="1" applyBorder="1" applyAlignment="1">
      <alignment vertical="center"/>
    </xf>
    <xf numFmtId="0" fontId="12" fillId="0" borderId="0" xfId="0" applyFont="1" applyAlignment="1">
      <alignment horizontal="left" vertical="center"/>
    </xf>
    <xf numFmtId="1" fontId="73" fillId="0" borderId="0" xfId="0" applyNumberFormat="1" applyFont="1" applyAlignment="1">
      <alignment vertical="center"/>
    </xf>
    <xf numFmtId="0" fontId="18" fillId="0" borderId="22" xfId="0" applyFont="1" applyBorder="1" applyAlignment="1">
      <alignment horizontal="left" vertical="center"/>
    </xf>
    <xf numFmtId="14" fontId="18" fillId="0" borderId="22" xfId="0" applyNumberFormat="1" applyFont="1" applyBorder="1" applyAlignment="1">
      <alignment horizontal="left" vertical="center"/>
    </xf>
    <xf numFmtId="0" fontId="12" fillId="0" borderId="0" xfId="548" applyFont="1" applyAlignment="1">
      <alignment vertical="center"/>
    </xf>
    <xf numFmtId="0" fontId="11" fillId="0" borderId="0" xfId="548" applyFont="1" applyAlignment="1">
      <alignment vertical="center"/>
    </xf>
    <xf numFmtId="0" fontId="11" fillId="0" borderId="0" xfId="547" applyFont="1" applyAlignment="1">
      <alignment horizontal="center" vertical="center"/>
    </xf>
    <xf numFmtId="0" fontId="73" fillId="0" borderId="24" xfId="0" applyFont="1" applyBorder="1" applyAlignment="1">
      <alignment vertical="center"/>
    </xf>
    <xf numFmtId="0" fontId="73" fillId="0" borderId="25" xfId="0" applyFont="1" applyBorder="1" applyAlignment="1">
      <alignment vertical="center"/>
    </xf>
    <xf numFmtId="10" fontId="31" fillId="27" borderId="18" xfId="425" applyNumberFormat="1" applyFont="1" applyFill="1" applyBorder="1" applyAlignment="1" applyProtection="1">
      <alignment horizontal="center" vertical="center" wrapText="1"/>
    </xf>
    <xf numFmtId="10" fontId="18" fillId="0" borderId="22" xfId="425" applyNumberFormat="1" applyFont="1" applyBorder="1" applyAlignment="1">
      <alignment horizontal="center" vertical="center" wrapText="1"/>
    </xf>
    <xf numFmtId="0" fontId="85" fillId="0" borderId="22" xfId="0" applyFont="1" applyBorder="1" applyAlignment="1">
      <alignment horizontal="center" vertical="center" wrapText="1"/>
    </xf>
    <xf numFmtId="0" fontId="86" fillId="0" borderId="22" xfId="0" applyFont="1" applyBorder="1" applyAlignment="1">
      <alignment horizontal="center" vertical="center" wrapText="1"/>
    </xf>
    <xf numFmtId="0" fontId="0" fillId="0" borderId="0" xfId="0" applyAlignment="1">
      <alignment horizontal="center"/>
    </xf>
    <xf numFmtId="9" fontId="76" fillId="0" borderId="22" xfId="0" applyNumberFormat="1" applyFont="1" applyBorder="1" applyAlignment="1">
      <alignment horizontal="center" vertical="center" wrapText="1"/>
    </xf>
    <xf numFmtId="0" fontId="11" fillId="34" borderId="22" xfId="0" applyFont="1" applyFill="1" applyBorder="1" applyAlignment="1">
      <alignment horizontal="center" vertical="center" wrapText="1"/>
    </xf>
    <xf numFmtId="1" fontId="18" fillId="0" borderId="22" xfId="0" applyNumberFormat="1" applyFont="1" applyBorder="1" applyAlignment="1">
      <alignment horizontal="center" vertical="center" wrapText="1"/>
    </xf>
    <xf numFmtId="0" fontId="73" fillId="0" borderId="22" xfId="0" applyFont="1" applyBorder="1" applyAlignment="1">
      <alignment vertical="center" wrapText="1"/>
    </xf>
    <xf numFmtId="0" fontId="11" fillId="0" borderId="22" xfId="0" applyFont="1" applyBorder="1" applyAlignment="1">
      <alignment horizontal="left" vertical="center" wrapText="1"/>
    </xf>
    <xf numFmtId="0" fontId="73" fillId="0" borderId="25" xfId="0" applyFont="1" applyBorder="1" applyAlignment="1">
      <alignment horizontal="center" vertical="center" wrapText="1"/>
    </xf>
    <xf numFmtId="0" fontId="73" fillId="0" borderId="0" xfId="0" applyFont="1" applyAlignment="1">
      <alignment horizontal="center" vertical="center" wrapText="1"/>
    </xf>
    <xf numFmtId="0" fontId="73" fillId="0" borderId="0" xfId="0" applyFont="1" applyAlignment="1">
      <alignment horizontal="center" vertical="center"/>
    </xf>
    <xf numFmtId="0" fontId="85" fillId="0" borderId="0" xfId="0" applyFont="1" applyAlignment="1">
      <alignment vertical="center"/>
    </xf>
    <xf numFmtId="0" fontId="27" fillId="35" borderId="22" xfId="0" applyFont="1" applyFill="1" applyBorder="1" applyAlignment="1">
      <alignment horizontal="center" vertical="center"/>
    </xf>
    <xf numFmtId="0" fontId="27" fillId="0" borderId="0" xfId="0" applyFont="1" applyAlignment="1">
      <alignment horizontal="left"/>
    </xf>
    <xf numFmtId="0" fontId="85" fillId="0" borderId="25" xfId="0" applyFont="1" applyBorder="1" applyAlignment="1">
      <alignment horizontal="center" vertical="center" wrapText="1"/>
    </xf>
    <xf numFmtId="0" fontId="18" fillId="0" borderId="0" xfId="0" applyFont="1" applyAlignment="1">
      <alignment horizontal="left" vertical="center" wrapText="1"/>
    </xf>
    <xf numFmtId="0" fontId="96" fillId="35" borderId="0" xfId="0" applyFont="1" applyFill="1" applyAlignment="1">
      <alignment horizontal="center"/>
    </xf>
    <xf numFmtId="10"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0" fontId="11" fillId="37" borderId="50" xfId="0" applyFont="1" applyFill="1" applyBorder="1" applyAlignment="1">
      <alignment horizontal="center" wrapText="1"/>
    </xf>
    <xf numFmtId="0" fontId="11" fillId="37" borderId="0" xfId="0" applyFont="1" applyFill="1" applyAlignment="1">
      <alignment horizontal="center" wrapText="1"/>
    </xf>
    <xf numFmtId="1" fontId="11" fillId="37" borderId="0" xfId="0" applyNumberFormat="1" applyFont="1" applyFill="1" applyAlignment="1">
      <alignment horizontal="center" wrapText="1"/>
    </xf>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11" fillId="37" borderId="52" xfId="0" applyFont="1" applyFill="1" applyBorder="1" applyAlignment="1">
      <alignment horizontal="center" wrapText="1"/>
    </xf>
    <xf numFmtId="0" fontId="14" fillId="0" borderId="34" xfId="0" applyFont="1" applyBorder="1" applyAlignment="1">
      <alignment horizontal="center" vertical="center"/>
    </xf>
    <xf numFmtId="0" fontId="11" fillId="0" borderId="53" xfId="0" applyFont="1" applyBorder="1" applyAlignment="1">
      <alignment textRotation="90" wrapText="1"/>
    </xf>
    <xf numFmtId="0" fontId="23" fillId="0" borderId="54" xfId="0" applyFont="1" applyBorder="1"/>
    <xf numFmtId="0" fontId="36" fillId="0" borderId="55" xfId="0" applyFont="1" applyBorder="1" applyAlignment="1">
      <alignment horizontal="center" vertical="center" wrapText="1"/>
    </xf>
    <xf numFmtId="0" fontId="14" fillId="0" borderId="33" xfId="0" applyFont="1" applyBorder="1" applyAlignment="1">
      <alignment horizontal="center" vertical="center"/>
    </xf>
    <xf numFmtId="0" fontId="11" fillId="37" borderId="0" xfId="0" applyFont="1" applyFill="1" applyAlignment="1">
      <alignment horizontal="center" vertical="center" wrapText="1"/>
    </xf>
    <xf numFmtId="0" fontId="11" fillId="37" borderId="56" xfId="0" applyFont="1" applyFill="1" applyBorder="1" applyAlignment="1">
      <alignment horizontal="center" vertical="center" wrapText="1"/>
    </xf>
    <xf numFmtId="0" fontId="31" fillId="0" borderId="18" xfId="0" applyFont="1" applyBorder="1" applyAlignment="1">
      <alignment horizontal="center" vertical="center" wrapText="1"/>
    </xf>
    <xf numFmtId="10" fontId="11" fillId="0" borderId="18" xfId="436" applyNumberFormat="1" applyFont="1" applyFill="1" applyBorder="1" applyAlignment="1" applyProtection="1">
      <alignment horizontal="center" vertical="center"/>
    </xf>
    <xf numFmtId="10" fontId="31" fillId="0" borderId="22" xfId="436" applyNumberFormat="1" applyFont="1" applyFill="1" applyBorder="1" applyAlignment="1" applyProtection="1">
      <alignment horizontal="center" vertical="center"/>
    </xf>
    <xf numFmtId="2" fontId="70" fillId="0" borderId="22" xfId="0" applyNumberFormat="1" applyFont="1" applyBorder="1" applyAlignment="1">
      <alignment horizontal="center" vertical="center"/>
    </xf>
    <xf numFmtId="0" fontId="20" fillId="0" borderId="22" xfId="0" applyFont="1" applyBorder="1" applyAlignment="1">
      <alignment horizontal="center" vertical="top"/>
    </xf>
    <xf numFmtId="0" fontId="11" fillId="0" borderId="18" xfId="0" applyFont="1" applyBorder="1" applyAlignment="1">
      <alignment horizontal="left" vertical="center" wrapText="1"/>
    </xf>
    <xf numFmtId="0" fontId="85" fillId="0" borderId="24" xfId="0" applyFont="1" applyBorder="1" applyAlignment="1">
      <alignment horizontal="center" vertical="center" wrapText="1"/>
    </xf>
    <xf numFmtId="0" fontId="31" fillId="0" borderId="22" xfId="0" applyFont="1" applyBorder="1" applyAlignment="1">
      <alignment vertical="center" wrapText="1"/>
    </xf>
    <xf numFmtId="0" fontId="36" fillId="34" borderId="18" xfId="0" applyFont="1" applyFill="1" applyBorder="1" applyAlignment="1">
      <alignment horizontal="center" vertical="center" wrapText="1"/>
    </xf>
    <xf numFmtId="0" fontId="85" fillId="0" borderId="36" xfId="0" applyFont="1" applyBorder="1" applyAlignment="1">
      <alignment vertical="center" wrapText="1"/>
    </xf>
    <xf numFmtId="0" fontId="85" fillId="0" borderId="32" xfId="0" applyFont="1" applyBorder="1" applyAlignment="1">
      <alignment horizontal="right" vertical="center" wrapText="1"/>
    </xf>
    <xf numFmtId="0" fontId="35" fillId="0" borderId="0" xfId="0" applyFont="1" applyAlignment="1">
      <alignment horizontal="left"/>
    </xf>
    <xf numFmtId="167" fontId="35" fillId="0" borderId="0" xfId="0" applyNumberFormat="1" applyFont="1"/>
    <xf numFmtId="167" fontId="35" fillId="0" borderId="0" xfId="425" applyNumberFormat="1" applyFont="1" applyProtection="1"/>
    <xf numFmtId="0" fontId="31" fillId="0" borderId="22" xfId="0" applyFont="1" applyBorder="1" applyAlignment="1">
      <alignment horizontal="center" vertical="center" wrapText="1"/>
    </xf>
    <xf numFmtId="0" fontId="46" fillId="0" borderId="0" xfId="0" applyFont="1" applyAlignment="1">
      <alignment vertical="center"/>
    </xf>
    <xf numFmtId="0" fontId="12" fillId="0" borderId="32" xfId="548" applyFont="1" applyBorder="1" applyAlignment="1">
      <alignment vertical="center"/>
    </xf>
    <xf numFmtId="0" fontId="12" fillId="0" borderId="32" xfId="0" applyFont="1" applyBorder="1" applyAlignment="1">
      <alignment vertical="center" wrapText="1"/>
    </xf>
    <xf numFmtId="0" fontId="31" fillId="0" borderId="25" xfId="0" applyFont="1" applyBorder="1" applyAlignment="1">
      <alignment vertical="center"/>
    </xf>
    <xf numFmtId="1" fontId="31" fillId="28" borderId="18" xfId="0" quotePrefix="1" applyNumberFormat="1" applyFont="1" applyFill="1" applyBorder="1" applyAlignment="1">
      <alignment horizontal="center" vertical="center" wrapText="1"/>
    </xf>
    <xf numFmtId="0" fontId="18" fillId="76" borderId="0" xfId="0" applyFont="1" applyFill="1" applyAlignment="1">
      <alignment vertical="center"/>
    </xf>
    <xf numFmtId="0" fontId="73" fillId="76" borderId="22" xfId="0" applyFont="1" applyFill="1" applyBorder="1" applyAlignment="1">
      <alignment vertical="center"/>
    </xf>
    <xf numFmtId="0" fontId="73" fillId="76" borderId="22" xfId="0" applyFont="1" applyFill="1" applyBorder="1" applyAlignment="1">
      <alignment horizontal="center" vertical="center"/>
    </xf>
    <xf numFmtId="167" fontId="18" fillId="76" borderId="22" xfId="436" applyNumberFormat="1" applyFont="1" applyFill="1" applyBorder="1" applyAlignment="1" applyProtection="1">
      <alignment horizontal="center" vertical="center"/>
    </xf>
    <xf numFmtId="167" fontId="18" fillId="76" borderId="22" xfId="436" applyNumberFormat="1" applyFont="1" applyFill="1" applyBorder="1" applyAlignment="1" applyProtection="1">
      <alignment horizontal="center" vertical="center" wrapText="1"/>
    </xf>
    <xf numFmtId="0" fontId="18" fillId="76" borderId="22" xfId="0" applyFont="1" applyFill="1" applyBorder="1" applyAlignment="1">
      <alignment vertical="center"/>
    </xf>
    <xf numFmtId="0" fontId="18" fillId="76" borderId="22" xfId="0" applyFont="1" applyFill="1" applyBorder="1" applyAlignment="1">
      <alignment vertical="center" wrapText="1"/>
    </xf>
    <xf numFmtId="0" fontId="73" fillId="76" borderId="0" xfId="0" applyFont="1" applyFill="1" applyAlignment="1">
      <alignment vertical="center"/>
    </xf>
    <xf numFmtId="0" fontId="22" fillId="0" borderId="22" xfId="0" applyFont="1" applyBorder="1" applyAlignment="1">
      <alignment vertical="center"/>
    </xf>
    <xf numFmtId="0" fontId="18" fillId="0" borderId="37" xfId="0" applyFont="1" applyBorder="1" applyAlignment="1">
      <alignment vertical="center"/>
    </xf>
    <xf numFmtId="1" fontId="11" fillId="0" borderId="23" xfId="0" applyNumberFormat="1" applyFont="1" applyBorder="1" applyAlignment="1">
      <alignment horizontal="center" vertical="center"/>
    </xf>
    <xf numFmtId="0" fontId="97" fillId="0" borderId="28" xfId="0" applyFont="1" applyBorder="1" applyAlignment="1">
      <alignment vertical="center"/>
    </xf>
    <xf numFmtId="1" fontId="18" fillId="0" borderId="0" xfId="0" applyNumberFormat="1" applyFont="1" applyAlignment="1">
      <alignment vertical="center"/>
    </xf>
    <xf numFmtId="0" fontId="11" fillId="77" borderId="22" xfId="0" applyFont="1" applyFill="1" applyBorder="1" applyAlignment="1">
      <alignment vertical="center"/>
    </xf>
    <xf numFmtId="0" fontId="11" fillId="78" borderId="22" xfId="0" applyFont="1" applyFill="1" applyBorder="1" applyAlignment="1">
      <alignment vertical="center"/>
    </xf>
    <xf numFmtId="49" fontId="18" fillId="37" borderId="30" xfId="0" applyNumberFormat="1" applyFont="1" applyFill="1" applyBorder="1" applyAlignment="1" applyProtection="1">
      <alignment horizontal="center" vertical="center" wrapText="1"/>
      <protection locked="0"/>
    </xf>
    <xf numFmtId="49" fontId="18" fillId="30" borderId="30" xfId="0" applyNumberFormat="1" applyFont="1" applyFill="1" applyBorder="1" applyAlignment="1" applyProtection="1">
      <alignment horizontal="center" vertical="center" wrapText="1"/>
      <protection locked="0"/>
    </xf>
    <xf numFmtId="49" fontId="11" fillId="0" borderId="18" xfId="0" applyNumberFormat="1" applyFont="1" applyBorder="1" applyAlignment="1">
      <alignment horizontal="center" vertical="center" wrapText="1"/>
    </xf>
    <xf numFmtId="49" fontId="18" fillId="30" borderId="18" xfId="0" applyNumberFormat="1" applyFont="1" applyFill="1" applyBorder="1" applyAlignment="1" applyProtection="1">
      <alignment horizontal="center" vertical="center" wrapText="1"/>
      <protection locked="0"/>
    </xf>
    <xf numFmtId="0" fontId="18" fillId="79" borderId="22" xfId="0" applyFont="1" applyFill="1" applyBorder="1" applyAlignment="1">
      <alignment vertical="center"/>
    </xf>
    <xf numFmtId="14" fontId="18" fillId="79" borderId="22" xfId="0" quotePrefix="1" applyNumberFormat="1" applyFont="1" applyFill="1" applyBorder="1" applyAlignment="1">
      <alignment horizontal="center" vertical="center"/>
    </xf>
    <xf numFmtId="10" fontId="11" fillId="0" borderId="0" xfId="425" applyNumberFormat="1" applyFont="1" applyFill="1" applyBorder="1" applyAlignment="1" applyProtection="1">
      <alignment horizontal="center" wrapText="1"/>
    </xf>
    <xf numFmtId="10" fontId="18" fillId="0" borderId="0" xfId="0" applyNumberFormat="1" applyFont="1"/>
    <xf numFmtId="0" fontId="73" fillId="0" borderId="22" xfId="0" applyFont="1" applyBorder="1" applyAlignment="1">
      <alignment horizontal="left" vertical="center"/>
    </xf>
    <xf numFmtId="0" fontId="22" fillId="0" borderId="25" xfId="0" applyFont="1" applyBorder="1" applyAlignment="1">
      <alignment vertical="center"/>
    </xf>
    <xf numFmtId="0" fontId="11" fillId="0" borderId="57" xfId="0" applyFont="1" applyBorder="1" applyAlignment="1">
      <alignment vertical="center"/>
    </xf>
    <xf numFmtId="0" fontId="117" fillId="0" borderId="0" xfId="0" applyFont="1"/>
    <xf numFmtId="0" fontId="116" fillId="0" borderId="0" xfId="0" applyFont="1"/>
    <xf numFmtId="0" fontId="116" fillId="0" borderId="52" xfId="0" applyFont="1" applyBorder="1"/>
    <xf numFmtId="9" fontId="18" fillId="0" borderId="22" xfId="454" applyFont="1" applyFill="1" applyBorder="1" applyAlignment="1" applyProtection="1">
      <alignment horizontal="center"/>
    </xf>
    <xf numFmtId="0" fontId="18" fillId="0" borderId="22" xfId="454" applyNumberFormat="1" applyFont="1" applyFill="1" applyBorder="1" applyAlignment="1" applyProtection="1">
      <alignment horizontal="center"/>
    </xf>
    <xf numFmtId="1" fontId="18" fillId="0" borderId="22" xfId="454" applyNumberFormat="1" applyFont="1" applyFill="1" applyBorder="1" applyAlignment="1" applyProtection="1">
      <alignment horizontal="center"/>
    </xf>
    <xf numFmtId="0" fontId="7" fillId="80" borderId="22" xfId="515" applyFill="1" applyBorder="1" applyAlignment="1">
      <alignment horizontal="center" vertical="center"/>
    </xf>
    <xf numFmtId="0" fontId="19" fillId="0" borderId="22" xfId="0" applyFont="1" applyBorder="1" applyAlignment="1">
      <alignment vertical="center"/>
    </xf>
    <xf numFmtId="0" fontId="19" fillId="0" borderId="22" xfId="525" applyFont="1" applyBorder="1"/>
    <xf numFmtId="14" fontId="18" fillId="0" borderId="22" xfId="0" applyNumberFormat="1" applyFont="1" applyBorder="1" applyAlignment="1">
      <alignment horizontal="center" vertical="center"/>
    </xf>
    <xf numFmtId="0" fontId="18" fillId="79" borderId="22" xfId="0" applyFont="1" applyFill="1" applyBorder="1" applyAlignment="1">
      <alignment vertical="center" wrapText="1"/>
    </xf>
    <xf numFmtId="14" fontId="18" fillId="79" borderId="22" xfId="0" applyNumberFormat="1" applyFont="1" applyFill="1" applyBorder="1" applyAlignment="1">
      <alignment horizontal="center" vertical="center"/>
    </xf>
    <xf numFmtId="0" fontId="0" fillId="0" borderId="22" xfId="0" applyBorder="1" applyAlignment="1">
      <alignment horizontal="center" vertical="center"/>
    </xf>
    <xf numFmtId="0" fontId="4" fillId="0" borderId="0" xfId="0" applyFont="1"/>
    <xf numFmtId="0" fontId="18" fillId="81" borderId="0" xfId="0" applyFont="1" applyFill="1"/>
    <xf numFmtId="0" fontId="123" fillId="0" borderId="0" xfId="0" applyFont="1" applyAlignment="1">
      <alignment horizontal="left" vertical="center"/>
    </xf>
    <xf numFmtId="0" fontId="125" fillId="0" borderId="0" xfId="0" applyFont="1"/>
    <xf numFmtId="0" fontId="127" fillId="0" borderId="0" xfId="0" applyFont="1" applyAlignment="1">
      <alignment horizontal="left" vertical="center" wrapText="1"/>
    </xf>
    <xf numFmtId="0" fontId="7" fillId="0" borderId="0" xfId="515" applyAlignment="1">
      <alignment horizontal="left" vertical="center"/>
    </xf>
    <xf numFmtId="0" fontId="20" fillId="0" borderId="0" xfId="0" applyFont="1" applyAlignment="1">
      <alignment horizontal="left"/>
    </xf>
    <xf numFmtId="0" fontId="20" fillId="0" borderId="0" xfId="0" applyFont="1" applyAlignment="1">
      <alignment horizontal="left" vertical="center"/>
    </xf>
    <xf numFmtId="0" fontId="7" fillId="0" borderId="0" xfId="515" applyAlignment="1">
      <alignment horizontal="left" vertical="center" indent="5"/>
    </xf>
    <xf numFmtId="0" fontId="7" fillId="0" borderId="0" xfId="515" applyAlignment="1">
      <alignment horizontal="left" indent="5"/>
    </xf>
    <xf numFmtId="0" fontId="7" fillId="0" borderId="0" xfId="515" applyAlignment="1">
      <alignment horizontal="left" indent="1"/>
    </xf>
    <xf numFmtId="0" fontId="7" fillId="0" borderId="0" xfId="0" applyFont="1" applyAlignment="1">
      <alignment horizontal="left" indent="5"/>
    </xf>
    <xf numFmtId="0" fontId="7" fillId="0" borderId="0" xfId="0" applyFont="1" applyAlignment="1">
      <alignment horizontal="left" indent="7"/>
    </xf>
    <xf numFmtId="0" fontId="7" fillId="0" borderId="0" xfId="0" applyFont="1" applyAlignment="1">
      <alignment horizontal="left" indent="1"/>
    </xf>
    <xf numFmtId="0" fontId="20" fillId="27" borderId="0" xfId="0" applyFont="1" applyFill="1" applyAlignment="1">
      <alignment horizontal="center" vertical="center" wrapText="1"/>
    </xf>
    <xf numFmtId="0" fontId="27" fillId="0" borderId="0" xfId="0" quotePrefix="1" applyFont="1"/>
    <xf numFmtId="0" fontId="20" fillId="0" borderId="25" xfId="0" applyFont="1" applyBorder="1" applyAlignment="1">
      <alignment horizontal="center" vertical="center"/>
    </xf>
    <xf numFmtId="0" fontId="7" fillId="0" borderId="25" xfId="0" applyFont="1" applyBorder="1" applyAlignment="1">
      <alignment horizontal="center" vertical="center"/>
    </xf>
    <xf numFmtId="1" fontId="7" fillId="36" borderId="32" xfId="515" applyNumberFormat="1" applyFill="1" applyBorder="1" applyAlignment="1" applyProtection="1">
      <alignment horizontal="center" vertical="center"/>
      <protection locked="0"/>
    </xf>
    <xf numFmtId="0" fontId="4" fillId="0" borderId="32" xfId="0" applyFont="1" applyBorder="1" applyAlignment="1">
      <alignment horizontal="left" vertical="center" wrapText="1"/>
    </xf>
    <xf numFmtId="1" fontId="7" fillId="36" borderId="22" xfId="515" applyNumberFormat="1" applyFill="1" applyBorder="1" applyAlignment="1" applyProtection="1">
      <alignment horizontal="center" vertical="center"/>
      <protection locked="0"/>
    </xf>
    <xf numFmtId="1" fontId="7" fillId="0" borderId="0" xfId="515" applyNumberFormat="1" applyAlignment="1">
      <alignment horizontal="center" vertical="center"/>
    </xf>
    <xf numFmtId="0" fontId="7" fillId="0" borderId="0" xfId="515" applyAlignment="1">
      <alignment horizontal="center" vertical="center"/>
    </xf>
    <xf numFmtId="0" fontId="124" fillId="0" borderId="0" xfId="0" applyFont="1" applyAlignment="1">
      <alignment horizontal="left" vertical="center"/>
    </xf>
    <xf numFmtId="0" fontId="73" fillId="75" borderId="22" xfId="0" applyFont="1" applyFill="1" applyBorder="1" applyAlignment="1">
      <alignment vertical="center"/>
    </xf>
    <xf numFmtId="1" fontId="11" fillId="0" borderId="51" xfId="0" applyNumberFormat="1" applyFont="1" applyBorder="1" applyAlignment="1">
      <alignment horizontal="center" vertical="center"/>
    </xf>
    <xf numFmtId="0" fontId="14" fillId="0" borderId="30" xfId="0" applyFont="1" applyBorder="1" applyAlignment="1">
      <alignment horizontal="center" vertical="center"/>
    </xf>
    <xf numFmtId="0" fontId="18" fillId="0" borderId="38" xfId="0" applyFont="1" applyBorder="1" applyAlignment="1">
      <alignment horizontal="center" vertical="center" wrapText="1"/>
    </xf>
    <xf numFmtId="0" fontId="11" fillId="82" borderId="0" xfId="0" applyFont="1" applyFill="1" applyAlignment="1">
      <alignment horizontal="center" vertical="top" wrapText="1"/>
    </xf>
    <xf numFmtId="0" fontId="11" fillId="82" borderId="0" xfId="0" applyFont="1" applyFill="1" applyAlignment="1">
      <alignment horizontal="center" wrapText="1"/>
    </xf>
    <xf numFmtId="0" fontId="11" fillId="82" borderId="80" xfId="0" applyFont="1" applyFill="1" applyBorder="1" applyAlignment="1">
      <alignment horizontal="center" wrapText="1"/>
    </xf>
    <xf numFmtId="0" fontId="11" fillId="82" borderId="80" xfId="0" applyFont="1" applyFill="1" applyBorder="1" applyAlignment="1">
      <alignment horizontal="center" vertical="top" wrapText="1"/>
    </xf>
    <xf numFmtId="1" fontId="11" fillId="82" borderId="80" xfId="0" applyNumberFormat="1" applyFont="1" applyFill="1" applyBorder="1" applyAlignment="1">
      <alignment horizontal="center" wrapText="1"/>
    </xf>
    <xf numFmtId="1" fontId="11" fillId="82" borderId="0" xfId="0" applyNumberFormat="1" applyFont="1" applyFill="1" applyAlignment="1">
      <alignment horizontal="center" wrapText="1"/>
    </xf>
    <xf numFmtId="0" fontId="11" fillId="82" borderId="0" xfId="0" applyFont="1" applyFill="1" applyAlignment="1">
      <alignment horizontal="center" vertical="center" wrapText="1"/>
    </xf>
    <xf numFmtId="0" fontId="11" fillId="82" borderId="49" xfId="0" applyFont="1" applyFill="1" applyBorder="1" applyAlignment="1">
      <alignment horizontal="center" vertical="top" wrapText="1"/>
    </xf>
    <xf numFmtId="0" fontId="11" fillId="82" borderId="52" xfId="0" applyFont="1" applyFill="1" applyBorder="1" applyAlignment="1">
      <alignment horizontal="center" wrapText="1"/>
    </xf>
    <xf numFmtId="0" fontId="11" fillId="0" borderId="22" xfId="0" applyFont="1" applyBorder="1" applyAlignment="1">
      <alignment horizontal="center" vertical="center"/>
    </xf>
    <xf numFmtId="9" fontId="18" fillId="33" borderId="22" xfId="0" applyNumberFormat="1" applyFont="1" applyFill="1" applyBorder="1" applyAlignment="1">
      <alignment horizontal="center"/>
    </xf>
    <xf numFmtId="9" fontId="18" fillId="33" borderId="22" xfId="425" applyFont="1" applyFill="1" applyBorder="1" applyAlignment="1" applyProtection="1">
      <alignment horizontal="center"/>
    </xf>
    <xf numFmtId="10" fontId="18" fillId="33" borderId="22" xfId="0" applyNumberFormat="1" applyFont="1" applyFill="1" applyBorder="1" applyAlignment="1">
      <alignment horizontal="center"/>
    </xf>
    <xf numFmtId="1" fontId="23" fillId="0" borderId="0" xfId="0" applyNumberFormat="1" applyFont="1"/>
    <xf numFmtId="0" fontId="11" fillId="83" borderId="22" xfId="0" applyFont="1" applyFill="1" applyBorder="1" applyAlignment="1">
      <alignment vertical="center"/>
    </xf>
    <xf numFmtId="0" fontId="131" fillId="0" borderId="0" xfId="0" applyFont="1"/>
    <xf numFmtId="0" fontId="3" fillId="0" borderId="0" xfId="0" applyFont="1" applyAlignment="1">
      <alignment horizontal="left"/>
    </xf>
    <xf numFmtId="0" fontId="3" fillId="0" borderId="0" xfId="0" applyFont="1"/>
    <xf numFmtId="0" fontId="22" fillId="0" borderId="0" xfId="0" applyFont="1" applyAlignment="1">
      <alignment horizontal="left"/>
    </xf>
    <xf numFmtId="0" fontId="22" fillId="0" borderId="0" xfId="0" applyFont="1"/>
    <xf numFmtId="0" fontId="131" fillId="0" borderId="0" xfId="0" applyFont="1" applyAlignment="1">
      <alignment horizontal="left"/>
    </xf>
    <xf numFmtId="0" fontId="22" fillId="0" borderId="87" xfId="0" applyFont="1" applyBorder="1" applyAlignment="1" applyProtection="1">
      <alignment horizontal="left" vertical="center"/>
      <protection locked="0"/>
    </xf>
    <xf numFmtId="0" fontId="22" fillId="0" borderId="90" xfId="0" applyFont="1" applyBorder="1" applyAlignment="1" applyProtection="1">
      <alignment horizontal="left" vertical="center"/>
      <protection locked="0"/>
    </xf>
    <xf numFmtId="0" fontId="11" fillId="0" borderId="18" xfId="0" applyFont="1" applyBorder="1" applyAlignment="1">
      <alignment vertical="center" wrapText="1"/>
    </xf>
    <xf numFmtId="1" fontId="12" fillId="30" borderId="18" xfId="0" applyNumberFormat="1" applyFont="1" applyFill="1" applyBorder="1" applyAlignment="1" applyProtection="1">
      <alignment horizontal="center" vertical="center"/>
      <protection locked="0"/>
    </xf>
    <xf numFmtId="10" fontId="12" fillId="27" borderId="18" xfId="425" applyNumberFormat="1" applyFont="1" applyFill="1" applyBorder="1" applyAlignment="1" applyProtection="1">
      <alignment horizontal="center" vertical="center" wrapText="1"/>
    </xf>
    <xf numFmtId="0" fontId="18" fillId="0" borderId="0" xfId="0" applyFont="1" applyAlignment="1">
      <alignment wrapText="1"/>
    </xf>
    <xf numFmtId="0" fontId="18" fillId="32" borderId="94" xfId="0" applyFont="1" applyFill="1" applyBorder="1" applyAlignment="1">
      <alignment horizontal="center" vertical="center"/>
    </xf>
    <xf numFmtId="0" fontId="18" fillId="32" borderId="94" xfId="0" applyFont="1" applyFill="1" applyBorder="1" applyAlignment="1">
      <alignment horizontal="center" vertical="center" wrapText="1"/>
    </xf>
    <xf numFmtId="0" fontId="18" fillId="39" borderId="94" xfId="0" applyFont="1" applyFill="1" applyBorder="1" applyAlignment="1">
      <alignment horizontal="center" vertical="center"/>
    </xf>
    <xf numFmtId="49" fontId="18" fillId="39" borderId="93" xfId="0" applyNumberFormat="1" applyFont="1" applyFill="1" applyBorder="1" applyAlignment="1">
      <alignment horizontal="center" vertical="center"/>
    </xf>
    <xf numFmtId="49" fontId="18" fillId="39" borderId="58" xfId="0" applyNumberFormat="1" applyFont="1" applyFill="1" applyBorder="1" applyAlignment="1">
      <alignment horizontal="center" vertical="center"/>
    </xf>
    <xf numFmtId="14" fontId="18" fillId="86" borderId="37" xfId="0" applyNumberFormat="1" applyFont="1" applyFill="1" applyBorder="1" applyAlignment="1">
      <alignment horizontal="left" vertical="center"/>
    </xf>
    <xf numFmtId="1" fontId="18" fillId="85" borderId="18" xfId="0" applyNumberFormat="1" applyFont="1" applyFill="1" applyBorder="1" applyAlignment="1">
      <alignment horizontal="center" vertical="center"/>
    </xf>
    <xf numFmtId="0" fontId="18" fillId="32" borderId="41" xfId="0" applyFont="1" applyFill="1" applyBorder="1" applyAlignment="1">
      <alignment horizontal="center" vertical="center" wrapText="1"/>
    </xf>
    <xf numFmtId="0" fontId="36" fillId="0" borderId="62" xfId="0" applyFont="1" applyBorder="1" applyAlignment="1">
      <alignment horizontal="center" vertical="center" wrapText="1"/>
    </xf>
    <xf numFmtId="1" fontId="11" fillId="0" borderId="59" xfId="0" applyNumberFormat="1" applyFont="1" applyBorder="1" applyAlignment="1">
      <alignment horizontal="center" vertical="center"/>
    </xf>
    <xf numFmtId="1" fontId="18" fillId="30" borderId="30" xfId="0" applyNumberFormat="1" applyFont="1" applyFill="1" applyBorder="1" applyAlignment="1" applyProtection="1">
      <alignment horizontal="center" vertical="center"/>
      <protection locked="0"/>
    </xf>
    <xf numFmtId="0" fontId="18" fillId="76" borderId="22" xfId="0" applyFont="1" applyFill="1" applyBorder="1" applyAlignment="1">
      <alignment horizontal="center" vertical="center" wrapText="1"/>
    </xf>
    <xf numFmtId="0" fontId="18" fillId="76" borderId="22" xfId="0" applyFont="1" applyFill="1" applyBorder="1" applyAlignment="1">
      <alignment horizontal="center" vertical="center"/>
    </xf>
    <xf numFmtId="0" fontId="11" fillId="76" borderId="22" xfId="0" applyFont="1" applyFill="1" applyBorder="1" applyAlignment="1">
      <alignment vertical="center"/>
    </xf>
    <xf numFmtId="0" fontId="18" fillId="76" borderId="43" xfId="0" applyFont="1" applyFill="1" applyBorder="1" applyAlignment="1">
      <alignment horizontal="center" vertical="center"/>
    </xf>
    <xf numFmtId="0" fontId="18" fillId="76" borderId="40" xfId="0" applyFont="1" applyFill="1" applyBorder="1" applyAlignment="1">
      <alignment horizontal="center" vertical="center"/>
    </xf>
    <xf numFmtId="0" fontId="11" fillId="76" borderId="40" xfId="0" applyFont="1" applyFill="1" applyBorder="1" applyAlignment="1">
      <alignment vertical="center"/>
    </xf>
    <xf numFmtId="0" fontId="18" fillId="76" borderId="40" xfId="0" applyFont="1" applyFill="1" applyBorder="1" applyAlignment="1">
      <alignment vertical="center"/>
    </xf>
    <xf numFmtId="0" fontId="18" fillId="76" borderId="45" xfId="0" applyFont="1" applyFill="1" applyBorder="1" applyAlignment="1">
      <alignment horizontal="center" vertical="center"/>
    </xf>
    <xf numFmtId="0" fontId="11" fillId="88" borderId="22" xfId="0" applyFont="1" applyFill="1" applyBorder="1" applyAlignment="1">
      <alignment vertical="center"/>
    </xf>
    <xf numFmtId="0" fontId="11" fillId="88" borderId="40" xfId="0" applyFont="1" applyFill="1" applyBorder="1" applyAlignment="1">
      <alignment vertical="center"/>
    </xf>
    <xf numFmtId="1" fontId="18" fillId="30" borderId="33" xfId="0" applyNumberFormat="1" applyFont="1" applyFill="1" applyBorder="1" applyAlignment="1">
      <alignment horizontal="center" vertical="center"/>
    </xf>
    <xf numFmtId="1" fontId="18" fillId="87" borderId="22" xfId="454" applyNumberFormat="1" applyFont="1" applyFill="1" applyBorder="1" applyAlignment="1" applyProtection="1">
      <alignment horizontal="center"/>
    </xf>
    <xf numFmtId="10" fontId="18" fillId="87" borderId="22" xfId="0" applyNumberFormat="1" applyFont="1" applyFill="1" applyBorder="1" applyAlignment="1">
      <alignment horizontal="center"/>
    </xf>
    <xf numFmtId="9" fontId="18" fillId="87" borderId="22" xfId="425" applyFont="1" applyFill="1" applyBorder="1" applyAlignment="1" applyProtection="1">
      <alignment horizontal="center"/>
    </xf>
    <xf numFmtId="9" fontId="18" fillId="87" borderId="22" xfId="454" applyFont="1" applyFill="1" applyBorder="1" applyAlignment="1" applyProtection="1">
      <alignment horizontal="center"/>
    </xf>
    <xf numFmtId="9" fontId="18" fillId="87" borderId="22" xfId="0" applyNumberFormat="1" applyFont="1" applyFill="1" applyBorder="1" applyAlignment="1">
      <alignment horizontal="center"/>
    </xf>
    <xf numFmtId="0" fontId="18" fillId="87" borderId="22" xfId="0" applyFont="1" applyFill="1" applyBorder="1" applyAlignment="1">
      <alignment horizontal="center"/>
    </xf>
    <xf numFmtId="2" fontId="70" fillId="87" borderId="22" xfId="0" applyNumberFormat="1" applyFont="1" applyFill="1" applyBorder="1" applyAlignment="1">
      <alignment horizontal="center" vertical="center"/>
    </xf>
    <xf numFmtId="10" fontId="18" fillId="0" borderId="0" xfId="0" applyNumberFormat="1" applyFont="1" applyAlignment="1">
      <alignment horizontal="center"/>
    </xf>
    <xf numFmtId="0" fontId="31" fillId="0" borderId="0" xfId="0" applyFont="1" applyAlignment="1">
      <alignment vertical="top" wrapText="1"/>
    </xf>
    <xf numFmtId="0" fontId="26" fillId="0" borderId="0" xfId="0" applyFont="1" applyAlignment="1">
      <alignment horizontal="left" vertical="center"/>
    </xf>
    <xf numFmtId="0" fontId="18" fillId="75" borderId="22" xfId="0" applyFont="1" applyFill="1" applyBorder="1" applyAlignment="1">
      <alignment vertical="center"/>
    </xf>
    <xf numFmtId="0" fontId="18" fillId="89" borderId="32" xfId="0" applyFont="1" applyFill="1" applyBorder="1" applyAlignment="1">
      <alignment vertical="center"/>
    </xf>
    <xf numFmtId="0" fontId="18" fillId="89" borderId="35" xfId="0" applyFont="1" applyFill="1" applyBorder="1" applyAlignment="1">
      <alignment vertical="center"/>
    </xf>
    <xf numFmtId="0" fontId="18" fillId="89" borderId="35" xfId="0" applyFont="1" applyFill="1" applyBorder="1" applyAlignment="1">
      <alignment horizontal="left" vertical="center"/>
    </xf>
    <xf numFmtId="0" fontId="18" fillId="89" borderId="36" xfId="0" applyFont="1" applyFill="1" applyBorder="1" applyAlignment="1">
      <alignment vertical="center"/>
    </xf>
    <xf numFmtId="1" fontId="18" fillId="75" borderId="0" xfId="0" applyNumberFormat="1" applyFont="1" applyFill="1" applyAlignment="1">
      <alignment vertical="center"/>
    </xf>
    <xf numFmtId="0" fontId="73" fillId="75" borderId="0" xfId="0" applyFont="1" applyFill="1" applyAlignment="1">
      <alignment vertical="center"/>
    </xf>
    <xf numFmtId="0" fontId="12" fillId="75" borderId="0" xfId="548" applyFont="1" applyFill="1" applyAlignment="1">
      <alignment vertical="center"/>
    </xf>
    <xf numFmtId="0" fontId="2" fillId="0" borderId="25" xfId="0" applyFont="1" applyBorder="1" applyAlignment="1">
      <alignment horizontal="left" vertical="center" wrapText="1"/>
    </xf>
    <xf numFmtId="0" fontId="18" fillId="32" borderId="95" xfId="0" applyFont="1" applyFill="1" applyBorder="1" applyAlignment="1">
      <alignment horizontal="center" vertical="center"/>
    </xf>
    <xf numFmtId="0" fontId="36" fillId="85" borderId="96" xfId="0" applyFont="1" applyFill="1" applyBorder="1" applyAlignment="1">
      <alignment horizontal="center" vertical="center" wrapText="1"/>
    </xf>
    <xf numFmtId="0" fontId="14" fillId="85" borderId="19" xfId="0" applyFont="1" applyFill="1" applyBorder="1" applyAlignment="1">
      <alignment horizontal="center" vertical="center" wrapText="1"/>
    </xf>
    <xf numFmtId="0" fontId="14" fillId="85" borderId="18" xfId="0" applyFont="1" applyFill="1" applyBorder="1" applyAlignment="1">
      <alignment horizontal="center" vertical="center" wrapText="1"/>
    </xf>
    <xf numFmtId="0" fontId="11" fillId="85" borderId="18" xfId="0" applyFont="1" applyFill="1" applyBorder="1" applyAlignment="1">
      <alignment horizontal="center" vertical="center" wrapText="1"/>
    </xf>
    <xf numFmtId="0" fontId="11" fillId="85" borderId="19" xfId="0" applyFont="1" applyFill="1" applyBorder="1" applyAlignment="1">
      <alignment horizontal="center" vertical="center" wrapText="1"/>
    </xf>
    <xf numFmtId="0" fontId="11" fillId="85" borderId="60" xfId="0" applyFont="1" applyFill="1" applyBorder="1" applyAlignment="1">
      <alignment horizontal="center" vertical="center" wrapText="1"/>
    </xf>
    <xf numFmtId="0" fontId="11" fillId="85" borderId="20" xfId="0" applyFont="1" applyFill="1" applyBorder="1" applyAlignment="1">
      <alignment horizontal="center" vertical="center" wrapText="1"/>
    </xf>
    <xf numFmtId="0" fontId="18" fillId="87" borderId="0" xfId="0" applyFont="1" applyFill="1" applyAlignment="1">
      <alignment vertical="center"/>
    </xf>
    <xf numFmtId="0" fontId="7" fillId="0" borderId="0" xfId="0" applyFont="1" applyAlignment="1">
      <alignment vertical="center"/>
    </xf>
    <xf numFmtId="1" fontId="70" fillId="76" borderId="22" xfId="0" applyNumberFormat="1" applyFont="1" applyFill="1" applyBorder="1" applyAlignment="1">
      <alignment horizontal="center" vertical="center"/>
    </xf>
    <xf numFmtId="2" fontId="70" fillId="76" borderId="22" xfId="0" applyNumberFormat="1" applyFont="1" applyFill="1" applyBorder="1" applyAlignment="1">
      <alignment horizontal="center" vertical="center"/>
    </xf>
    <xf numFmtId="9" fontId="18" fillId="80" borderId="22" xfId="0" applyNumberFormat="1" applyFont="1" applyFill="1" applyBorder="1" applyAlignment="1">
      <alignment horizontal="center"/>
    </xf>
    <xf numFmtId="9" fontId="18" fillId="80" borderId="22" xfId="454" applyFont="1" applyFill="1" applyBorder="1" applyAlignment="1" applyProtection="1">
      <alignment horizontal="center"/>
    </xf>
    <xf numFmtId="2" fontId="18" fillId="33" borderId="22" xfId="454" applyNumberFormat="1" applyFont="1" applyFill="1" applyBorder="1" applyAlignment="1" applyProtection="1">
      <alignment horizontal="center"/>
    </xf>
    <xf numFmtId="2" fontId="18" fillId="80" borderId="22" xfId="0" applyNumberFormat="1" applyFont="1" applyFill="1" applyBorder="1" applyAlignment="1">
      <alignment horizontal="center"/>
    </xf>
    <xf numFmtId="0" fontId="18" fillId="80" borderId="22" xfId="454" applyNumberFormat="1" applyFont="1" applyFill="1" applyBorder="1" applyAlignment="1" applyProtection="1">
      <alignment horizontal="center"/>
    </xf>
    <xf numFmtId="0" fontId="18" fillId="80" borderId="22" xfId="0" applyFont="1" applyFill="1" applyBorder="1" applyAlignment="1">
      <alignment horizontal="center"/>
    </xf>
    <xf numFmtId="9" fontId="18" fillId="80" borderId="22" xfId="425" applyFont="1" applyFill="1" applyBorder="1" applyAlignment="1" applyProtection="1">
      <alignment horizontal="center"/>
    </xf>
    <xf numFmtId="1" fontId="18" fillId="80" borderId="22" xfId="454" applyNumberFormat="1" applyFont="1" applyFill="1" applyBorder="1" applyAlignment="1" applyProtection="1">
      <alignment horizontal="center"/>
    </xf>
    <xf numFmtId="0" fontId="1" fillId="0" borderId="0" xfId="0" applyFont="1"/>
    <xf numFmtId="0" fontId="1" fillId="0" borderId="22" xfId="0" applyFont="1" applyBorder="1" applyAlignment="1">
      <alignment horizontal="left" vertical="center" wrapText="1"/>
    </xf>
    <xf numFmtId="0" fontId="4" fillId="0" borderId="0" xfId="0" applyFont="1" applyAlignment="1">
      <alignment horizontal="left" vertical="center" wrapText="1"/>
    </xf>
    <xf numFmtId="1" fontId="12" fillId="28" borderId="18" xfId="0" applyNumberFormat="1" applyFont="1" applyFill="1" applyBorder="1" applyAlignment="1">
      <alignment horizontal="center" vertical="center" wrapText="1"/>
    </xf>
    <xf numFmtId="0" fontId="26" fillId="0" borderId="0" xfId="0" applyFont="1" applyAlignment="1">
      <alignment vertical="center"/>
    </xf>
    <xf numFmtId="165" fontId="11" fillId="0" borderId="0" xfId="426" applyNumberFormat="1" applyFont="1" applyFill="1" applyBorder="1" applyAlignment="1" applyProtection="1">
      <alignment vertical="center"/>
    </xf>
    <xf numFmtId="165" fontId="11" fillId="91" borderId="19" xfId="426" applyNumberFormat="1" applyFont="1" applyFill="1" applyBorder="1" applyAlignment="1" applyProtection="1">
      <alignment horizontal="center" vertical="center"/>
    </xf>
    <xf numFmtId="9" fontId="11" fillId="91" borderId="18" xfId="426" applyFont="1" applyFill="1" applyBorder="1" applyAlignment="1" applyProtection="1">
      <alignment horizontal="center" vertical="center"/>
    </xf>
    <xf numFmtId="165" fontId="11" fillId="92" borderId="59" xfId="426" applyNumberFormat="1" applyFont="1" applyFill="1" applyBorder="1" applyAlignment="1" applyProtection="1">
      <alignment horizontal="center" vertical="center"/>
    </xf>
    <xf numFmtId="165" fontId="11" fillId="92" borderId="30" xfId="426" applyNumberFormat="1" applyFont="1" applyFill="1" applyBorder="1" applyAlignment="1" applyProtection="1">
      <alignment horizontal="center" vertical="center"/>
    </xf>
    <xf numFmtId="165" fontId="11" fillId="0" borderId="0" xfId="426" applyNumberFormat="1" applyFont="1" applyFill="1" applyBorder="1" applyAlignment="1" applyProtection="1">
      <alignment vertical="center" wrapText="1"/>
    </xf>
    <xf numFmtId="165" fontId="11" fillId="0" borderId="19" xfId="426" applyNumberFormat="1" applyFont="1" applyFill="1" applyBorder="1" applyAlignment="1" applyProtection="1">
      <alignment horizontal="center" vertical="center"/>
    </xf>
    <xf numFmtId="165" fontId="11" fillId="94" borderId="23" xfId="426" applyNumberFormat="1" applyFont="1" applyFill="1" applyBorder="1" applyAlignment="1" applyProtection="1">
      <alignment horizontal="center" vertical="center"/>
    </xf>
    <xf numFmtId="165" fontId="11" fillId="94" borderId="34" xfId="426" applyNumberFormat="1" applyFont="1" applyFill="1" applyBorder="1" applyAlignment="1" applyProtection="1">
      <alignment horizontal="center" vertical="center"/>
    </xf>
    <xf numFmtId="165" fontId="11" fillId="94" borderId="19" xfId="426" applyNumberFormat="1" applyFont="1" applyFill="1" applyBorder="1" applyAlignment="1" applyProtection="1">
      <alignment horizontal="center" vertical="center"/>
    </xf>
    <xf numFmtId="165" fontId="11" fillId="94" borderId="18" xfId="426" applyNumberFormat="1" applyFont="1" applyFill="1" applyBorder="1" applyAlignment="1" applyProtection="1">
      <alignment horizontal="center" vertical="center"/>
    </xf>
    <xf numFmtId="165" fontId="11" fillId="0" borderId="34" xfId="426" applyNumberFormat="1" applyFont="1" applyFill="1" applyBorder="1" applyAlignment="1" applyProtection="1">
      <alignment horizontal="center" vertical="top" wrapText="1"/>
    </xf>
    <xf numFmtId="0" fontId="26" fillId="0" borderId="0" xfId="0" applyFont="1" applyAlignment="1">
      <alignment vertical="top"/>
    </xf>
    <xf numFmtId="49" fontId="23" fillId="0" borderId="0" xfId="0" applyNumberFormat="1" applyFont="1"/>
    <xf numFmtId="1" fontId="70" fillId="87" borderId="22" xfId="0" applyNumberFormat="1" applyFont="1" applyFill="1" applyBorder="1" applyAlignment="1">
      <alignment horizontal="center" vertical="center"/>
    </xf>
    <xf numFmtId="0" fontId="18" fillId="0" borderId="35" xfId="0" applyFont="1" applyBorder="1" applyAlignment="1">
      <alignment horizontal="left" vertical="center"/>
    </xf>
    <xf numFmtId="0" fontId="126" fillId="0" borderId="79" xfId="0" applyFont="1" applyBorder="1" applyAlignment="1">
      <alignment horizontal="left" vertical="center" wrapText="1"/>
    </xf>
    <xf numFmtId="0" fontId="126" fillId="0" borderId="79" xfId="0" applyFont="1" applyBorder="1" applyAlignment="1">
      <alignment horizontal="left" vertical="center"/>
    </xf>
    <xf numFmtId="0" fontId="136" fillId="0" borderId="22" xfId="0" applyFont="1" applyBorder="1" applyAlignment="1">
      <alignment horizontal="left" vertical="center" wrapText="1"/>
    </xf>
    <xf numFmtId="1" fontId="136" fillId="36" borderId="22" xfId="515" applyNumberFormat="1" applyFont="1" applyFill="1" applyBorder="1" applyAlignment="1" applyProtection="1">
      <alignment horizontal="center" vertical="center"/>
      <protection locked="0"/>
    </xf>
    <xf numFmtId="0" fontId="136" fillId="0" borderId="22" xfId="515" applyFont="1" applyBorder="1" applyAlignment="1">
      <alignment horizontal="center" vertical="center"/>
    </xf>
    <xf numFmtId="0" fontId="0" fillId="0" borderId="0" xfId="0" applyAlignment="1">
      <alignment vertical="center" wrapText="1"/>
    </xf>
    <xf numFmtId="0" fontId="141" fillId="0" borderId="21" xfId="0" applyFont="1" applyBorder="1" applyAlignment="1">
      <alignment vertical="center" wrapText="1"/>
    </xf>
    <xf numFmtId="1" fontId="145" fillId="30" borderId="18" xfId="0" applyNumberFormat="1" applyFont="1" applyFill="1" applyBorder="1" applyAlignment="1" applyProtection="1">
      <alignment horizontal="center" vertical="center"/>
      <protection locked="0"/>
    </xf>
    <xf numFmtId="0" fontId="141" fillId="0" borderId="18" xfId="0" applyFont="1" applyBorder="1" applyAlignment="1">
      <alignment vertical="center" wrapText="1"/>
    </xf>
    <xf numFmtId="10" fontId="145" fillId="27" borderId="18" xfId="425" applyNumberFormat="1" applyFont="1" applyFill="1" applyBorder="1" applyAlignment="1" applyProtection="1">
      <alignment horizontal="center" vertical="center" wrapText="1"/>
    </xf>
    <xf numFmtId="1" fontId="145" fillId="28" borderId="18" xfId="0" quotePrefix="1" applyNumberFormat="1" applyFont="1" applyFill="1" applyBorder="1" applyAlignment="1">
      <alignment horizontal="center" vertical="center" wrapText="1"/>
    </xf>
    <xf numFmtId="166" fontId="70" fillId="0" borderId="22" xfId="0" applyNumberFormat="1" applyFont="1" applyBorder="1" applyAlignment="1">
      <alignment horizontal="center" vertical="center"/>
    </xf>
    <xf numFmtId="0" fontId="23" fillId="0" borderId="22" xfId="0" applyFont="1" applyBorder="1" applyAlignment="1">
      <alignment horizontal="left" vertical="center"/>
    </xf>
    <xf numFmtId="0" fontId="27" fillId="30" borderId="18" xfId="0" applyFont="1" applyFill="1" applyBorder="1" applyAlignment="1" applyProtection="1">
      <alignment vertical="center" wrapText="1"/>
      <protection locked="0"/>
    </xf>
    <xf numFmtId="0" fontId="22" fillId="30" borderId="18" xfId="0" applyFont="1" applyFill="1" applyBorder="1" applyAlignment="1" applyProtection="1">
      <alignment vertical="center" wrapText="1"/>
      <protection locked="0"/>
    </xf>
    <xf numFmtId="0" fontId="27" fillId="30" borderId="30" xfId="0" applyFont="1" applyFill="1" applyBorder="1" applyAlignment="1" applyProtection="1">
      <alignment vertical="center" wrapText="1"/>
      <protection locked="0"/>
    </xf>
    <xf numFmtId="0" fontId="22" fillId="30" borderId="30" xfId="0" applyFont="1" applyFill="1" applyBorder="1" applyAlignment="1" applyProtection="1">
      <alignment vertical="center" wrapText="1"/>
      <protection locked="0"/>
    </xf>
    <xf numFmtId="0" fontId="36" fillId="0" borderId="18" xfId="0" quotePrefix="1" applyFont="1" applyBorder="1" applyAlignment="1">
      <alignment horizontal="center" vertical="center" wrapText="1"/>
    </xf>
    <xf numFmtId="0" fontId="18" fillId="84" borderId="22" xfId="0" applyFont="1" applyFill="1" applyBorder="1" applyAlignment="1">
      <alignment horizontal="center"/>
    </xf>
    <xf numFmtId="9" fontId="18" fillId="84" borderId="22" xfId="454" applyFont="1" applyFill="1" applyBorder="1" applyAlignment="1" applyProtection="1">
      <alignment horizontal="center"/>
    </xf>
    <xf numFmtId="1" fontId="18" fillId="84" borderId="22" xfId="454" applyNumberFormat="1" applyFont="1" applyFill="1" applyBorder="1" applyAlignment="1" applyProtection="1">
      <alignment horizontal="center"/>
    </xf>
    <xf numFmtId="1" fontId="11" fillId="95" borderId="18" xfId="515" applyNumberFormat="1" applyFont="1" applyFill="1" applyBorder="1" applyAlignment="1">
      <alignment horizontal="center" vertical="center"/>
    </xf>
    <xf numFmtId="10" fontId="11" fillId="0" borderId="18" xfId="515" applyNumberFormat="1" applyFont="1" applyBorder="1" applyAlignment="1">
      <alignment horizontal="center" vertical="center"/>
    </xf>
    <xf numFmtId="0" fontId="22" fillId="0" borderId="0" xfId="0" applyFont="1" applyAlignment="1">
      <alignment vertical="center"/>
    </xf>
    <xf numFmtId="0" fontId="18" fillId="37" borderId="30" xfId="0" applyFont="1" applyFill="1" applyBorder="1" applyAlignment="1" applyProtection="1">
      <alignment horizontal="center" vertical="center" wrapText="1"/>
      <protection locked="0"/>
    </xf>
    <xf numFmtId="0" fontId="27" fillId="0" borderId="22" xfId="0" applyFont="1" applyBorder="1"/>
    <xf numFmtId="1" fontId="18" fillId="87" borderId="22" xfId="0" applyNumberFormat="1" applyFont="1" applyFill="1" applyBorder="1" applyAlignment="1">
      <alignment horizontal="center"/>
    </xf>
    <xf numFmtId="0" fontId="18" fillId="96" borderId="30" xfId="0" applyFont="1" applyFill="1" applyBorder="1" applyAlignment="1" applyProtection="1">
      <alignment horizontal="left" vertical="center" wrapText="1"/>
      <protection locked="0"/>
    </xf>
    <xf numFmtId="49" fontId="18" fillId="96" borderId="30" xfId="0" applyNumberFormat="1" applyFont="1" applyFill="1" applyBorder="1" applyAlignment="1" applyProtection="1">
      <alignment horizontal="center" vertical="center" wrapText="1"/>
      <protection locked="0"/>
    </xf>
    <xf numFmtId="1" fontId="11" fillId="97" borderId="18" xfId="515" applyNumberFormat="1" applyFont="1" applyFill="1" applyBorder="1" applyAlignment="1" applyProtection="1">
      <alignment horizontal="center" vertical="center"/>
      <protection locked="0"/>
    </xf>
    <xf numFmtId="49" fontId="7" fillId="36" borderId="32" xfId="515" applyNumberFormat="1" applyFill="1" applyBorder="1" applyAlignment="1" applyProtection="1">
      <alignment horizontal="left" vertical="center"/>
      <protection locked="0"/>
    </xf>
    <xf numFmtId="49" fontId="7" fillId="36" borderId="35" xfId="515" applyNumberFormat="1" applyFill="1" applyBorder="1" applyAlignment="1" applyProtection="1">
      <alignment horizontal="left" vertical="center"/>
      <protection locked="0"/>
    </xf>
    <xf numFmtId="49" fontId="7" fillId="36" borderId="36" xfId="515" applyNumberFormat="1" applyFill="1" applyBorder="1" applyAlignment="1" applyProtection="1">
      <alignment horizontal="left" vertical="center"/>
      <protection locked="0"/>
    </xf>
    <xf numFmtId="0" fontId="18" fillId="0" borderId="0" xfId="0" applyFont="1" applyAlignment="1">
      <alignment horizontal="justify" vertical="justify" wrapText="1"/>
    </xf>
    <xf numFmtId="0" fontId="18" fillId="0" borderId="0" xfId="0" applyFont="1" applyAlignment="1">
      <alignment horizontal="justify" vertical="justify"/>
    </xf>
    <xf numFmtId="0" fontId="18" fillId="0" borderId="0" xfId="0" applyFont="1"/>
    <xf numFmtId="0" fontId="2" fillId="0" borderId="25" xfId="0" applyFont="1" applyBorder="1" applyAlignment="1">
      <alignment horizontal="center" vertical="center" wrapText="1"/>
    </xf>
    <xf numFmtId="0" fontId="125" fillId="0" borderId="37" xfId="0" applyFont="1" applyBorder="1"/>
    <xf numFmtId="0" fontId="116" fillId="0" borderId="0" xfId="0" applyFont="1" applyAlignment="1">
      <alignment horizontal="justify" vertical="center" wrapText="1"/>
    </xf>
    <xf numFmtId="0" fontId="125" fillId="0" borderId="0" xfId="0" applyFont="1" applyAlignment="1">
      <alignment horizontal="justify" vertical="center"/>
    </xf>
    <xf numFmtId="0" fontId="20" fillId="0" borderId="22" xfId="0" applyFont="1" applyBorder="1" applyAlignment="1">
      <alignment horizontal="center" vertical="center"/>
    </xf>
    <xf numFmtId="0" fontId="20" fillId="0" borderId="22" xfId="0" applyFont="1" applyBorder="1" applyAlignment="1">
      <alignment vertical="center"/>
    </xf>
    <xf numFmtId="0" fontId="128" fillId="0" borderId="32" xfId="0" applyFont="1" applyBorder="1" applyAlignment="1">
      <alignment horizontal="left" vertical="center" wrapText="1"/>
    </xf>
    <xf numFmtId="0" fontId="128" fillId="0" borderId="35" xfId="0" applyFont="1" applyBorder="1" applyAlignment="1">
      <alignment horizontal="left" vertical="center" wrapText="1"/>
    </xf>
    <xf numFmtId="0" fontId="128" fillId="0" borderId="36" xfId="0" applyFont="1" applyBorder="1" applyAlignment="1">
      <alignment horizontal="left" vertical="center" wrapText="1"/>
    </xf>
    <xf numFmtId="0" fontId="18" fillId="0" borderId="0" xfId="0" applyFont="1" applyAlignment="1">
      <alignment horizontal="left" vertical="center" wrapText="1"/>
    </xf>
    <xf numFmtId="0" fontId="126" fillId="0" borderId="0" xfId="0" applyFont="1" applyAlignment="1">
      <alignment horizontal="left" vertical="center" wrapText="1"/>
    </xf>
    <xf numFmtId="0" fontId="126" fillId="0" borderId="0" xfId="0" applyFont="1" applyAlignment="1">
      <alignment horizontal="left" vertical="center"/>
    </xf>
    <xf numFmtId="0" fontId="125" fillId="0" borderId="36" xfId="0" applyFont="1" applyBorder="1" applyAlignment="1" applyProtection="1">
      <alignment horizontal="left"/>
      <protection locked="0"/>
    </xf>
    <xf numFmtId="14" fontId="7" fillId="36" borderId="32" xfId="515" applyNumberFormat="1" applyFill="1" applyBorder="1" applyAlignment="1" applyProtection="1">
      <alignment horizontal="center" vertical="center"/>
      <protection locked="0"/>
    </xf>
    <xf numFmtId="14" fontId="7" fillId="36" borderId="35" xfId="515" applyNumberFormat="1" applyFill="1" applyBorder="1" applyAlignment="1" applyProtection="1">
      <alignment horizontal="center" vertical="center"/>
      <protection locked="0"/>
    </xf>
    <xf numFmtId="0" fontId="20" fillId="0" borderId="36" xfId="0" applyFont="1" applyBorder="1" applyProtection="1">
      <protection locked="0"/>
    </xf>
    <xf numFmtId="0" fontId="4" fillId="0" borderId="35" xfId="515" applyFont="1" applyBorder="1" applyAlignment="1">
      <alignment horizontal="center" vertical="center"/>
    </xf>
    <xf numFmtId="0" fontId="4" fillId="0" borderId="36" xfId="515" applyFont="1" applyBorder="1" applyAlignment="1">
      <alignment horizontal="center" vertical="center"/>
    </xf>
    <xf numFmtId="0" fontId="7" fillId="0" borderId="32" xfId="515" applyBorder="1" applyAlignment="1">
      <alignment horizontal="center" vertical="center" wrapText="1"/>
    </xf>
    <xf numFmtId="0" fontId="7" fillId="0" borderId="35" xfId="515" applyBorder="1" applyAlignment="1">
      <alignment horizontal="center" vertical="center" wrapText="1"/>
    </xf>
    <xf numFmtId="0" fontId="7" fillId="0" borderId="36" xfId="515" applyBorder="1" applyAlignment="1">
      <alignment horizontal="center" vertical="center" wrapText="1"/>
    </xf>
    <xf numFmtId="0" fontId="7" fillId="0" borderId="32" xfId="515" applyBorder="1" applyAlignment="1">
      <alignment horizontal="center" vertical="center"/>
    </xf>
    <xf numFmtId="0" fontId="7" fillId="0" borderId="35" xfId="515" applyBorder="1" applyAlignment="1">
      <alignment horizontal="center" vertical="center"/>
    </xf>
    <xf numFmtId="0" fontId="7" fillId="0" borderId="36" xfId="515" applyBorder="1" applyAlignment="1">
      <alignment horizontal="center" vertical="center"/>
    </xf>
    <xf numFmtId="0" fontId="7" fillId="36" borderId="32" xfId="515" applyFill="1" applyBorder="1" applyAlignment="1" applyProtection="1">
      <alignment horizontal="center" vertical="center"/>
      <protection locked="0"/>
    </xf>
    <xf numFmtId="0" fontId="7" fillId="36" borderId="35" xfId="515" applyFill="1" applyBorder="1" applyAlignment="1" applyProtection="1">
      <alignment horizontal="center" vertical="center"/>
      <protection locked="0"/>
    </xf>
    <xf numFmtId="0" fontId="7" fillId="36" borderId="36" xfId="515" applyFill="1" applyBorder="1" applyAlignment="1" applyProtection="1">
      <alignment horizontal="center" vertical="center"/>
      <protection locked="0"/>
    </xf>
    <xf numFmtId="0" fontId="7" fillId="0" borderId="22" xfId="515" applyBorder="1" applyAlignment="1">
      <alignment horizontal="center" vertical="center" wrapText="1"/>
    </xf>
    <xf numFmtId="0" fontId="7" fillId="36" borderId="22" xfId="515" applyFill="1" applyBorder="1" applyAlignment="1" applyProtection="1">
      <alignment horizontal="center" vertical="center"/>
      <protection locked="0"/>
    </xf>
    <xf numFmtId="0" fontId="20" fillId="0" borderId="32"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14" fontId="7" fillId="36" borderId="32" xfId="515" applyNumberFormat="1" applyFill="1" applyBorder="1" applyAlignment="1" applyProtection="1">
      <alignment horizontal="left" vertical="center"/>
      <protection locked="0"/>
    </xf>
    <xf numFmtId="14" fontId="7" fillId="36" borderId="36" xfId="515" applyNumberFormat="1" applyFill="1" applyBorder="1" applyAlignment="1" applyProtection="1">
      <alignment horizontal="left" vertical="center"/>
      <protection locked="0"/>
    </xf>
    <xf numFmtId="0" fontId="124" fillId="0" borderId="0" xfId="0" applyFont="1" applyAlignment="1">
      <alignment horizontal="left" vertical="center"/>
    </xf>
    <xf numFmtId="0" fontId="18" fillId="0" borderId="0" xfId="0" applyFont="1" applyAlignment="1">
      <alignment horizontal="left" vertical="center"/>
    </xf>
    <xf numFmtId="14" fontId="20" fillId="27" borderId="32" xfId="0" applyNumberFormat="1" applyFont="1" applyFill="1" applyBorder="1" applyAlignment="1">
      <alignment horizontal="center" vertical="center" wrapText="1"/>
    </xf>
    <xf numFmtId="14" fontId="20" fillId="27" borderId="35" xfId="0" applyNumberFormat="1" applyFont="1" applyFill="1" applyBorder="1" applyAlignment="1">
      <alignment horizontal="center" vertical="center" wrapText="1"/>
    </xf>
    <xf numFmtId="14" fontId="20" fillId="0" borderId="36" xfId="0" applyNumberFormat="1" applyFont="1" applyBorder="1"/>
    <xf numFmtId="0" fontId="20" fillId="27" borderId="32" xfId="0" applyFont="1" applyFill="1" applyBorder="1" applyAlignment="1">
      <alignment horizontal="center" vertical="center" wrapText="1"/>
    </xf>
    <xf numFmtId="0" fontId="20" fillId="27" borderId="35" xfId="0" applyFont="1" applyFill="1" applyBorder="1" applyAlignment="1">
      <alignment horizontal="center" vertical="center" wrapText="1"/>
    </xf>
    <xf numFmtId="0" fontId="20" fillId="0" borderId="36" xfId="0" applyFont="1" applyBorder="1"/>
    <xf numFmtId="0" fontId="7" fillId="0" borderId="32" xfId="515" applyBorder="1" applyAlignment="1">
      <alignment vertical="center"/>
    </xf>
    <xf numFmtId="0" fontId="20" fillId="0" borderId="35" xfId="0" applyFont="1" applyBorder="1" applyAlignment="1">
      <alignment vertical="center"/>
    </xf>
    <xf numFmtId="0" fontId="11" fillId="0" borderId="60" xfId="0" applyFont="1" applyBorder="1" applyAlignment="1">
      <alignment horizontal="justify" wrapText="1"/>
    </xf>
    <xf numFmtId="0" fontId="71" fillId="0" borderId="60" xfId="0" applyFont="1" applyBorder="1" applyAlignment="1">
      <alignment horizontal="justify" wrapText="1"/>
    </xf>
    <xf numFmtId="0" fontId="71" fillId="0" borderId="60" xfId="0" applyFont="1" applyBorder="1"/>
    <xf numFmtId="0" fontId="11" fillId="0" borderId="42" xfId="0" applyFont="1" applyBorder="1" applyAlignment="1">
      <alignment horizontal="left" vertical="center" wrapText="1"/>
    </xf>
    <xf numFmtId="0" fontId="71" fillId="0" borderId="59" xfId="0" applyFont="1" applyBorder="1" applyAlignment="1">
      <alignment horizontal="left" vertical="center" wrapText="1"/>
    </xf>
    <xf numFmtId="0" fontId="71" fillId="0" borderId="58" xfId="0" applyFont="1" applyBorder="1" applyAlignment="1">
      <alignment horizontal="left" vertical="center" wrapText="1"/>
    </xf>
    <xf numFmtId="0" fontId="71" fillId="0" borderId="27" xfId="0" applyFont="1" applyBorder="1" applyAlignment="1">
      <alignment horizontal="left" vertical="center" wrapText="1"/>
    </xf>
    <xf numFmtId="0" fontId="11" fillId="0" borderId="30" xfId="0" applyFont="1" applyBorder="1" applyAlignment="1">
      <alignment horizontal="center" vertical="center" wrapText="1"/>
    </xf>
    <xf numFmtId="0" fontId="71" fillId="0" borderId="31" xfId="0" applyFont="1" applyBorder="1" applyAlignment="1">
      <alignment horizontal="center" vertical="center" wrapText="1"/>
    </xf>
    <xf numFmtId="49" fontId="36" fillId="0" borderId="30" xfId="0" applyNumberFormat="1" applyFont="1" applyBorder="1" applyAlignment="1">
      <alignment horizontal="center" vertical="center" wrapText="1"/>
    </xf>
    <xf numFmtId="49" fontId="80" fillId="0" borderId="31" xfId="0" applyNumberFormat="1" applyFont="1" applyBorder="1" applyAlignment="1">
      <alignment horizontal="center" vertical="center" wrapText="1"/>
    </xf>
    <xf numFmtId="0" fontId="36" fillId="34" borderId="18" xfId="0" applyFont="1" applyFill="1" applyBorder="1" applyAlignment="1">
      <alignment horizontal="center" vertical="center" wrapText="1"/>
    </xf>
    <xf numFmtId="0" fontId="80" fillId="34" borderId="18"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81" fillId="34" borderId="31" xfId="0" applyFont="1" applyFill="1" applyBorder="1" applyAlignment="1">
      <alignment horizontal="center" vertical="center" wrapText="1"/>
    </xf>
    <xf numFmtId="0" fontId="81" fillId="34" borderId="34" xfId="0" applyFont="1" applyFill="1" applyBorder="1" applyAlignment="1">
      <alignment horizontal="center" vertical="center" wrapText="1"/>
    </xf>
    <xf numFmtId="0" fontId="83" fillId="0" borderId="42" xfId="0" applyFont="1" applyBorder="1" applyAlignment="1">
      <alignment horizontal="center" vertical="center" wrapText="1"/>
    </xf>
    <xf numFmtId="0" fontId="89" fillId="0" borderId="59" xfId="0" applyFont="1" applyBorder="1" applyAlignment="1">
      <alignment horizontal="center" vertical="center" wrapText="1"/>
    </xf>
    <xf numFmtId="0" fontId="83" fillId="0" borderId="58" xfId="0" applyFont="1" applyBorder="1" applyAlignment="1">
      <alignment horizontal="center" vertical="center" wrapText="1"/>
    </xf>
    <xf numFmtId="0" fontId="89" fillId="0" borderId="27" xfId="0" applyFont="1" applyBorder="1" applyAlignment="1">
      <alignment horizontal="center" vertical="center" wrapText="1"/>
    </xf>
    <xf numFmtId="0" fontId="89" fillId="0" borderId="41" xfId="0" applyFont="1" applyBorder="1" applyAlignment="1">
      <alignment horizontal="center" vertical="center" wrapText="1"/>
    </xf>
    <xf numFmtId="0" fontId="89"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71" fillId="0" borderId="34" xfId="0" applyFont="1" applyBorder="1" applyAlignment="1">
      <alignment horizontal="center" vertical="center" wrapText="1"/>
    </xf>
    <xf numFmtId="49" fontId="36" fillId="0" borderId="31" xfId="0" applyNumberFormat="1" applyFont="1" applyBorder="1" applyAlignment="1">
      <alignment horizontal="center" vertical="center" wrapText="1"/>
    </xf>
    <xf numFmtId="49" fontId="80" fillId="0" borderId="34" xfId="0" applyNumberFormat="1" applyFont="1" applyBorder="1" applyAlignment="1">
      <alignment horizontal="center" vertical="center" wrapText="1"/>
    </xf>
    <xf numFmtId="0" fontId="11" fillId="0" borderId="34" xfId="0" applyFont="1" applyBorder="1" applyAlignment="1">
      <alignment horizontal="center" vertical="center" wrapText="1"/>
    </xf>
    <xf numFmtId="0" fontId="15" fillId="28" borderId="32" xfId="515" applyFont="1" applyFill="1" applyBorder="1" applyAlignment="1">
      <alignment vertical="center"/>
    </xf>
    <xf numFmtId="0" fontId="71" fillId="0" borderId="36" xfId="0" applyFont="1" applyBorder="1"/>
    <xf numFmtId="0" fontId="71" fillId="0" borderId="35" xfId="0" applyFont="1" applyBorder="1"/>
    <xf numFmtId="0" fontId="11" fillId="0" borderId="58" xfId="0" applyFont="1" applyBorder="1" applyAlignment="1">
      <alignment horizontal="left" vertical="center" wrapText="1"/>
    </xf>
    <xf numFmtId="0" fontId="71" fillId="0" borderId="41" xfId="0" applyFont="1" applyBorder="1" applyAlignment="1">
      <alignment horizontal="left" vertical="center" wrapText="1"/>
    </xf>
    <xf numFmtId="0" fontId="71" fillId="0" borderId="23" xfId="0" applyFont="1" applyBorder="1" applyAlignment="1">
      <alignment horizontal="left" vertical="center" wrapText="1"/>
    </xf>
    <xf numFmtId="0" fontId="11" fillId="0" borderId="0" xfId="0" applyFont="1" applyAlignment="1">
      <alignment horizontal="justify" vertical="top" wrapText="1"/>
    </xf>
    <xf numFmtId="0" fontId="79" fillId="0" borderId="0" xfId="0" applyFont="1" applyAlignment="1">
      <alignment horizontal="justify" vertical="top"/>
    </xf>
    <xf numFmtId="0" fontId="71" fillId="0" borderId="0" xfId="0" applyFont="1" applyAlignment="1">
      <alignment horizontal="justify" vertical="top"/>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0" fontId="149" fillId="0" borderId="31" xfId="0" applyFont="1" applyBorder="1" applyAlignment="1">
      <alignment horizontal="center" vertical="center" wrapText="1"/>
    </xf>
    <xf numFmtId="0" fontId="119" fillId="0" borderId="42" xfId="0" applyFont="1" applyBorder="1" applyAlignment="1">
      <alignment horizontal="center" vertical="center" wrapText="1"/>
    </xf>
    <xf numFmtId="0" fontId="120" fillId="0" borderId="59" xfId="0" applyFont="1" applyBorder="1" applyAlignment="1">
      <alignment horizontal="center" vertical="center" wrapText="1"/>
    </xf>
    <xf numFmtId="0" fontId="120" fillId="0" borderId="58" xfId="0" applyFont="1" applyBorder="1" applyAlignment="1">
      <alignment horizontal="center" vertical="center" wrapText="1"/>
    </xf>
    <xf numFmtId="0" fontId="120" fillId="0" borderId="2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60" xfId="0" applyFont="1" applyBorder="1" applyAlignment="1">
      <alignment horizontal="center" vertical="center" wrapText="1"/>
    </xf>
    <xf numFmtId="0" fontId="71" fillId="0" borderId="60" xfId="0" applyFont="1" applyBorder="1" applyAlignment="1">
      <alignment horizontal="center" vertical="center" wrapText="1"/>
    </xf>
    <xf numFmtId="0" fontId="71" fillId="0" borderId="59" xfId="0" applyFont="1" applyBorder="1" applyAlignment="1">
      <alignment horizontal="center" vertical="center" wrapText="1"/>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22" fillId="0" borderId="31" xfId="0" applyFont="1" applyBorder="1" applyAlignment="1">
      <alignment horizontal="center" vertical="center" wrapText="1"/>
    </xf>
    <xf numFmtId="0" fontId="15" fillId="0" borderId="18" xfId="0" applyFont="1" applyBorder="1" applyAlignment="1">
      <alignment horizontal="center" vertical="center" wrapText="1"/>
    </xf>
    <xf numFmtId="0" fontId="71"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3" xfId="0" applyFont="1" applyBorder="1" applyAlignment="1">
      <alignment horizontal="center" vertical="center" wrapText="1"/>
    </xf>
    <xf numFmtId="0" fontId="89" fillId="0" borderId="58"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34" xfId="0" applyFont="1" applyBorder="1" applyAlignment="1">
      <alignment horizontal="center" vertical="center" wrapText="1"/>
    </xf>
    <xf numFmtId="0" fontId="121" fillId="0" borderId="31" xfId="0" applyFont="1" applyBorder="1" applyAlignment="1">
      <alignment horizontal="center" vertical="center" wrapText="1"/>
    </xf>
    <xf numFmtId="0" fontId="121" fillId="0" borderId="34" xfId="0" applyFont="1" applyBorder="1" applyAlignment="1">
      <alignment horizontal="center" vertical="center" wrapText="1"/>
    </xf>
    <xf numFmtId="49" fontId="139" fillId="0" borderId="30" xfId="0" applyNumberFormat="1" applyFont="1" applyBorder="1" applyAlignment="1">
      <alignment horizontal="center" vertical="center" wrapText="1"/>
    </xf>
    <xf numFmtId="49" fontId="140" fillId="0" borderId="31" xfId="0" applyNumberFormat="1" applyFont="1" applyBorder="1" applyAlignment="1">
      <alignment horizontal="center" vertical="center" wrapText="1"/>
    </xf>
    <xf numFmtId="49" fontId="140" fillId="0" borderId="34" xfId="0" applyNumberFormat="1" applyFont="1" applyBorder="1" applyAlignment="1">
      <alignment horizontal="center" vertical="center" wrapText="1"/>
    </xf>
    <xf numFmtId="0" fontId="116" fillId="0" borderId="42" xfId="0" applyFont="1" applyBorder="1" applyAlignment="1">
      <alignment horizontal="left" vertical="center" wrapText="1"/>
    </xf>
    <xf numFmtId="0" fontId="121" fillId="0" borderId="58" xfId="0" applyFont="1" applyBorder="1" applyAlignment="1">
      <alignment horizontal="left" vertical="center" wrapText="1"/>
    </xf>
    <xf numFmtId="0" fontId="121" fillId="0" borderId="41" xfId="0" applyFont="1" applyBorder="1" applyAlignment="1">
      <alignment horizontal="left" vertical="center" wrapText="1"/>
    </xf>
    <xf numFmtId="0" fontId="121" fillId="0" borderId="59" xfId="0" applyFont="1" applyBorder="1" applyAlignment="1">
      <alignment horizontal="left" vertical="center" wrapText="1"/>
    </xf>
    <xf numFmtId="0" fontId="121" fillId="0" borderId="27" xfId="0" applyFont="1" applyBorder="1" applyAlignment="1">
      <alignment horizontal="left" vertical="center" wrapText="1"/>
    </xf>
    <xf numFmtId="0" fontId="121" fillId="0" borderId="23" xfId="0" applyFont="1" applyBorder="1" applyAlignment="1">
      <alignment horizontal="left" vertical="center" wrapText="1"/>
    </xf>
    <xf numFmtId="0" fontId="116" fillId="0" borderId="58" xfId="0" applyFont="1" applyBorder="1" applyAlignment="1">
      <alignment horizontal="left" vertical="center" wrapText="1"/>
    </xf>
    <xf numFmtId="0" fontId="116" fillId="0" borderId="41" xfId="0" applyFont="1" applyBorder="1" applyAlignment="1">
      <alignment horizontal="left" vertical="center" wrapText="1"/>
    </xf>
    <xf numFmtId="0" fontId="116" fillId="0" borderId="30" xfId="0" applyFont="1" applyBorder="1" applyAlignment="1">
      <alignment horizontal="left" vertical="center" wrapText="1"/>
    </xf>
    <xf numFmtId="0" fontId="116" fillId="0" borderId="31" xfId="0" applyFont="1" applyBorder="1" applyAlignment="1">
      <alignment horizontal="left" vertical="center" wrapText="1"/>
    </xf>
    <xf numFmtId="0" fontId="116" fillId="0" borderId="34" xfId="0" applyFont="1" applyBorder="1" applyAlignment="1">
      <alignment horizontal="left" vertical="center" wrapText="1"/>
    </xf>
    <xf numFmtId="10" fontId="11" fillId="0" borderId="30" xfId="0" applyNumberFormat="1" applyFont="1" applyBorder="1" applyAlignment="1">
      <alignment horizontal="center" vertical="center" wrapText="1"/>
    </xf>
    <xf numFmtId="49" fontId="36" fillId="0" borderId="34" xfId="0" applyNumberFormat="1" applyFont="1" applyBorder="1" applyAlignment="1">
      <alignment horizontal="center" vertical="center" wrapText="1"/>
    </xf>
    <xf numFmtId="0" fontId="71" fillId="0" borderId="30" xfId="0" quotePrefix="1" applyFont="1" applyBorder="1" applyAlignment="1">
      <alignment horizontal="left" vertical="center" wrapText="1"/>
    </xf>
    <xf numFmtId="0" fontId="71" fillId="0" borderId="31" xfId="0" applyFont="1" applyBorder="1" applyAlignment="1">
      <alignment horizontal="left" vertical="center" wrapText="1"/>
    </xf>
    <xf numFmtId="0" fontId="71" fillId="0" borderId="34" xfId="0" applyFont="1" applyBorder="1" applyAlignment="1">
      <alignment horizontal="left" vertical="center" wrapText="1"/>
    </xf>
    <xf numFmtId="0" fontId="71" fillId="0" borderId="30"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42" fillId="0" borderId="18" xfId="0" applyFont="1" applyBorder="1" applyAlignment="1">
      <alignment horizontal="center" vertical="center" wrapText="1"/>
    </xf>
    <xf numFmtId="0" fontId="146" fillId="30" borderId="30" xfId="0" quotePrefix="1" applyFont="1" applyFill="1" applyBorder="1" applyAlignment="1" applyProtection="1">
      <alignment horizontal="left" vertical="center" wrapText="1"/>
      <protection locked="0"/>
    </xf>
    <xf numFmtId="0" fontId="148" fillId="41" borderId="18" xfId="0" applyFont="1" applyFill="1" applyBorder="1" applyAlignment="1" applyProtection="1">
      <alignment horizontal="left" vertical="center" wrapText="1"/>
      <protection locked="0"/>
    </xf>
    <xf numFmtId="0" fontId="146" fillId="30" borderId="30" xfId="0" applyFont="1" applyFill="1" applyBorder="1" applyAlignment="1" applyProtection="1">
      <alignment horizontal="left" vertical="center" wrapText="1"/>
      <protection locked="0"/>
    </xf>
    <xf numFmtId="0" fontId="146" fillId="30" borderId="31" xfId="0" applyFont="1" applyFill="1" applyBorder="1" applyAlignment="1" applyProtection="1">
      <alignment horizontal="left" vertical="center" wrapText="1"/>
      <protection locked="0"/>
    </xf>
    <xf numFmtId="0" fontId="146" fillId="30" borderId="34" xfId="0" applyFont="1" applyFill="1" applyBorder="1" applyAlignment="1" applyProtection="1">
      <alignment horizontal="left" vertical="center" wrapText="1"/>
      <protection locked="0"/>
    </xf>
    <xf numFmtId="0" fontId="141" fillId="0" borderId="30" xfId="0" applyFont="1" applyBorder="1" applyAlignment="1">
      <alignment horizontal="center" vertical="center" wrapText="1"/>
    </xf>
    <xf numFmtId="0" fontId="143" fillId="0" borderId="31" xfId="0" applyFont="1" applyBorder="1" applyAlignment="1">
      <alignment horizontal="center" vertical="center" wrapText="1"/>
    </xf>
    <xf numFmtId="0" fontId="143" fillId="0" borderId="34" xfId="0" applyFont="1" applyBorder="1" applyAlignment="1">
      <alignment horizontal="center" vertical="center" wrapText="1"/>
    </xf>
    <xf numFmtId="49" fontId="147" fillId="0" borderId="30" xfId="0" applyNumberFormat="1" applyFont="1" applyBorder="1" applyAlignment="1">
      <alignment horizontal="center" vertical="center" wrapText="1"/>
    </xf>
    <xf numFmtId="49" fontId="147" fillId="0" borderId="31" xfId="0" applyNumberFormat="1" applyFont="1" applyBorder="1" applyAlignment="1">
      <alignment horizontal="center" vertical="center" wrapText="1"/>
    </xf>
    <xf numFmtId="49" fontId="147" fillId="0" borderId="34" xfId="0" applyNumberFormat="1" applyFont="1" applyBorder="1" applyAlignment="1">
      <alignment horizontal="center" vertical="center" wrapText="1"/>
    </xf>
    <xf numFmtId="0" fontId="141" fillId="0" borderId="30" xfId="0" applyFont="1" applyBorder="1" applyAlignment="1">
      <alignment horizontal="left" vertical="center" wrapText="1"/>
    </xf>
    <xf numFmtId="0" fontId="143" fillId="0" borderId="31" xfId="0" applyFont="1" applyBorder="1" applyAlignment="1">
      <alignment horizontal="left" vertical="center" wrapText="1"/>
    </xf>
    <xf numFmtId="0" fontId="143" fillId="0" borderId="34" xfId="0" applyFont="1" applyBorder="1" applyAlignment="1">
      <alignment horizontal="left" vertical="center" wrapText="1"/>
    </xf>
    <xf numFmtId="0" fontId="141" fillId="0" borderId="42" xfId="0" applyFont="1" applyBorder="1" applyAlignment="1">
      <alignment horizontal="left" vertical="center" wrapText="1"/>
    </xf>
    <xf numFmtId="0" fontId="143" fillId="0" borderId="59" xfId="0" applyFont="1" applyBorder="1" applyAlignment="1">
      <alignment horizontal="left" vertical="center" wrapText="1"/>
    </xf>
    <xf numFmtId="0" fontId="143" fillId="0" borderId="58" xfId="0" applyFont="1" applyBorder="1" applyAlignment="1">
      <alignment horizontal="left" vertical="center" wrapText="1"/>
    </xf>
    <xf numFmtId="0" fontId="143" fillId="0" borderId="27" xfId="0" applyFont="1" applyBorder="1" applyAlignment="1">
      <alignment horizontal="left" vertical="center" wrapText="1"/>
    </xf>
    <xf numFmtId="0" fontId="143" fillId="0" borderId="41" xfId="0" applyFont="1" applyBorder="1" applyAlignment="1">
      <alignment horizontal="left" vertical="center" wrapText="1"/>
    </xf>
    <xf numFmtId="0" fontId="143" fillId="0" borderId="23" xfId="0" applyFont="1" applyBorder="1" applyAlignment="1">
      <alignment horizontal="left" vertical="center" wrapText="1"/>
    </xf>
    <xf numFmtId="0" fontId="144" fillId="0" borderId="30" xfId="0" applyFont="1" applyBorder="1" applyAlignment="1">
      <alignment horizontal="center" vertical="center" wrapText="1"/>
    </xf>
    <xf numFmtId="0" fontId="144" fillId="0" borderId="31" xfId="0" applyFont="1" applyBorder="1" applyAlignment="1">
      <alignment horizontal="center" vertical="center" wrapText="1"/>
    </xf>
    <xf numFmtId="0" fontId="144" fillId="0" borderId="34"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59" xfId="0" applyFont="1" applyBorder="1" applyAlignment="1">
      <alignment horizontal="center" vertical="center" wrapText="1"/>
    </xf>
    <xf numFmtId="0" fontId="144" fillId="0" borderId="58" xfId="0" applyFont="1" applyBorder="1" applyAlignment="1">
      <alignment horizontal="center" vertical="center" wrapText="1"/>
    </xf>
    <xf numFmtId="0" fontId="144" fillId="0" borderId="27" xfId="0" applyFont="1" applyBorder="1" applyAlignment="1">
      <alignment horizontal="center" vertical="center" wrapText="1"/>
    </xf>
    <xf numFmtId="0" fontId="144" fillId="0" borderId="41" xfId="0" applyFont="1" applyBorder="1" applyAlignment="1">
      <alignment horizontal="center" vertical="center" wrapText="1"/>
    </xf>
    <xf numFmtId="0" fontId="144" fillId="0" borderId="23" xfId="0" applyFont="1" applyBorder="1" applyAlignment="1">
      <alignment horizontal="center" vertical="center" wrapText="1"/>
    </xf>
    <xf numFmtId="0" fontId="141" fillId="0" borderId="31" xfId="0" applyFont="1" applyBorder="1" applyAlignment="1">
      <alignment horizontal="center" vertical="center" wrapText="1"/>
    </xf>
    <xf numFmtId="49" fontId="142" fillId="0" borderId="30" xfId="0" applyNumberFormat="1" applyFont="1" applyBorder="1" applyAlignment="1">
      <alignment horizontal="center" vertical="center" wrapText="1"/>
    </xf>
    <xf numFmtId="49" fontId="142" fillId="0" borderId="31" xfId="0" applyNumberFormat="1" applyFont="1" applyBorder="1" applyAlignment="1">
      <alignment horizontal="center" vertical="center" wrapText="1"/>
    </xf>
    <xf numFmtId="0" fontId="141" fillId="0" borderId="31" xfId="0" applyFont="1" applyBorder="1" applyAlignment="1">
      <alignment horizontal="left" vertical="center" wrapText="1"/>
    </xf>
    <xf numFmtId="0" fontId="141" fillId="0" borderId="58" xfId="0" applyFont="1" applyBorder="1" applyAlignment="1">
      <alignment horizontal="left" vertical="center" wrapText="1"/>
    </xf>
    <xf numFmtId="0" fontId="27" fillId="30" borderId="30" xfId="0" applyFont="1" applyFill="1" applyBorder="1" applyAlignment="1" applyProtection="1">
      <alignment horizontal="left" vertical="center" wrapText="1"/>
      <protection locked="0"/>
    </xf>
    <xf numFmtId="0" fontId="15" fillId="41" borderId="18" xfId="0" applyFont="1" applyFill="1" applyBorder="1" applyAlignment="1" applyProtection="1">
      <alignment horizontal="left" vertical="center" wrapText="1"/>
      <protection locked="0"/>
    </xf>
    <xf numFmtId="0" fontId="11" fillId="0" borderId="0" xfId="0" applyFont="1" applyAlignment="1">
      <alignment horizontal="left" wrapText="1"/>
    </xf>
    <xf numFmtId="165" fontId="11" fillId="91" borderId="42" xfId="426" applyNumberFormat="1" applyFont="1" applyFill="1" applyBorder="1" applyAlignment="1" applyProtection="1">
      <alignment horizontal="center" vertical="center"/>
    </xf>
    <xf numFmtId="165" fontId="11" fillId="91" borderId="59" xfId="426" applyNumberFormat="1" applyFont="1" applyFill="1" applyBorder="1" applyAlignment="1" applyProtection="1">
      <alignment horizontal="center" vertical="center"/>
    </xf>
    <xf numFmtId="165" fontId="11" fillId="91" borderId="58" xfId="426" applyNumberFormat="1" applyFont="1" applyFill="1" applyBorder="1" applyAlignment="1" applyProtection="1">
      <alignment horizontal="center" vertical="center"/>
    </xf>
    <xf numFmtId="165" fontId="11" fillId="91" borderId="27" xfId="426" applyNumberFormat="1" applyFont="1" applyFill="1" applyBorder="1" applyAlignment="1" applyProtection="1">
      <alignment horizontal="center" vertical="center"/>
    </xf>
    <xf numFmtId="165" fontId="11" fillId="0" borderId="18" xfId="426" applyNumberFormat="1" applyFont="1" applyFill="1" applyBorder="1" applyAlignment="1" applyProtection="1">
      <alignment horizontal="center" vertical="center"/>
    </xf>
    <xf numFmtId="165" fontId="11" fillId="93" borderId="21" xfId="426" applyNumberFormat="1" applyFont="1" applyFill="1" applyBorder="1" applyAlignment="1" applyProtection="1">
      <alignment horizontal="left" vertical="center" wrapText="1"/>
    </xf>
    <xf numFmtId="165" fontId="11" fillId="93" borderId="84" xfId="426" applyNumberFormat="1" applyFont="1" applyFill="1" applyBorder="1" applyAlignment="1" applyProtection="1">
      <alignment horizontal="left" vertical="center" wrapText="1"/>
    </xf>
    <xf numFmtId="165" fontId="11" fillId="93" borderId="19" xfId="426" applyNumberFormat="1" applyFont="1" applyFill="1" applyBorder="1" applyAlignment="1" applyProtection="1">
      <alignment horizontal="left" vertical="center" wrapText="1"/>
    </xf>
    <xf numFmtId="165" fontId="11" fillId="94" borderId="42" xfId="426" applyNumberFormat="1" applyFont="1" applyFill="1" applyBorder="1" applyAlignment="1" applyProtection="1">
      <alignment horizontal="center" vertical="center"/>
    </xf>
    <xf numFmtId="165" fontId="11" fillId="94" borderId="59" xfId="426" applyNumberFormat="1" applyFont="1" applyFill="1" applyBorder="1" applyAlignment="1" applyProtection="1">
      <alignment horizontal="center" vertical="center"/>
    </xf>
    <xf numFmtId="165" fontId="11" fillId="94" borderId="41" xfId="426" applyNumberFormat="1" applyFont="1" applyFill="1" applyBorder="1" applyAlignment="1" applyProtection="1">
      <alignment horizontal="center" vertical="center"/>
    </xf>
    <xf numFmtId="165" fontId="11" fillId="94" borderId="23" xfId="426" applyNumberFormat="1" applyFont="1" applyFill="1" applyBorder="1" applyAlignment="1" applyProtection="1">
      <alignment horizontal="center" vertical="center"/>
    </xf>
    <xf numFmtId="165" fontId="11" fillId="0" borderId="30" xfId="426" applyNumberFormat="1" applyFont="1" applyFill="1" applyBorder="1" applyAlignment="1" applyProtection="1">
      <alignment horizontal="center" wrapText="1"/>
    </xf>
    <xf numFmtId="165" fontId="11" fillId="0" borderId="31" xfId="426" applyNumberFormat="1" applyFont="1" applyFill="1" applyBorder="1" applyAlignment="1" applyProtection="1">
      <alignment horizontal="center" wrapText="1"/>
    </xf>
    <xf numFmtId="0" fontId="22" fillId="30" borderId="30" xfId="0" applyFont="1" applyFill="1" applyBorder="1" applyAlignment="1" applyProtection="1">
      <alignment horizontal="left" vertical="center" wrapText="1"/>
      <protection locked="0"/>
    </xf>
    <xf numFmtId="0" fontId="22" fillId="30" borderId="31" xfId="0" applyFont="1" applyFill="1" applyBorder="1" applyAlignment="1" applyProtection="1">
      <alignment horizontal="left" vertical="center" wrapText="1"/>
      <protection locked="0"/>
    </xf>
    <xf numFmtId="0" fontId="22" fillId="30" borderId="34" xfId="0" applyFont="1" applyFill="1" applyBorder="1" applyAlignment="1" applyProtection="1">
      <alignment horizontal="left" vertical="center" wrapText="1"/>
      <protection locked="0"/>
    </xf>
    <xf numFmtId="49" fontId="80" fillId="0" borderId="30" xfId="0" applyNumberFormat="1" applyFont="1" applyBorder="1" applyAlignment="1">
      <alignment horizontal="center" vertical="center" wrapText="1"/>
    </xf>
    <xf numFmtId="0" fontId="83" fillId="0" borderId="30" xfId="0" applyFont="1" applyBorder="1" applyAlignment="1">
      <alignment horizontal="center" vertical="center" wrapText="1"/>
    </xf>
    <xf numFmtId="0" fontId="83" fillId="0" borderId="31" xfId="0" applyFont="1" applyBorder="1" applyAlignment="1">
      <alignment horizontal="center" vertical="center" wrapText="1"/>
    </xf>
    <xf numFmtId="0" fontId="83" fillId="0" borderId="34" xfId="0" applyFont="1" applyBorder="1" applyAlignment="1">
      <alignment horizontal="center" vertical="center" wrapText="1"/>
    </xf>
    <xf numFmtId="0" fontId="35" fillId="34" borderId="18" xfId="0" applyFont="1" applyFill="1" applyBorder="1" applyAlignment="1">
      <alignment horizontal="center" vertical="center" wrapText="1"/>
    </xf>
    <xf numFmtId="0" fontId="22" fillId="30" borderId="30" xfId="0" quotePrefix="1" applyFont="1" applyFill="1" applyBorder="1" applyAlignment="1" applyProtection="1">
      <alignment horizontal="left" vertical="center" wrapText="1"/>
      <protection locked="0"/>
    </xf>
    <xf numFmtId="0" fontId="83" fillId="0" borderId="59" xfId="0" applyFont="1" applyBorder="1" applyAlignment="1">
      <alignment horizontal="center" vertical="center" wrapText="1"/>
    </xf>
    <xf numFmtId="0" fontId="83" fillId="0" borderId="27" xfId="0" applyFont="1" applyBorder="1" applyAlignment="1">
      <alignment horizontal="center" vertical="center" wrapText="1"/>
    </xf>
    <xf numFmtId="0" fontId="83" fillId="0" borderId="41" xfId="0" applyFont="1" applyBorder="1" applyAlignment="1">
      <alignment horizontal="center" vertical="center" wrapText="1"/>
    </xf>
    <xf numFmtId="0" fontId="83" fillId="0" borderId="23" xfId="0" applyFont="1" applyBorder="1" applyAlignment="1">
      <alignment horizontal="center" vertical="center" wrapText="1"/>
    </xf>
    <xf numFmtId="0" fontId="0" fillId="0" borderId="36" xfId="0" applyBorder="1" applyAlignment="1">
      <alignment vertical="center"/>
    </xf>
    <xf numFmtId="0" fontId="18" fillId="0" borderId="0" xfId="0" applyFont="1" applyAlignment="1">
      <alignment horizontal="justify" vertical="center" wrapText="1"/>
    </xf>
    <xf numFmtId="0" fontId="87" fillId="0" borderId="30" xfId="0" applyFont="1" applyBorder="1" applyAlignment="1">
      <alignment horizontal="center" vertical="center" wrapText="1"/>
    </xf>
    <xf numFmtId="0" fontId="87" fillId="0" borderId="34" xfId="0" applyFont="1" applyBorder="1" applyAlignment="1">
      <alignment horizontal="center" vertical="center" wrapText="1"/>
    </xf>
    <xf numFmtId="0" fontId="84" fillId="0" borderId="18" xfId="0" applyFont="1" applyBorder="1" applyAlignment="1">
      <alignment horizontal="center" vertical="center" wrapText="1"/>
    </xf>
    <xf numFmtId="0" fontId="87" fillId="0" borderId="18" xfId="0" applyFont="1" applyBorder="1" applyAlignment="1">
      <alignment horizontal="center" vertical="center" wrapText="1"/>
    </xf>
    <xf numFmtId="0" fontId="34" fillId="0" borderId="18" xfId="0" applyFont="1" applyBorder="1" applyAlignment="1">
      <alignment horizontal="center" vertical="center" wrapText="1"/>
    </xf>
    <xf numFmtId="0" fontId="0" fillId="0" borderId="18" xfId="0" applyBorder="1" applyAlignment="1">
      <alignment horizontal="center" vertical="center" wrapText="1"/>
    </xf>
    <xf numFmtId="0" fontId="27" fillId="0" borderId="18"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1" xfId="0" applyFont="1" applyBorder="1" applyAlignment="1">
      <alignment horizontal="center" vertical="center"/>
    </xf>
    <xf numFmtId="0" fontId="34" fillId="0" borderId="19" xfId="0" applyFont="1" applyBorder="1" applyAlignment="1">
      <alignment horizontal="center" vertical="center"/>
    </xf>
    <xf numFmtId="9" fontId="83" fillId="0" borderId="42" xfId="0" applyNumberFormat="1" applyFont="1" applyBorder="1" applyAlignment="1">
      <alignment horizontal="center" vertical="center" wrapText="1"/>
    </xf>
    <xf numFmtId="0" fontId="18" fillId="0" borderId="18" xfId="0" applyFont="1" applyBorder="1" applyAlignment="1">
      <alignment vertical="center" wrapText="1"/>
    </xf>
    <xf numFmtId="1" fontId="31" fillId="28" borderId="30" xfId="0"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5" fillId="34" borderId="30" xfId="0" applyFont="1" applyFill="1" applyBorder="1" applyAlignment="1">
      <alignment horizontal="center" vertical="center" wrapText="1"/>
    </xf>
    <xf numFmtId="0" fontId="35" fillId="34" borderId="31"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27" fillId="30" borderId="30" xfId="0" quotePrefix="1" applyFont="1" applyFill="1" applyBorder="1" applyAlignment="1" applyProtection="1">
      <alignment horizontal="left" vertical="center" wrapText="1"/>
      <protection locked="0"/>
    </xf>
    <xf numFmtId="0" fontId="27" fillId="0" borderId="3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3" xfId="0" applyFont="1" applyBorder="1" applyAlignment="1">
      <alignment horizontal="center" vertical="center" wrapText="1"/>
    </xf>
    <xf numFmtId="1" fontId="31" fillId="30" borderId="30" xfId="0" applyNumberFormat="1" applyFont="1" applyFill="1" applyBorder="1" applyAlignment="1" applyProtection="1">
      <alignment horizontal="center" vertical="center"/>
      <protection locked="0"/>
    </xf>
    <xf numFmtId="1" fontId="31" fillId="30" borderId="31" xfId="0" applyNumberFormat="1" applyFont="1" applyFill="1" applyBorder="1" applyAlignment="1" applyProtection="1">
      <alignment horizontal="center" vertical="center"/>
      <protection locked="0"/>
    </xf>
    <xf numFmtId="1" fontId="31" fillId="30" borderId="34" xfId="0" applyNumberFormat="1" applyFont="1" applyFill="1" applyBorder="1" applyAlignment="1" applyProtection="1">
      <alignment horizontal="center" vertical="center"/>
      <protection locked="0"/>
    </xf>
    <xf numFmtId="0" fontId="27" fillId="30" borderId="31" xfId="0" applyFont="1" applyFill="1" applyBorder="1" applyAlignment="1" applyProtection="1">
      <alignment horizontal="left" vertical="center" wrapText="1"/>
      <protection locked="0"/>
    </xf>
    <xf numFmtId="0" fontId="27" fillId="30" borderId="34" xfId="0" applyFont="1" applyFill="1" applyBorder="1" applyAlignment="1" applyProtection="1">
      <alignment horizontal="left" vertical="center" wrapText="1"/>
      <protection locked="0"/>
    </xf>
    <xf numFmtId="0" fontId="18" fillId="0" borderId="30" xfId="0" applyFont="1" applyBorder="1" applyAlignment="1">
      <alignment vertical="center" wrapText="1"/>
    </xf>
    <xf numFmtId="0" fontId="0" fillId="0" borderId="31" xfId="0" applyBorder="1"/>
    <xf numFmtId="0" fontId="0" fillId="0" borderId="34" xfId="0" applyBorder="1"/>
    <xf numFmtId="0" fontId="27" fillId="30" borderId="30" xfId="0" applyFont="1" applyFill="1" applyBorder="1" applyAlignment="1">
      <alignment horizontal="left" vertical="center" wrapText="1"/>
    </xf>
    <xf numFmtId="0" fontId="27" fillId="30" borderId="31" xfId="0" applyFont="1" applyFill="1" applyBorder="1" applyAlignment="1">
      <alignment horizontal="left" vertical="center" wrapText="1"/>
    </xf>
    <xf numFmtId="0" fontId="27" fillId="30" borderId="34" xfId="0" applyFont="1" applyFill="1" applyBorder="1" applyAlignment="1">
      <alignment horizontal="left" vertical="center" wrapText="1"/>
    </xf>
    <xf numFmtId="1" fontId="31" fillId="28" borderId="31" xfId="0" applyNumberFormat="1" applyFont="1" applyFill="1" applyBorder="1" applyAlignment="1">
      <alignment horizontal="center" vertical="center" wrapText="1"/>
    </xf>
    <xf numFmtId="1" fontId="31" fillId="28" borderId="34" xfId="0" applyNumberFormat="1" applyFont="1" applyFill="1" applyBorder="1" applyAlignment="1">
      <alignment horizontal="center" vertical="center" wrapText="1"/>
    </xf>
    <xf numFmtId="0" fontId="119" fillId="0" borderId="30" xfId="0" applyFont="1" applyBorder="1" applyAlignment="1">
      <alignment horizontal="center" vertical="center" wrapText="1"/>
    </xf>
    <xf numFmtId="0" fontId="119" fillId="0" borderId="31"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59" xfId="0" applyFont="1" applyBorder="1" applyAlignment="1">
      <alignment horizontal="center" vertical="center" wrapText="1"/>
    </xf>
    <xf numFmtId="0" fontId="119" fillId="0" borderId="58" xfId="0" applyFont="1" applyBorder="1" applyAlignment="1">
      <alignment horizontal="center" vertical="center" wrapText="1"/>
    </xf>
    <xf numFmtId="0" fontId="119" fillId="0" borderId="27" xfId="0" applyFont="1" applyBorder="1" applyAlignment="1">
      <alignment horizontal="center" vertical="center" wrapText="1"/>
    </xf>
    <xf numFmtId="0" fontId="119" fillId="0" borderId="41" xfId="0" applyFont="1" applyBorder="1" applyAlignment="1">
      <alignment horizontal="center" vertical="center" wrapText="1"/>
    </xf>
    <xf numFmtId="0" fontId="119" fillId="0" borderId="23"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27" xfId="0" applyFont="1" applyBorder="1" applyAlignment="1">
      <alignment horizontal="left" vertical="center" wrapText="1"/>
    </xf>
    <xf numFmtId="0" fontId="15" fillId="41" borderId="18" xfId="0" applyFont="1" applyFill="1" applyBorder="1" applyAlignment="1">
      <alignment horizontal="left" vertical="center" wrapText="1"/>
    </xf>
    <xf numFmtId="0" fontId="116" fillId="0" borderId="30" xfId="0" applyFont="1" applyBorder="1" applyAlignment="1">
      <alignment vertical="center" wrapText="1"/>
    </xf>
    <xf numFmtId="9" fontId="83" fillId="0" borderId="30" xfId="0" applyNumberFormat="1" applyFont="1" applyBorder="1" applyAlignment="1">
      <alignment horizontal="center" vertical="center" wrapText="1"/>
    </xf>
    <xf numFmtId="9" fontId="83" fillId="0" borderId="31" xfId="0" applyNumberFormat="1" applyFont="1" applyBorder="1" applyAlignment="1">
      <alignment horizontal="center" vertical="center" wrapText="1"/>
    </xf>
    <xf numFmtId="9" fontId="83" fillId="0" borderId="34" xfId="0" applyNumberFormat="1" applyFont="1" applyBorder="1" applyAlignment="1">
      <alignment horizontal="center" vertical="center" wrapText="1"/>
    </xf>
    <xf numFmtId="0" fontId="15" fillId="28" borderId="22" xfId="515" applyFont="1" applyFill="1" applyBorder="1" applyAlignment="1">
      <alignment vertical="center"/>
    </xf>
    <xf numFmtId="0" fontId="34" fillId="28" borderId="22" xfId="0" applyFont="1" applyFill="1" applyBorder="1"/>
    <xf numFmtId="0" fontId="0" fillId="0" borderId="22" xfId="0" applyBorder="1"/>
    <xf numFmtId="14" fontId="34" fillId="28" borderId="22" xfId="0" applyNumberFormat="1" applyFont="1" applyFill="1" applyBorder="1" applyAlignment="1">
      <alignment horizontal="center" vertical="center"/>
    </xf>
    <xf numFmtId="0" fontId="0" fillId="0" borderId="22" xfId="0" applyBorder="1" applyAlignment="1">
      <alignment horizontal="center" vertical="center"/>
    </xf>
    <xf numFmtId="0" fontId="80" fillId="0" borderId="31" xfId="0" applyFont="1" applyBorder="1" applyAlignment="1">
      <alignment horizontal="center" vertical="center" wrapText="1"/>
    </xf>
    <xf numFmtId="0" fontId="80" fillId="0" borderId="34" xfId="0" applyFont="1" applyBorder="1" applyAlignment="1">
      <alignment horizontal="center" vertical="center" wrapText="1"/>
    </xf>
    <xf numFmtId="0" fontId="18" fillId="0" borderId="0" xfId="0" applyFont="1" applyAlignment="1">
      <alignment horizontal="justify" wrapText="1"/>
    </xf>
    <xf numFmtId="0" fontId="18" fillId="0" borderId="0" xfId="0" applyFont="1" applyAlignment="1">
      <alignment horizontal="justify"/>
    </xf>
    <xf numFmtId="0" fontId="11" fillId="0" borderId="42" xfId="0" quotePrefix="1" applyFont="1" applyBorder="1" applyAlignment="1">
      <alignment horizontal="left" vertical="center" wrapText="1"/>
    </xf>
    <xf numFmtId="0" fontId="36" fillId="0" borderId="18" xfId="0" applyFont="1" applyBorder="1" applyAlignment="1">
      <alignment horizontal="center" vertical="center" wrapText="1"/>
    </xf>
    <xf numFmtId="0" fontId="22" fillId="0" borderId="32" xfId="0" applyFont="1" applyBorder="1" applyAlignment="1" applyProtection="1">
      <alignment horizontal="left" vertical="center"/>
      <protection locked="0"/>
    </xf>
    <xf numFmtId="0" fontId="22" fillId="0" borderId="88" xfId="0" applyFont="1" applyBorder="1" applyAlignment="1" applyProtection="1">
      <alignment horizontal="left" vertical="center"/>
      <protection locked="0"/>
    </xf>
    <xf numFmtId="0" fontId="22" fillId="0" borderId="91" xfId="0" applyFont="1" applyBorder="1" applyAlignment="1" applyProtection="1">
      <alignment horizontal="left" vertical="center"/>
      <protection locked="0"/>
    </xf>
    <xf numFmtId="0" fontId="22" fillId="0" borderId="92" xfId="0" applyFont="1" applyBorder="1" applyAlignment="1" applyProtection="1">
      <alignment horizontal="left" vertical="center"/>
      <protection locked="0"/>
    </xf>
    <xf numFmtId="0" fontId="15" fillId="0" borderId="89"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88" xfId="0" applyFont="1" applyBorder="1" applyAlignment="1" applyProtection="1">
      <alignment horizontal="left" vertical="center"/>
      <protection locked="0"/>
    </xf>
    <xf numFmtId="0" fontId="22" fillId="0" borderId="32" xfId="0" applyFont="1" applyBorder="1" applyAlignment="1" applyProtection="1">
      <alignment horizontal="left" vertical="center" wrapText="1"/>
      <protection locked="0"/>
    </xf>
    <xf numFmtId="0" fontId="22" fillId="0" borderId="88" xfId="0" applyFont="1" applyBorder="1" applyAlignment="1" applyProtection="1">
      <alignment horizontal="left" vertical="center" wrapText="1"/>
      <protection locked="0"/>
    </xf>
    <xf numFmtId="0" fontId="8" fillId="0" borderId="0" xfId="0" applyFont="1" applyAlignment="1">
      <alignment horizontal="left" wrapText="1"/>
    </xf>
    <xf numFmtId="0" fontId="8" fillId="0" borderId="0" xfId="0" applyFont="1" applyAlignment="1">
      <alignment horizontal="left"/>
    </xf>
    <xf numFmtId="0" fontId="22" fillId="0" borderId="0" xfId="0" applyFont="1" applyAlignment="1">
      <alignment horizontal="left" vertical="center" wrapText="1"/>
    </xf>
    <xf numFmtId="0" fontId="8" fillId="84" borderId="83" xfId="0" applyFont="1" applyFill="1" applyBorder="1" applyAlignment="1" applyProtection="1">
      <alignment horizontal="center" vertical="center"/>
      <protection locked="0"/>
    </xf>
    <xf numFmtId="0" fontId="8" fillId="84" borderId="84" xfId="0" applyFont="1" applyFill="1" applyBorder="1" applyAlignment="1" applyProtection="1">
      <alignment horizontal="center" vertical="center"/>
      <protection locked="0"/>
    </xf>
    <xf numFmtId="0" fontId="8" fillId="84" borderId="46" xfId="0" applyFont="1" applyFill="1" applyBorder="1" applyAlignment="1" applyProtection="1">
      <alignment horizontal="center" vertical="center"/>
      <protection locked="0"/>
    </xf>
    <xf numFmtId="0" fontId="15" fillId="0" borderId="85" xfId="0" applyFont="1" applyBorder="1" applyAlignment="1" applyProtection="1">
      <alignment horizontal="left" vertical="center"/>
      <protection locked="0"/>
    </xf>
    <xf numFmtId="0" fontId="15" fillId="0" borderId="86"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28" borderId="32" xfId="515" applyFont="1" applyFill="1" applyBorder="1" applyAlignment="1">
      <alignment horizontal="left" vertical="center"/>
    </xf>
    <xf numFmtId="0" fontId="15" fillId="28" borderId="35" xfId="515" applyFont="1" applyFill="1" applyBorder="1" applyAlignment="1">
      <alignment horizontal="left" vertical="center"/>
    </xf>
    <xf numFmtId="0" fontId="15" fillId="28" borderId="36" xfId="515" applyFont="1" applyFill="1" applyBorder="1" applyAlignment="1">
      <alignment horizontal="left" vertical="center"/>
    </xf>
    <xf numFmtId="0" fontId="85" fillId="0" borderId="22" xfId="0" applyFont="1" applyBorder="1" applyAlignment="1">
      <alignment horizontal="center" vertical="center" wrapText="1"/>
    </xf>
    <xf numFmtId="0" fontId="85" fillId="0" borderId="25" xfId="0" applyFont="1" applyBorder="1" applyAlignment="1">
      <alignment horizontal="center" vertical="center" wrapText="1"/>
    </xf>
    <xf numFmtId="0" fontId="0" fillId="0" borderId="35" xfId="0" applyBorder="1"/>
    <xf numFmtId="0" fontId="0" fillId="0" borderId="36" xfId="0" applyBorder="1"/>
    <xf numFmtId="0" fontId="18" fillId="0" borderId="32"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29" borderId="22" xfId="0" applyFont="1" applyFill="1" applyBorder="1" applyAlignment="1">
      <alignment horizontal="center" vertical="center" wrapText="1"/>
    </xf>
    <xf numFmtId="0" fontId="21" fillId="29" borderId="22" xfId="0" applyFont="1" applyFill="1" applyBorder="1" applyAlignment="1">
      <alignment horizontal="center" vertical="center" wrapText="1"/>
    </xf>
    <xf numFmtId="0" fontId="18" fillId="31" borderId="37" xfId="0" applyFont="1" applyFill="1" applyBorder="1" applyAlignment="1">
      <alignment horizontal="center" vertical="center" wrapText="1"/>
    </xf>
    <xf numFmtId="0" fontId="21" fillId="31" borderId="37" xfId="0" applyFont="1" applyFill="1" applyBorder="1" applyAlignment="1">
      <alignment horizontal="center" vertical="center" wrapText="1"/>
    </xf>
    <xf numFmtId="0" fontId="18" fillId="31" borderId="22" xfId="0" applyFont="1" applyFill="1" applyBorder="1" applyAlignment="1">
      <alignment horizontal="center" vertical="center" wrapText="1"/>
    </xf>
    <xf numFmtId="0" fontId="21" fillId="31" borderId="22" xfId="0" applyFont="1" applyFill="1" applyBorder="1" applyAlignment="1">
      <alignment horizontal="center" vertical="center" wrapText="1"/>
    </xf>
    <xf numFmtId="0" fontId="18" fillId="0" borderId="22" xfId="0" applyFont="1" applyBorder="1" applyAlignment="1">
      <alignment horizontal="center" vertical="center"/>
    </xf>
    <xf numFmtId="0" fontId="21" fillId="0" borderId="22" xfId="0" applyFont="1" applyBorder="1" applyAlignment="1">
      <alignment vertical="center"/>
    </xf>
    <xf numFmtId="0" fontId="18" fillId="89" borderId="22" xfId="0" applyFont="1" applyFill="1" applyBorder="1" applyAlignment="1">
      <alignment horizontal="center" vertical="center"/>
    </xf>
    <xf numFmtId="0" fontId="0" fillId="89" borderId="22" xfId="0" applyFill="1" applyBorder="1"/>
    <xf numFmtId="0" fontId="18" fillId="89" borderId="32" xfId="0" quotePrefix="1" applyFont="1" applyFill="1" applyBorder="1" applyAlignment="1">
      <alignment horizontal="center" vertical="center"/>
    </xf>
    <xf numFmtId="0" fontId="18" fillId="89" borderId="35" xfId="0" applyFont="1" applyFill="1" applyBorder="1" applyAlignment="1">
      <alignment horizontal="center" vertical="center"/>
    </xf>
    <xf numFmtId="0" fontId="18" fillId="89" borderId="36" xfId="0" applyFont="1" applyFill="1" applyBorder="1" applyAlignment="1">
      <alignment horizontal="center" vertical="center"/>
    </xf>
    <xf numFmtId="0" fontId="18" fillId="90" borderId="22" xfId="0" applyFont="1" applyFill="1" applyBorder="1" applyAlignment="1">
      <alignment horizontal="center" vertical="center" wrapText="1"/>
    </xf>
    <xf numFmtId="0" fontId="21" fillId="90" borderId="22" xfId="0" applyFont="1" applyFill="1" applyBorder="1" applyAlignment="1">
      <alignment horizontal="center" vertical="center" wrapText="1"/>
    </xf>
    <xf numFmtId="0" fontId="18" fillId="0" borderId="32" xfId="0" quotePrefix="1" applyFont="1" applyBorder="1" applyAlignment="1">
      <alignment horizontal="center" vertical="center"/>
    </xf>
    <xf numFmtId="0" fontId="18" fillId="0" borderId="35" xfId="0" quotePrefix="1" applyFont="1" applyBorder="1" applyAlignment="1">
      <alignment horizontal="center" vertical="center"/>
    </xf>
    <xf numFmtId="0" fontId="18" fillId="0" borderId="36" xfId="0" quotePrefix="1" applyFont="1" applyBorder="1" applyAlignment="1">
      <alignment horizontal="center" vertical="center"/>
    </xf>
    <xf numFmtId="0" fontId="18" fillId="32" borderId="22" xfId="0" applyFont="1" applyFill="1" applyBorder="1" applyAlignment="1">
      <alignment horizontal="center" vertical="center" wrapText="1"/>
    </xf>
    <xf numFmtId="0" fontId="21" fillId="32" borderId="22" xfId="0" applyFont="1" applyFill="1" applyBorder="1" applyAlignment="1">
      <alignment horizontal="center" vertical="center" wrapText="1"/>
    </xf>
    <xf numFmtId="0" fontId="18" fillId="0" borderId="32"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11" fillId="0" borderId="30" xfId="515" applyFont="1" applyBorder="1" applyAlignment="1">
      <alignment horizontal="center" textRotation="90" wrapText="1"/>
    </xf>
    <xf numFmtId="0" fontId="11" fillId="0" borderId="34" xfId="515" applyFont="1" applyBorder="1" applyAlignment="1">
      <alignment horizontal="center" textRotation="90" wrapText="1"/>
    </xf>
    <xf numFmtId="0" fontId="12" fillId="0" borderId="68" xfId="0" applyFont="1" applyBorder="1" applyAlignment="1">
      <alignment horizontal="center" textRotation="90" wrapText="1"/>
    </xf>
    <xf numFmtId="0" fontId="12" fillId="0" borderId="69" xfId="0" applyFont="1" applyBorder="1" applyAlignment="1">
      <alignment horizontal="center" textRotation="90" wrapText="1"/>
    </xf>
    <xf numFmtId="0" fontId="11" fillId="0" borderId="0" xfId="515" applyFont="1" applyAlignment="1">
      <alignment horizontal="left" vertical="top"/>
    </xf>
    <xf numFmtId="0" fontId="13" fillId="0" borderId="0" xfId="515" applyFont="1" applyAlignment="1">
      <alignment horizontal="left" vertical="top"/>
    </xf>
    <xf numFmtId="0" fontId="31" fillId="0" borderId="22" xfId="0" applyFont="1" applyBorder="1" applyAlignment="1">
      <alignment horizontal="center" vertical="center"/>
    </xf>
    <xf numFmtId="0" fontId="21" fillId="0" borderId="22" xfId="0" applyFont="1" applyBorder="1"/>
    <xf numFmtId="0" fontId="31" fillId="0" borderId="32" xfId="0" applyFont="1" applyBorder="1" applyAlignment="1">
      <alignment horizontal="center" vertical="center"/>
    </xf>
    <xf numFmtId="0" fontId="49" fillId="0" borderId="35" xfId="0" applyFont="1" applyBorder="1" applyAlignment="1">
      <alignment vertical="center"/>
    </xf>
    <xf numFmtId="0" fontId="49" fillId="0" borderId="36" xfId="0" applyFont="1" applyBorder="1" applyAlignment="1">
      <alignment vertical="center"/>
    </xf>
    <xf numFmtId="0" fontId="61" fillId="42" borderId="24" xfId="0" applyFont="1" applyFill="1" applyBorder="1" applyAlignment="1">
      <alignment horizontal="center"/>
    </xf>
    <xf numFmtId="0" fontId="64" fillId="42" borderId="61" xfId="0" applyFont="1" applyFill="1" applyBorder="1"/>
    <xf numFmtId="0" fontId="64" fillId="42" borderId="47" xfId="0" applyFont="1" applyFill="1" applyBorder="1"/>
    <xf numFmtId="0" fontId="31" fillId="0" borderId="32" xfId="0" applyFont="1" applyBorder="1" applyAlignment="1">
      <alignment vertical="center"/>
    </xf>
    <xf numFmtId="0" fontId="31" fillId="0" borderId="35" xfId="0" applyFont="1" applyBorder="1" applyAlignment="1">
      <alignment vertical="center"/>
    </xf>
    <xf numFmtId="0" fontId="31" fillId="0" borderId="36" xfId="0" applyFont="1" applyBorder="1" applyAlignment="1">
      <alignment vertical="center"/>
    </xf>
    <xf numFmtId="0" fontId="13" fillId="0" borderId="0" xfId="515" applyFont="1" applyAlignment="1">
      <alignment horizontal="left" vertical="center" wrapText="1"/>
    </xf>
    <xf numFmtId="0" fontId="11" fillId="0" borderId="0" xfId="515" applyFont="1" applyAlignment="1">
      <alignment horizontal="left" vertical="center" wrapText="1"/>
    </xf>
    <xf numFmtId="0" fontId="11" fillId="0" borderId="0" xfId="515" applyFont="1" applyAlignment="1">
      <alignment horizontal="left" vertical="top"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72" fillId="29" borderId="37" xfId="0" applyFont="1" applyFill="1" applyBorder="1" applyAlignment="1">
      <alignment horizontal="center" vertical="center"/>
    </xf>
    <xf numFmtId="0" fontId="75" fillId="0" borderId="37" xfId="0" applyFont="1" applyBorder="1"/>
    <xf numFmtId="0" fontId="27" fillId="32" borderId="37" xfId="0" applyFont="1" applyFill="1" applyBorder="1" applyAlignment="1">
      <alignment horizontal="center" vertical="center"/>
    </xf>
    <xf numFmtId="0" fontId="0" fillId="0" borderId="37" xfId="0" applyBorder="1"/>
    <xf numFmtId="0" fontId="11" fillId="27" borderId="54" xfId="0" applyFont="1" applyFill="1" applyBorder="1" applyAlignment="1">
      <alignment horizontal="center" vertical="center" wrapText="1"/>
    </xf>
    <xf numFmtId="0" fontId="0" fillId="0" borderId="54" xfId="0" applyBorder="1" applyAlignment="1">
      <alignment wrapText="1"/>
    </xf>
    <xf numFmtId="0" fontId="11" fillId="0" borderId="81" xfId="0" applyFont="1" applyBorder="1" applyAlignment="1">
      <alignment horizontal="center" vertical="center"/>
    </xf>
    <xf numFmtId="0" fontId="11" fillId="0" borderId="80" xfId="0" applyFont="1" applyBorder="1" applyAlignment="1">
      <alignment horizontal="center" vertical="center"/>
    </xf>
    <xf numFmtId="0" fontId="11" fillId="0" borderId="51" xfId="0" applyFont="1" applyBorder="1" applyAlignment="1">
      <alignment horizontal="center" vertical="center"/>
    </xf>
    <xf numFmtId="10" fontId="18" fillId="0" borderId="81" xfId="436" applyNumberFormat="1" applyFont="1" applyFill="1" applyBorder="1" applyAlignment="1" applyProtection="1">
      <alignment horizontal="center" vertical="center"/>
    </xf>
    <xf numFmtId="10" fontId="18" fillId="0" borderId="82" xfId="436" applyNumberFormat="1" applyFont="1" applyFill="1" applyBorder="1" applyAlignment="1" applyProtection="1">
      <alignment horizontal="center" vertical="center"/>
    </xf>
    <xf numFmtId="0" fontId="30"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7" fillId="31" borderId="37" xfId="0" applyFont="1" applyFill="1" applyBorder="1" applyAlignment="1">
      <alignment horizontal="center" vertical="center"/>
    </xf>
    <xf numFmtId="0" fontId="82" fillId="0" borderId="37" xfId="0" applyFont="1" applyBorder="1" applyAlignment="1">
      <alignment horizontal="center" vertical="center"/>
    </xf>
    <xf numFmtId="0" fontId="11"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2" fillId="0" borderId="30" xfId="0" applyFont="1" applyBorder="1" applyAlignment="1">
      <alignment horizontal="center" textRotation="90" wrapText="1"/>
    </xf>
    <xf numFmtId="0" fontId="12" fillId="0" borderId="34" xfId="0" applyFont="1" applyBorder="1" applyAlignment="1">
      <alignment horizontal="center" textRotation="90" wrapText="1"/>
    </xf>
    <xf numFmtId="0" fontId="34" fillId="0" borderId="22" xfId="0" applyFont="1" applyBorder="1" applyAlignment="1">
      <alignment vertical="center"/>
    </xf>
    <xf numFmtId="0" fontId="27" fillId="34" borderId="25" xfId="0" applyFont="1" applyFill="1" applyBorder="1" applyAlignment="1">
      <alignment horizontal="center" vertical="center"/>
    </xf>
    <xf numFmtId="0" fontId="0" fillId="0" borderId="25" xfId="0" applyBorder="1" applyAlignment="1">
      <alignment horizontal="center" vertical="center"/>
    </xf>
    <xf numFmtId="0" fontId="27" fillId="32" borderId="25" xfId="0" applyFont="1" applyFill="1" applyBorder="1" applyAlignment="1">
      <alignment horizontal="center" vertical="center"/>
    </xf>
    <xf numFmtId="0" fontId="0" fillId="0" borderId="25" xfId="0" applyBorder="1"/>
    <xf numFmtId="0" fontId="72" fillId="29" borderId="25" xfId="0" applyFont="1" applyFill="1" applyBorder="1" applyAlignment="1">
      <alignment horizontal="center" vertical="center"/>
    </xf>
    <xf numFmtId="0" fontId="75" fillId="29" borderId="25" xfId="0" applyFont="1" applyFill="1" applyBorder="1"/>
    <xf numFmtId="14" fontId="34" fillId="43" borderId="32" xfId="0" applyNumberFormat="1" applyFont="1" applyFill="1" applyBorder="1" applyAlignment="1">
      <alignment horizontal="center" vertical="center"/>
    </xf>
    <xf numFmtId="14" fontId="34"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8" fillId="0" borderId="0" xfId="0" applyFont="1" applyAlignment="1">
      <alignment horizontal="left" vertical="center"/>
    </xf>
    <xf numFmtId="0" fontId="27" fillId="31" borderId="25" xfId="0" applyFont="1" applyFill="1" applyBorder="1" applyAlignment="1">
      <alignment horizontal="center" vertical="center"/>
    </xf>
    <xf numFmtId="0" fontId="34" fillId="43" borderId="32" xfId="0" applyFont="1" applyFill="1" applyBorder="1" applyAlignment="1">
      <alignment vertical="center"/>
    </xf>
    <xf numFmtId="0" fontId="82" fillId="0" borderId="25" xfId="0" applyFont="1" applyBorder="1" applyAlignment="1">
      <alignment horizontal="center" vertical="center"/>
    </xf>
    <xf numFmtId="0" fontId="31" fillId="0" borderId="32" xfId="0" applyFont="1" applyBorder="1" applyAlignment="1">
      <alignment horizontal="center" vertical="center" wrapText="1"/>
    </xf>
    <xf numFmtId="0" fontId="11" fillId="0" borderId="30" xfId="0" applyFont="1" applyBorder="1" applyAlignment="1">
      <alignment horizontal="center" textRotation="90" wrapText="1"/>
    </xf>
    <xf numFmtId="0" fontId="25" fillId="0" borderId="34" xfId="0" applyFont="1" applyBorder="1" applyAlignment="1">
      <alignment horizontal="center" textRotation="90" wrapText="1"/>
    </xf>
    <xf numFmtId="1" fontId="31" fillId="37" borderId="32" xfId="0" applyNumberFormat="1" applyFont="1" applyFill="1" applyBorder="1" applyAlignment="1">
      <alignment horizontal="center" vertical="center"/>
    </xf>
    <xf numFmtId="1" fontId="31" fillId="37" borderId="35" xfId="0" applyNumberFormat="1" applyFont="1" applyFill="1" applyBorder="1" applyAlignment="1">
      <alignment horizontal="center" vertical="center"/>
    </xf>
    <xf numFmtId="1" fontId="31" fillId="37" borderId="36" xfId="0" applyNumberFormat="1" applyFont="1" applyFill="1" applyBorder="1" applyAlignment="1">
      <alignment horizontal="center" vertical="center"/>
    </xf>
    <xf numFmtId="0" fontId="11" fillId="0" borderId="62" xfId="0" applyFont="1" applyBorder="1" applyAlignment="1">
      <alignment horizontal="center" textRotation="90" wrapText="1"/>
    </xf>
    <xf numFmtId="0" fontId="11" fillId="0" borderId="29" xfId="0" applyFont="1" applyBorder="1" applyAlignment="1">
      <alignment horizontal="center" textRotation="90" wrapText="1"/>
    </xf>
    <xf numFmtId="0" fontId="11" fillId="0" borderId="34" xfId="0" applyFont="1" applyBorder="1" applyAlignment="1">
      <alignment horizontal="center" textRotation="90" wrapText="1"/>
    </xf>
    <xf numFmtId="0" fontId="31" fillId="0" borderId="24" xfId="0" applyFont="1" applyBorder="1" applyAlignment="1">
      <alignment horizontal="center" vertical="center" wrapText="1"/>
    </xf>
    <xf numFmtId="0" fontId="31" fillId="0" borderId="28" xfId="0" applyFont="1" applyBorder="1" applyAlignment="1">
      <alignment horizontal="center" vertical="center"/>
    </xf>
    <xf numFmtId="0" fontId="31" fillId="0" borderId="25" xfId="0" applyFont="1" applyBorder="1" applyAlignment="1">
      <alignment horizontal="center" vertical="center" wrapText="1"/>
    </xf>
    <xf numFmtId="0" fontId="73" fillId="0" borderId="37" xfId="0" applyFont="1" applyBorder="1" applyAlignment="1">
      <alignment horizontal="center" vertical="center"/>
    </xf>
    <xf numFmtId="0" fontId="34" fillId="0" borderId="25" xfId="0" applyFont="1" applyBorder="1" applyAlignment="1">
      <alignment horizontal="center" vertical="center"/>
    </xf>
    <xf numFmtId="0" fontId="34" fillId="0" borderId="37" xfId="0" applyFont="1" applyBorder="1" applyAlignment="1">
      <alignment horizontal="center" vertical="center"/>
    </xf>
    <xf numFmtId="0" fontId="18" fillId="32" borderId="58" xfId="0" applyFont="1" applyFill="1" applyBorder="1" applyAlignment="1">
      <alignment horizontal="center" vertical="center" wrapText="1"/>
    </xf>
    <xf numFmtId="49" fontId="18" fillId="39" borderId="58" xfId="0" applyNumberFormat="1" applyFont="1" applyFill="1" applyBorder="1" applyAlignment="1">
      <alignment horizontal="center" vertical="center" wrapText="1"/>
    </xf>
    <xf numFmtId="0" fontId="18" fillId="39" borderId="58" xfId="0" applyFont="1" applyFill="1" applyBorder="1" applyAlignment="1">
      <alignment horizontal="center" vertical="center"/>
    </xf>
    <xf numFmtId="0" fontId="18" fillId="39" borderId="58" xfId="0" applyFont="1" applyFill="1" applyBorder="1" applyAlignment="1">
      <alignment horizontal="center" vertical="center" wrapText="1"/>
    </xf>
    <xf numFmtId="0" fontId="27"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4" fillId="0" borderId="22" xfId="0" applyFont="1" applyBorder="1" applyAlignment="1">
      <alignment horizontal="center" vertical="center" wrapText="1"/>
    </xf>
    <xf numFmtId="0" fontId="17" fillId="0" borderId="22" xfId="0" applyFont="1" applyBorder="1" applyAlignment="1">
      <alignment horizontal="center" vertical="center"/>
    </xf>
    <xf numFmtId="0" fontId="34" fillId="0" borderId="22" xfId="0" applyFont="1" applyBorder="1" applyAlignment="1">
      <alignment horizontal="center" vertical="center"/>
    </xf>
    <xf numFmtId="0" fontId="34" fillId="0" borderId="22" xfId="0" applyFont="1" applyBorder="1" applyAlignment="1">
      <alignment horizontal="left" vertical="center" wrapText="1"/>
    </xf>
    <xf numFmtId="0" fontId="17" fillId="0" borderId="22" xfId="0" applyFont="1" applyBorder="1" applyAlignment="1">
      <alignment horizontal="left" vertical="center"/>
    </xf>
    <xf numFmtId="0" fontId="18" fillId="0" borderId="0" xfId="0" applyFont="1" applyAlignment="1">
      <alignment horizontal="justify" vertical="center"/>
    </xf>
    <xf numFmtId="0" fontId="135" fillId="0" borderId="30" xfId="0" applyFont="1" applyBorder="1" applyAlignment="1">
      <alignment horizontal="center" vertical="center" wrapText="1"/>
    </xf>
    <xf numFmtId="0" fontId="135" fillId="0" borderId="31" xfId="0" applyFont="1" applyBorder="1" applyAlignment="1">
      <alignment horizontal="center" vertical="center" wrapText="1"/>
    </xf>
    <xf numFmtId="0" fontId="135" fillId="0" borderId="3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horizontal="center" vertical="center" wrapText="1"/>
    </xf>
  </cellXfs>
  <cellStyles count="61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3" xfId="11" xr:uid="{00000000-0005-0000-0000-00000A000000}"/>
    <cellStyle name="20 % - Akzent1 4" xfId="12" xr:uid="{00000000-0005-0000-0000-00000B000000}"/>
    <cellStyle name="20 % - Akzent1 4 2" xfId="13" xr:uid="{00000000-0005-0000-0000-00000C000000}"/>
    <cellStyle name="20 % - Akzent1 4 3" xfId="14" xr:uid="{00000000-0005-0000-0000-00000D000000}"/>
    <cellStyle name="20 % - Akzent1 5" xfId="15" xr:uid="{00000000-0005-0000-0000-00000E000000}"/>
    <cellStyle name="20 % - Akzent1 6" xfId="16" xr:uid="{00000000-0005-0000-0000-00000F000000}"/>
    <cellStyle name="20 % - Akzent1 7" xfId="17" xr:uid="{00000000-0005-0000-0000-000010000000}"/>
    <cellStyle name="20 % - Akzent2 2" xfId="18" xr:uid="{00000000-0005-0000-0000-000011000000}"/>
    <cellStyle name="20 % - Akzent2 2 2" xfId="19" xr:uid="{00000000-0005-0000-0000-000012000000}"/>
    <cellStyle name="20 % - Akzent2 2 3" xfId="20" xr:uid="{00000000-0005-0000-0000-000013000000}"/>
    <cellStyle name="20 % - Akzent2 2 3 2" xfId="21" xr:uid="{00000000-0005-0000-0000-000014000000}"/>
    <cellStyle name="20 % - Akzent2 2 3 2 2" xfId="22" xr:uid="{00000000-0005-0000-0000-000015000000}"/>
    <cellStyle name="20 % - Akzent2 2 3 3" xfId="23" xr:uid="{00000000-0005-0000-0000-000016000000}"/>
    <cellStyle name="20 % - Akzent2 2 3 4" xfId="24" xr:uid="{00000000-0005-0000-0000-000017000000}"/>
    <cellStyle name="20 % - Akzent2 2 4" xfId="25" xr:uid="{00000000-0005-0000-0000-000018000000}"/>
    <cellStyle name="20 % - Akzent2 3" xfId="26" xr:uid="{00000000-0005-0000-0000-000019000000}"/>
    <cellStyle name="20 % - Akzent2 3 2" xfId="27" xr:uid="{00000000-0005-0000-0000-00001A000000}"/>
    <cellStyle name="20 % - Akzent2 3 3" xfId="28" xr:uid="{00000000-0005-0000-0000-00001B000000}"/>
    <cellStyle name="20 % - Akzent2 4" xfId="29" xr:uid="{00000000-0005-0000-0000-00001C000000}"/>
    <cellStyle name="20 % - Akzent2 4 2" xfId="30" xr:uid="{00000000-0005-0000-0000-00001D000000}"/>
    <cellStyle name="20 % - Akzent2 4 3" xfId="31" xr:uid="{00000000-0005-0000-0000-00001E000000}"/>
    <cellStyle name="20 % - Akzent2 5" xfId="32" xr:uid="{00000000-0005-0000-0000-00001F000000}"/>
    <cellStyle name="20 % - Akzent2 6" xfId="33" xr:uid="{00000000-0005-0000-0000-000020000000}"/>
    <cellStyle name="20 % - Akzent2 7" xfId="34" xr:uid="{00000000-0005-0000-0000-000021000000}"/>
    <cellStyle name="20 % - Akzent3 2" xfId="35" xr:uid="{00000000-0005-0000-0000-000022000000}"/>
    <cellStyle name="20 % - Akzent3 2 2" xfId="36" xr:uid="{00000000-0005-0000-0000-000023000000}"/>
    <cellStyle name="20 % - Akzent3 2 3" xfId="37" xr:uid="{00000000-0005-0000-0000-000024000000}"/>
    <cellStyle name="20 % - Akzent3 2 3 2" xfId="38" xr:uid="{00000000-0005-0000-0000-000025000000}"/>
    <cellStyle name="20 % - Akzent3 2 3 2 2" xfId="39" xr:uid="{00000000-0005-0000-0000-000026000000}"/>
    <cellStyle name="20 % - Akzent3 2 3 3" xfId="40" xr:uid="{00000000-0005-0000-0000-000027000000}"/>
    <cellStyle name="20 % - Akzent3 2 3 4" xfId="41" xr:uid="{00000000-0005-0000-0000-000028000000}"/>
    <cellStyle name="20 % - Akzent3 2 4" xfId="42" xr:uid="{00000000-0005-0000-0000-000029000000}"/>
    <cellStyle name="20 % - Akzent3 3" xfId="43" xr:uid="{00000000-0005-0000-0000-00002A000000}"/>
    <cellStyle name="20 % - Akzent3 3 2" xfId="44" xr:uid="{00000000-0005-0000-0000-00002B000000}"/>
    <cellStyle name="20 % - Akzent3 3 3" xfId="45" xr:uid="{00000000-0005-0000-0000-00002C000000}"/>
    <cellStyle name="20 % - Akzent3 4" xfId="46" xr:uid="{00000000-0005-0000-0000-00002D000000}"/>
    <cellStyle name="20 % - Akzent3 4 2" xfId="47" xr:uid="{00000000-0005-0000-0000-00002E000000}"/>
    <cellStyle name="20 % - Akzent3 4 3" xfId="48" xr:uid="{00000000-0005-0000-0000-00002F000000}"/>
    <cellStyle name="20 % - Akzent3 5" xfId="49" xr:uid="{00000000-0005-0000-0000-000030000000}"/>
    <cellStyle name="20 % - Akzent3 6" xfId="50" xr:uid="{00000000-0005-0000-0000-000031000000}"/>
    <cellStyle name="20 % - Akzent3 7" xfId="51" xr:uid="{00000000-0005-0000-0000-000032000000}"/>
    <cellStyle name="20 % - Akzent4 2" xfId="52" xr:uid="{00000000-0005-0000-0000-000033000000}"/>
    <cellStyle name="20 % - Akzent4 2 2" xfId="53" xr:uid="{00000000-0005-0000-0000-000034000000}"/>
    <cellStyle name="20 % - Akzent4 2 3" xfId="54" xr:uid="{00000000-0005-0000-0000-000035000000}"/>
    <cellStyle name="20 % - Akzent4 2 3 2" xfId="55" xr:uid="{00000000-0005-0000-0000-000036000000}"/>
    <cellStyle name="20 % - Akzent4 2 3 2 2" xfId="56" xr:uid="{00000000-0005-0000-0000-000037000000}"/>
    <cellStyle name="20 % - Akzent4 2 3 3" xfId="57" xr:uid="{00000000-0005-0000-0000-000038000000}"/>
    <cellStyle name="20 % - Akzent4 2 3 4" xfId="58" xr:uid="{00000000-0005-0000-0000-000039000000}"/>
    <cellStyle name="20 % - Akzent4 2 4" xfId="59" xr:uid="{00000000-0005-0000-0000-00003A000000}"/>
    <cellStyle name="20 % - Akzent4 3" xfId="60" xr:uid="{00000000-0005-0000-0000-00003B000000}"/>
    <cellStyle name="20 % - Akzent4 3 2" xfId="61" xr:uid="{00000000-0005-0000-0000-00003C000000}"/>
    <cellStyle name="20 % - Akzent4 3 3" xfId="62" xr:uid="{00000000-0005-0000-0000-00003D000000}"/>
    <cellStyle name="20 % - Akzent4 4" xfId="63" xr:uid="{00000000-0005-0000-0000-00003E000000}"/>
    <cellStyle name="20 % - Akzent4 4 2" xfId="64" xr:uid="{00000000-0005-0000-0000-00003F000000}"/>
    <cellStyle name="20 % - Akzent4 4 3" xfId="65" xr:uid="{00000000-0005-0000-0000-000040000000}"/>
    <cellStyle name="20 % - Akzent4 5" xfId="66" xr:uid="{00000000-0005-0000-0000-000041000000}"/>
    <cellStyle name="20 % - Akzent4 6" xfId="67" xr:uid="{00000000-0005-0000-0000-000042000000}"/>
    <cellStyle name="20 % - Akzent4 7" xfId="68" xr:uid="{00000000-0005-0000-0000-000043000000}"/>
    <cellStyle name="20 % - Akzent5 2" xfId="69" xr:uid="{00000000-0005-0000-0000-000044000000}"/>
    <cellStyle name="20 % - Akzent5 2 2" xfId="70" xr:uid="{00000000-0005-0000-0000-000045000000}"/>
    <cellStyle name="20 % - Akzent5 2 2 2" xfId="71" xr:uid="{00000000-0005-0000-0000-000046000000}"/>
    <cellStyle name="20 % - Akzent5 2 3" xfId="72" xr:uid="{00000000-0005-0000-0000-000047000000}"/>
    <cellStyle name="20 % - Akzent5 2 4" xfId="73" xr:uid="{00000000-0005-0000-0000-000048000000}"/>
    <cellStyle name="20 % - Akzent5 3" xfId="74" xr:uid="{00000000-0005-0000-0000-000049000000}"/>
    <cellStyle name="20 % - Akzent5 3 2" xfId="75" xr:uid="{00000000-0005-0000-0000-00004A000000}"/>
    <cellStyle name="20 % - Akzent5 3 3" xfId="76" xr:uid="{00000000-0005-0000-0000-00004B000000}"/>
    <cellStyle name="20 % - Akzent5 4" xfId="77" xr:uid="{00000000-0005-0000-0000-00004C000000}"/>
    <cellStyle name="20 % - Akzent5 4 2" xfId="78" xr:uid="{00000000-0005-0000-0000-00004D000000}"/>
    <cellStyle name="20 % - Akzent5 4 3" xfId="79" xr:uid="{00000000-0005-0000-0000-00004E000000}"/>
    <cellStyle name="20 % - Akzent5 5" xfId="80" xr:uid="{00000000-0005-0000-0000-00004F000000}"/>
    <cellStyle name="20 % - Akzent5 6" xfId="81" xr:uid="{00000000-0005-0000-0000-000050000000}"/>
    <cellStyle name="20 % - Akzent5 7" xfId="82" xr:uid="{00000000-0005-0000-0000-000051000000}"/>
    <cellStyle name="20 % - Akzent6 2" xfId="83" xr:uid="{00000000-0005-0000-0000-000052000000}"/>
    <cellStyle name="20 % - Akzent6 3" xfId="84" xr:uid="{00000000-0005-0000-0000-000053000000}"/>
    <cellStyle name="20 % - Akzent6 3 2" xfId="85" xr:uid="{00000000-0005-0000-0000-000054000000}"/>
    <cellStyle name="20 % - Akzent6 3 3" xfId="86" xr:uid="{00000000-0005-0000-0000-000055000000}"/>
    <cellStyle name="20 % - Akzent6 4" xfId="87" xr:uid="{00000000-0005-0000-0000-000056000000}"/>
    <cellStyle name="20 % - Akzent6 4 2" xfId="88" xr:uid="{00000000-0005-0000-0000-000057000000}"/>
    <cellStyle name="20 % - Akzent6 4 3" xfId="89" xr:uid="{00000000-0005-0000-0000-000058000000}"/>
    <cellStyle name="20 % - Akzent6 5" xfId="90" xr:uid="{00000000-0005-0000-0000-000059000000}"/>
    <cellStyle name="20 % - Akzent6 6" xfId="91" xr:uid="{00000000-0005-0000-0000-00005A000000}"/>
    <cellStyle name="20 % - Akzent6 7" xfId="92" xr:uid="{00000000-0005-0000-0000-00005B000000}"/>
    <cellStyle name="40 % - Akzent1 2" xfId="93" xr:uid="{00000000-0005-0000-0000-00005C000000}"/>
    <cellStyle name="40 % - Akzent1 2 2" xfId="94" xr:uid="{00000000-0005-0000-0000-00005D000000}"/>
    <cellStyle name="40 % - Akzent1 2 3" xfId="95" xr:uid="{00000000-0005-0000-0000-00005E000000}"/>
    <cellStyle name="40 % - Akzent1 3" xfId="96" xr:uid="{00000000-0005-0000-0000-00005F000000}"/>
    <cellStyle name="40 % - Akzent1 3 2" xfId="97" xr:uid="{00000000-0005-0000-0000-000060000000}"/>
    <cellStyle name="40 % - Akzent1 3 3" xfId="98" xr:uid="{00000000-0005-0000-0000-000061000000}"/>
    <cellStyle name="40 % - Akzent1 4" xfId="99" xr:uid="{00000000-0005-0000-0000-000062000000}"/>
    <cellStyle name="40 % - Akzent1 4 2" xfId="100" xr:uid="{00000000-0005-0000-0000-000063000000}"/>
    <cellStyle name="40 % - Akzent1 4 3" xfId="101" xr:uid="{00000000-0005-0000-0000-000064000000}"/>
    <cellStyle name="40 % - Akzent1 5" xfId="102" xr:uid="{00000000-0005-0000-0000-000065000000}"/>
    <cellStyle name="40 % - Akzent1 6" xfId="103" xr:uid="{00000000-0005-0000-0000-000066000000}"/>
    <cellStyle name="40 % - Akzent1 7" xfId="104" xr:uid="{00000000-0005-0000-0000-000067000000}"/>
    <cellStyle name="40 % - Akzent2 2" xfId="105" xr:uid="{00000000-0005-0000-0000-000068000000}"/>
    <cellStyle name="40 % - Akzent2 3" xfId="106" xr:uid="{00000000-0005-0000-0000-000069000000}"/>
    <cellStyle name="40 % - Akzent2 3 2" xfId="107" xr:uid="{00000000-0005-0000-0000-00006A000000}"/>
    <cellStyle name="40 % - Akzent2 3 3" xfId="108" xr:uid="{00000000-0005-0000-0000-00006B000000}"/>
    <cellStyle name="40 % - Akzent2 4" xfId="109" xr:uid="{00000000-0005-0000-0000-00006C000000}"/>
    <cellStyle name="40 % - Akzent2 4 2" xfId="110" xr:uid="{00000000-0005-0000-0000-00006D000000}"/>
    <cellStyle name="40 % - Akzent2 4 3" xfId="111" xr:uid="{00000000-0005-0000-0000-00006E000000}"/>
    <cellStyle name="40 % - Akzent2 5" xfId="112" xr:uid="{00000000-0005-0000-0000-00006F000000}"/>
    <cellStyle name="40 % - Akzent2 6" xfId="113" xr:uid="{00000000-0005-0000-0000-000070000000}"/>
    <cellStyle name="40 % - Akzent2 7" xfId="114" xr:uid="{00000000-0005-0000-0000-000071000000}"/>
    <cellStyle name="40 % - Akzent3 2" xfId="115" xr:uid="{00000000-0005-0000-0000-000072000000}"/>
    <cellStyle name="40 % - Akzent3 2 2" xfId="116" xr:uid="{00000000-0005-0000-0000-000073000000}"/>
    <cellStyle name="40 % - Akzent3 2 3" xfId="117" xr:uid="{00000000-0005-0000-0000-000074000000}"/>
    <cellStyle name="40 % - Akzent3 2 3 2" xfId="118" xr:uid="{00000000-0005-0000-0000-000075000000}"/>
    <cellStyle name="40 % - Akzent3 2 3 2 2" xfId="119" xr:uid="{00000000-0005-0000-0000-000076000000}"/>
    <cellStyle name="40 % - Akzent3 2 3 3" xfId="120" xr:uid="{00000000-0005-0000-0000-000077000000}"/>
    <cellStyle name="40 % - Akzent3 2 3 4" xfId="121" xr:uid="{00000000-0005-0000-0000-000078000000}"/>
    <cellStyle name="40 % - Akzent3 2 4" xfId="122" xr:uid="{00000000-0005-0000-0000-000079000000}"/>
    <cellStyle name="40 % - Akzent3 3" xfId="123" xr:uid="{00000000-0005-0000-0000-00007A000000}"/>
    <cellStyle name="40 % - Akzent3 3 2" xfId="124" xr:uid="{00000000-0005-0000-0000-00007B000000}"/>
    <cellStyle name="40 % - Akzent3 3 3" xfId="125" xr:uid="{00000000-0005-0000-0000-00007C000000}"/>
    <cellStyle name="40 % - Akzent3 4" xfId="126" xr:uid="{00000000-0005-0000-0000-00007D000000}"/>
    <cellStyle name="40 % - Akzent3 4 2" xfId="127" xr:uid="{00000000-0005-0000-0000-00007E000000}"/>
    <cellStyle name="40 % - Akzent3 4 3" xfId="128" xr:uid="{00000000-0005-0000-0000-00007F000000}"/>
    <cellStyle name="40 % - Akzent3 5" xfId="129" xr:uid="{00000000-0005-0000-0000-000080000000}"/>
    <cellStyle name="40 % - Akzent3 6" xfId="130" xr:uid="{00000000-0005-0000-0000-000081000000}"/>
    <cellStyle name="40 % - Akzent3 7" xfId="131" xr:uid="{00000000-0005-0000-0000-000082000000}"/>
    <cellStyle name="40 % - Akzent4 2" xfId="132" xr:uid="{00000000-0005-0000-0000-000083000000}"/>
    <cellStyle name="40 % - Akzent4 2 2" xfId="133" xr:uid="{00000000-0005-0000-0000-000084000000}"/>
    <cellStyle name="40 % - Akzent4 2 2 2" xfId="134" xr:uid="{00000000-0005-0000-0000-000085000000}"/>
    <cellStyle name="40 % - Akzent4 2 3" xfId="135" xr:uid="{00000000-0005-0000-0000-000086000000}"/>
    <cellStyle name="40 % - Akzent4 2 4" xfId="136" xr:uid="{00000000-0005-0000-0000-000087000000}"/>
    <cellStyle name="40 % - Akzent4 3" xfId="137" xr:uid="{00000000-0005-0000-0000-000088000000}"/>
    <cellStyle name="40 % - Akzent4 3 2" xfId="138" xr:uid="{00000000-0005-0000-0000-000089000000}"/>
    <cellStyle name="40 % - Akzent4 3 3" xfId="139" xr:uid="{00000000-0005-0000-0000-00008A000000}"/>
    <cellStyle name="40 % - Akzent4 4" xfId="140" xr:uid="{00000000-0005-0000-0000-00008B000000}"/>
    <cellStyle name="40 % - Akzent4 4 2" xfId="141" xr:uid="{00000000-0005-0000-0000-00008C000000}"/>
    <cellStyle name="40 % - Akzent4 4 3" xfId="142" xr:uid="{00000000-0005-0000-0000-00008D000000}"/>
    <cellStyle name="40 % - Akzent4 5" xfId="143" xr:uid="{00000000-0005-0000-0000-00008E000000}"/>
    <cellStyle name="40 % - Akzent4 6" xfId="144" xr:uid="{00000000-0005-0000-0000-00008F000000}"/>
    <cellStyle name="40 % - Akzent4 7" xfId="145" xr:uid="{00000000-0005-0000-0000-000090000000}"/>
    <cellStyle name="40 % - Akzent5 2" xfId="146" xr:uid="{00000000-0005-0000-0000-000091000000}"/>
    <cellStyle name="40 % - Akzent5 2 2" xfId="147" xr:uid="{00000000-0005-0000-0000-000092000000}"/>
    <cellStyle name="40 % - Akzent5 2 3" xfId="148" xr:uid="{00000000-0005-0000-0000-000093000000}"/>
    <cellStyle name="40 % - Akzent5 3" xfId="149" xr:uid="{00000000-0005-0000-0000-000094000000}"/>
    <cellStyle name="40 % - Akzent5 3 2" xfId="150" xr:uid="{00000000-0005-0000-0000-000095000000}"/>
    <cellStyle name="40 % - Akzent5 3 3" xfId="151" xr:uid="{00000000-0005-0000-0000-000096000000}"/>
    <cellStyle name="40 % - Akzent5 4" xfId="152" xr:uid="{00000000-0005-0000-0000-000097000000}"/>
    <cellStyle name="40 % - Akzent5 4 2" xfId="153" xr:uid="{00000000-0005-0000-0000-000098000000}"/>
    <cellStyle name="40 % - Akzent5 4 3" xfId="154" xr:uid="{00000000-0005-0000-0000-000099000000}"/>
    <cellStyle name="40 % - Akzent5 5" xfId="155" xr:uid="{00000000-0005-0000-0000-00009A000000}"/>
    <cellStyle name="40 % - Akzent5 6" xfId="156" xr:uid="{00000000-0005-0000-0000-00009B000000}"/>
    <cellStyle name="40 % - Akzent5 7" xfId="157" xr:uid="{00000000-0005-0000-0000-00009C000000}"/>
    <cellStyle name="40 % - Akzent6 2" xfId="158" xr:uid="{00000000-0005-0000-0000-00009D000000}"/>
    <cellStyle name="40 % - Akzent6 2 2" xfId="159" xr:uid="{00000000-0005-0000-0000-00009E000000}"/>
    <cellStyle name="40 % - Akzent6 2 2 2" xfId="160" xr:uid="{00000000-0005-0000-0000-00009F000000}"/>
    <cellStyle name="40 % - Akzent6 2 3" xfId="161" xr:uid="{00000000-0005-0000-0000-0000A0000000}"/>
    <cellStyle name="40 % - Akzent6 2 4" xfId="162" xr:uid="{00000000-0005-0000-0000-0000A1000000}"/>
    <cellStyle name="40 % - Akzent6 3" xfId="163" xr:uid="{00000000-0005-0000-0000-0000A2000000}"/>
    <cellStyle name="40 % - Akzent6 3 2" xfId="164" xr:uid="{00000000-0005-0000-0000-0000A3000000}"/>
    <cellStyle name="40 % - Akzent6 3 3" xfId="165" xr:uid="{00000000-0005-0000-0000-0000A4000000}"/>
    <cellStyle name="40 % - Akzent6 4" xfId="166" xr:uid="{00000000-0005-0000-0000-0000A5000000}"/>
    <cellStyle name="40 % - Akzent6 4 2" xfId="167" xr:uid="{00000000-0005-0000-0000-0000A6000000}"/>
    <cellStyle name="40 % - Akzent6 4 3" xfId="168" xr:uid="{00000000-0005-0000-0000-0000A7000000}"/>
    <cellStyle name="40 % - Akzent6 5" xfId="169" xr:uid="{00000000-0005-0000-0000-0000A8000000}"/>
    <cellStyle name="40 % - Akzent6 6" xfId="170" xr:uid="{00000000-0005-0000-0000-0000A9000000}"/>
    <cellStyle name="40 % - Akzent6 7" xfId="171" xr:uid="{00000000-0005-0000-0000-0000AA000000}"/>
    <cellStyle name="60 % - Akzent1 2" xfId="172" xr:uid="{00000000-0005-0000-0000-0000AB000000}"/>
    <cellStyle name="60 % - Akzent1 2 2" xfId="173" xr:uid="{00000000-0005-0000-0000-0000AC000000}"/>
    <cellStyle name="60 % - Akzent1 2 2 2" xfId="174" xr:uid="{00000000-0005-0000-0000-0000AD000000}"/>
    <cellStyle name="60 % - Akzent1 2 3" xfId="175" xr:uid="{00000000-0005-0000-0000-0000AE000000}"/>
    <cellStyle name="60 % - Akzent1 2 4" xfId="176" xr:uid="{00000000-0005-0000-0000-0000AF000000}"/>
    <cellStyle name="60 % - Akzent1 3" xfId="177" xr:uid="{00000000-0005-0000-0000-0000B0000000}"/>
    <cellStyle name="60 % - Akzent1 4" xfId="178" xr:uid="{00000000-0005-0000-0000-0000B1000000}"/>
    <cellStyle name="60 % - Akzent1 5" xfId="179" xr:uid="{00000000-0005-0000-0000-0000B2000000}"/>
    <cellStyle name="60 % - Akzent1 6" xfId="180" xr:uid="{00000000-0005-0000-0000-0000B3000000}"/>
    <cellStyle name="60 % - Akzent2 2" xfId="181" xr:uid="{00000000-0005-0000-0000-0000B4000000}"/>
    <cellStyle name="60 % - Akzent2 3" xfId="182" xr:uid="{00000000-0005-0000-0000-0000B5000000}"/>
    <cellStyle name="60 % - Akzent2 4" xfId="183" xr:uid="{00000000-0005-0000-0000-0000B6000000}"/>
    <cellStyle name="60 % - Akzent2 5" xfId="184" xr:uid="{00000000-0005-0000-0000-0000B7000000}"/>
    <cellStyle name="60 % - Akzent2 6" xfId="185" xr:uid="{00000000-0005-0000-0000-0000B8000000}"/>
    <cellStyle name="60 % - Akzent3 2" xfId="186" xr:uid="{00000000-0005-0000-0000-0000B9000000}"/>
    <cellStyle name="60 % - Akzent3 3" xfId="187" xr:uid="{00000000-0005-0000-0000-0000BA000000}"/>
    <cellStyle name="60 % - Akzent3 4" xfId="188" xr:uid="{00000000-0005-0000-0000-0000BB000000}"/>
    <cellStyle name="60 % - Akzent3 5" xfId="189" xr:uid="{00000000-0005-0000-0000-0000BC000000}"/>
    <cellStyle name="60 % - Akzent3 6" xfId="190" xr:uid="{00000000-0005-0000-0000-0000BD000000}"/>
    <cellStyle name="60 % - Akzent4 2" xfId="191" xr:uid="{00000000-0005-0000-0000-0000BE000000}"/>
    <cellStyle name="60 % - Akzent4 2 2" xfId="192" xr:uid="{00000000-0005-0000-0000-0000BF000000}"/>
    <cellStyle name="60 % - Akzent4 2 3" xfId="193" xr:uid="{00000000-0005-0000-0000-0000C0000000}"/>
    <cellStyle name="60 % - Akzent4 2 3 2" xfId="194" xr:uid="{00000000-0005-0000-0000-0000C1000000}"/>
    <cellStyle name="60 % - Akzent4 2 3 2 2" xfId="195" xr:uid="{00000000-0005-0000-0000-0000C2000000}"/>
    <cellStyle name="60 % - Akzent4 2 3 3" xfId="196" xr:uid="{00000000-0005-0000-0000-0000C3000000}"/>
    <cellStyle name="60 % - Akzent4 2 3 4" xfId="197" xr:uid="{00000000-0005-0000-0000-0000C4000000}"/>
    <cellStyle name="60 % - Akzent4 2 4" xfId="198" xr:uid="{00000000-0005-0000-0000-0000C5000000}"/>
    <cellStyle name="60 % - Akzent4 3" xfId="199" xr:uid="{00000000-0005-0000-0000-0000C6000000}"/>
    <cellStyle name="60 % - Akzent4 4" xfId="200" xr:uid="{00000000-0005-0000-0000-0000C7000000}"/>
    <cellStyle name="60 % - Akzent4 5" xfId="201" xr:uid="{00000000-0005-0000-0000-0000C8000000}"/>
    <cellStyle name="60 % - Akzent4 6" xfId="202" xr:uid="{00000000-0005-0000-0000-0000C9000000}"/>
    <cellStyle name="60 % - Akzent5 2" xfId="203" xr:uid="{00000000-0005-0000-0000-0000CA000000}"/>
    <cellStyle name="60 % - Akzent5 2 2" xfId="204" xr:uid="{00000000-0005-0000-0000-0000CB000000}"/>
    <cellStyle name="60 % - Akzent5 2 2 2" xfId="205" xr:uid="{00000000-0005-0000-0000-0000CC000000}"/>
    <cellStyle name="60 % - Akzent5 2 3" xfId="206" xr:uid="{00000000-0005-0000-0000-0000CD000000}"/>
    <cellStyle name="60 % - Akzent5 2 4" xfId="207" xr:uid="{00000000-0005-0000-0000-0000CE000000}"/>
    <cellStyle name="60 % - Akzent5 3" xfId="208" xr:uid="{00000000-0005-0000-0000-0000CF000000}"/>
    <cellStyle name="60 % - Akzent5 4" xfId="209" xr:uid="{00000000-0005-0000-0000-0000D0000000}"/>
    <cellStyle name="60 % - Akzent5 5" xfId="210" xr:uid="{00000000-0005-0000-0000-0000D1000000}"/>
    <cellStyle name="60 % - Akzent5 6" xfId="211" xr:uid="{00000000-0005-0000-0000-0000D2000000}"/>
    <cellStyle name="60 % - Akzent6 2" xfId="212" xr:uid="{00000000-0005-0000-0000-0000D3000000}"/>
    <cellStyle name="60 % - Akzent6 2 2" xfId="213" xr:uid="{00000000-0005-0000-0000-0000D4000000}"/>
    <cellStyle name="60 % - Akzent6 2 3" xfId="214" xr:uid="{00000000-0005-0000-0000-0000D5000000}"/>
    <cellStyle name="60 % - Akzent6 2 3 2" xfId="215" xr:uid="{00000000-0005-0000-0000-0000D6000000}"/>
    <cellStyle name="60 % - Akzent6 2 3 2 2" xfId="216" xr:uid="{00000000-0005-0000-0000-0000D7000000}"/>
    <cellStyle name="60 % - Akzent6 2 3 3" xfId="217" xr:uid="{00000000-0005-0000-0000-0000D8000000}"/>
    <cellStyle name="60 % - Akzent6 2 3 4" xfId="218" xr:uid="{00000000-0005-0000-0000-0000D9000000}"/>
    <cellStyle name="60 % - Akzent6 2 4" xfId="219" xr:uid="{00000000-0005-0000-0000-0000DA000000}"/>
    <cellStyle name="60 % - Akzent6 3" xfId="220" xr:uid="{00000000-0005-0000-0000-0000DB000000}"/>
    <cellStyle name="60 % - Akzent6 4" xfId="221" xr:uid="{00000000-0005-0000-0000-0000DC000000}"/>
    <cellStyle name="60 % - Akzent6 5" xfId="222" xr:uid="{00000000-0005-0000-0000-0000DD000000}"/>
    <cellStyle name="60 % - Akzent6 6" xfId="223" xr:uid="{00000000-0005-0000-0000-0000DE000000}"/>
    <cellStyle name="Accent1" xfId="246" xr:uid="{00000000-0005-0000-0000-0000DF000000}"/>
    <cellStyle name="Accent1 2" xfId="224" xr:uid="{00000000-0005-0000-0000-0000E0000000}"/>
    <cellStyle name="Accent1 3" xfId="225" xr:uid="{00000000-0005-0000-0000-0000E1000000}"/>
    <cellStyle name="Accent1 3 2" xfId="226" xr:uid="{00000000-0005-0000-0000-0000E2000000}"/>
    <cellStyle name="Accent1 4" xfId="227" xr:uid="{00000000-0005-0000-0000-0000E3000000}"/>
    <cellStyle name="Accent1 5" xfId="228" xr:uid="{00000000-0005-0000-0000-0000E4000000}"/>
    <cellStyle name="Accent1 5 2" xfId="588" xr:uid="{00000000-0005-0000-0000-0000E5000000}"/>
    <cellStyle name="Accent1 6" xfId="229" xr:uid="{00000000-0005-0000-0000-0000E6000000}"/>
    <cellStyle name="Accent2" xfId="249" xr:uid="{00000000-0005-0000-0000-0000E7000000}"/>
    <cellStyle name="Accent2 2" xfId="230" xr:uid="{00000000-0005-0000-0000-0000E8000000}"/>
    <cellStyle name="Accent2 3" xfId="231" xr:uid="{00000000-0005-0000-0000-0000E9000000}"/>
    <cellStyle name="Accent2 4" xfId="232" xr:uid="{00000000-0005-0000-0000-0000EA000000}"/>
    <cellStyle name="Accent2 4 2" xfId="589" xr:uid="{00000000-0005-0000-0000-0000EB000000}"/>
    <cellStyle name="Accent2 5" xfId="233" xr:uid="{00000000-0005-0000-0000-0000EC000000}"/>
    <cellStyle name="Accent3" xfId="252" xr:uid="{00000000-0005-0000-0000-0000ED000000}"/>
    <cellStyle name="Accent3 2" xfId="234" xr:uid="{00000000-0005-0000-0000-0000EE000000}"/>
    <cellStyle name="Accent3 3" xfId="235" xr:uid="{00000000-0005-0000-0000-0000EF000000}"/>
    <cellStyle name="Accent4" xfId="255" xr:uid="{00000000-0005-0000-0000-0000F0000000}"/>
    <cellStyle name="Accent4 2" xfId="236" xr:uid="{00000000-0005-0000-0000-0000F1000000}"/>
    <cellStyle name="Accent4 3" xfId="237" xr:uid="{00000000-0005-0000-0000-0000F2000000}"/>
    <cellStyle name="Accent4 3 2" xfId="238" xr:uid="{00000000-0005-0000-0000-0000F3000000}"/>
    <cellStyle name="Accent4 4" xfId="239" xr:uid="{00000000-0005-0000-0000-0000F4000000}"/>
    <cellStyle name="Accent4 5" xfId="240" xr:uid="{00000000-0005-0000-0000-0000F5000000}"/>
    <cellStyle name="Accent4 5 2" xfId="590" xr:uid="{00000000-0005-0000-0000-0000F6000000}"/>
    <cellStyle name="Accent4 6" xfId="241" xr:uid="{00000000-0005-0000-0000-0000F7000000}"/>
    <cellStyle name="Accent5" xfId="258" xr:uid="{00000000-0005-0000-0000-0000F8000000}"/>
    <cellStyle name="Accent5 2" xfId="242" xr:uid="{00000000-0005-0000-0000-0000F9000000}"/>
    <cellStyle name="Accent5 3" xfId="243" xr:uid="{00000000-0005-0000-0000-0000FA000000}"/>
    <cellStyle name="Accent6" xfId="261" xr:uid="{00000000-0005-0000-0000-0000FB000000}"/>
    <cellStyle name="Accent6 2" xfId="244" xr:uid="{00000000-0005-0000-0000-0000FC000000}"/>
    <cellStyle name="Accent6 3" xfId="245" xr:uid="{00000000-0005-0000-0000-0000FD000000}"/>
    <cellStyle name="Akzent1 2" xfId="247" xr:uid="{00000000-0005-0000-0000-0000FE000000}"/>
    <cellStyle name="Akzent1 3" xfId="248" xr:uid="{00000000-0005-0000-0000-0000FF000000}"/>
    <cellStyle name="Akzent2 2" xfId="250" xr:uid="{00000000-0005-0000-0000-000000010000}"/>
    <cellStyle name="Akzent2 3" xfId="251" xr:uid="{00000000-0005-0000-0000-000001010000}"/>
    <cellStyle name="Akzent3 2" xfId="253" xr:uid="{00000000-0005-0000-0000-000002010000}"/>
    <cellStyle name="Akzent3 3" xfId="254" xr:uid="{00000000-0005-0000-0000-000003010000}"/>
    <cellStyle name="Akzent4 2" xfId="256" xr:uid="{00000000-0005-0000-0000-000004010000}"/>
    <cellStyle name="Akzent4 3" xfId="257" xr:uid="{00000000-0005-0000-0000-000005010000}"/>
    <cellStyle name="Akzent5 2" xfId="259" xr:uid="{00000000-0005-0000-0000-000006010000}"/>
    <cellStyle name="Akzent5 3" xfId="260" xr:uid="{00000000-0005-0000-0000-000007010000}"/>
    <cellStyle name="Akzent6 2" xfId="262" xr:uid="{00000000-0005-0000-0000-000008010000}"/>
    <cellStyle name="Akzent6 3" xfId="263" xr:uid="{00000000-0005-0000-0000-000009010000}"/>
    <cellStyle name="Ausgabe 2" xfId="264" xr:uid="{00000000-0005-0000-0000-00000A010000}"/>
    <cellStyle name="Ausgabe 2 2" xfId="265" xr:uid="{00000000-0005-0000-0000-00000B010000}"/>
    <cellStyle name="Ausgabe 2 2 2" xfId="266" xr:uid="{00000000-0005-0000-0000-00000C010000}"/>
    <cellStyle name="Ausgabe 2 2 3" xfId="267" xr:uid="{00000000-0005-0000-0000-00000D010000}"/>
    <cellStyle name="Ausgabe 2 2 3 2" xfId="599" xr:uid="{00000000-0005-0000-0000-00000E010000}"/>
    <cellStyle name="Ausgabe 2 3" xfId="268" xr:uid="{00000000-0005-0000-0000-00000F010000}"/>
    <cellStyle name="Ausgabe 2 3 2" xfId="269" xr:uid="{00000000-0005-0000-0000-000010010000}"/>
    <cellStyle name="Ausgabe 2 3 2 2" xfId="270" xr:uid="{00000000-0005-0000-0000-000011010000}"/>
    <cellStyle name="Ausgabe 2 3 3" xfId="271" xr:uid="{00000000-0005-0000-0000-000012010000}"/>
    <cellStyle name="Ausgabe 2 3 3 2" xfId="600" xr:uid="{00000000-0005-0000-0000-000013010000}"/>
    <cellStyle name="Ausgabe 2 3 4" xfId="272" xr:uid="{00000000-0005-0000-0000-000014010000}"/>
    <cellStyle name="Ausgabe 2 4" xfId="273" xr:uid="{00000000-0005-0000-0000-000015010000}"/>
    <cellStyle name="Ausgabe 2 5" xfId="274" xr:uid="{00000000-0005-0000-0000-000016010000}"/>
    <cellStyle name="Ausgabe 2 5 2" xfId="601" xr:uid="{00000000-0005-0000-0000-000017010000}"/>
    <cellStyle name="Ausgabe 3" xfId="275" xr:uid="{00000000-0005-0000-0000-000018010000}"/>
    <cellStyle name="Ausgabe 3 2" xfId="276" xr:uid="{00000000-0005-0000-0000-000019010000}"/>
    <cellStyle name="Ausgabe 3 3" xfId="277" xr:uid="{00000000-0005-0000-0000-00001A010000}"/>
    <cellStyle name="Ausgabe 3 3 2" xfId="602" xr:uid="{00000000-0005-0000-0000-00001B010000}"/>
    <cellStyle name="Ausgabe 4" xfId="278" xr:uid="{00000000-0005-0000-0000-00001C010000}"/>
    <cellStyle name="Ausgabe 5" xfId="279" xr:uid="{00000000-0005-0000-0000-00001D010000}"/>
    <cellStyle name="Ausgabe 6" xfId="280" xr:uid="{00000000-0005-0000-0000-00001E010000}"/>
    <cellStyle name="Ausgabe 7" xfId="281" xr:uid="{00000000-0005-0000-0000-00001F010000}"/>
    <cellStyle name="Ausgabe 7 2" xfId="282" xr:uid="{00000000-0005-0000-0000-000020010000}"/>
    <cellStyle name="Ausgabe 7 3" xfId="283" xr:uid="{00000000-0005-0000-0000-000021010000}"/>
    <cellStyle name="Ausgabe 7 3 2" xfId="284" xr:uid="{00000000-0005-0000-0000-000022010000}"/>
    <cellStyle name="Ausgabe 7 3 3" xfId="603" xr:uid="{00000000-0005-0000-0000-000023010000}"/>
    <cellStyle name="Ausgabe 7 4" xfId="285" xr:uid="{00000000-0005-0000-0000-000024010000}"/>
    <cellStyle name="Ausgabe 8" xfId="286" xr:uid="{00000000-0005-0000-0000-000025010000}"/>
    <cellStyle name="Ausgabe 8 2" xfId="287" xr:uid="{00000000-0005-0000-0000-000026010000}"/>
    <cellStyle name="Bad" xfId="512" xr:uid="{00000000-0005-0000-0000-000027010000}"/>
    <cellStyle name="Bad 2" xfId="288" xr:uid="{00000000-0005-0000-0000-000028010000}"/>
    <cellStyle name="Bad 3" xfId="289" xr:uid="{00000000-0005-0000-0000-000029010000}"/>
    <cellStyle name="Berechnung 2" xfId="290" xr:uid="{00000000-0005-0000-0000-00002A010000}"/>
    <cellStyle name="Berechnung 2 2" xfId="291" xr:uid="{00000000-0005-0000-0000-00002B010000}"/>
    <cellStyle name="Berechnung 2 3" xfId="292" xr:uid="{00000000-0005-0000-0000-00002C010000}"/>
    <cellStyle name="Berechnung 2 3 2" xfId="293" xr:uid="{00000000-0005-0000-0000-00002D010000}"/>
    <cellStyle name="Berechnung 2 3 2 2" xfId="294" xr:uid="{00000000-0005-0000-0000-00002E010000}"/>
    <cellStyle name="Berechnung 2 3 3" xfId="295" xr:uid="{00000000-0005-0000-0000-00002F010000}"/>
    <cellStyle name="Berechnung 2 3 4" xfId="296" xr:uid="{00000000-0005-0000-0000-000030010000}"/>
    <cellStyle name="Berechnung 2 4" xfId="297" xr:uid="{00000000-0005-0000-0000-000031010000}"/>
    <cellStyle name="Berechnung 3" xfId="298" xr:uid="{00000000-0005-0000-0000-000032010000}"/>
    <cellStyle name="Berechnung 4" xfId="299" xr:uid="{00000000-0005-0000-0000-000033010000}"/>
    <cellStyle name="Berechnung 5" xfId="300" xr:uid="{00000000-0005-0000-0000-000034010000}"/>
    <cellStyle name="Berechnung 6" xfId="301" xr:uid="{00000000-0005-0000-0000-000035010000}"/>
    <cellStyle name="Berechnung 7" xfId="302" xr:uid="{00000000-0005-0000-0000-000036010000}"/>
    <cellStyle name="Berechnung 7 2" xfId="303" xr:uid="{00000000-0005-0000-0000-000037010000}"/>
    <cellStyle name="Berechnung 7 3" xfId="304" xr:uid="{00000000-0005-0000-0000-000038010000}"/>
    <cellStyle name="Berechnung 8" xfId="305" xr:uid="{00000000-0005-0000-0000-000039010000}"/>
    <cellStyle name="Calculation 2" xfId="306" xr:uid="{00000000-0005-0000-0000-00003A010000}"/>
    <cellStyle name="Check Cell" xfId="582" xr:uid="{00000000-0005-0000-0000-00003B010000}"/>
    <cellStyle name="Check Cell 2" xfId="307" xr:uid="{00000000-0005-0000-0000-00003C010000}"/>
    <cellStyle name="Check Cell 3" xfId="308" xr:uid="{00000000-0005-0000-0000-00003D010000}"/>
    <cellStyle name="Check Cell 4" xfId="309" xr:uid="{00000000-0005-0000-0000-00003E010000}"/>
    <cellStyle name="Comma 2" xfId="604" xr:uid="{00000000-0005-0000-0000-00003F010000}"/>
    <cellStyle name="Eingabe 2" xfId="310" xr:uid="{00000000-0005-0000-0000-000040010000}"/>
    <cellStyle name="Eingabe 3" xfId="311" xr:uid="{00000000-0005-0000-0000-000041010000}"/>
    <cellStyle name="Eingabe 4" xfId="312" xr:uid="{00000000-0005-0000-0000-000042010000}"/>
    <cellStyle name="Eingabe 5" xfId="313" xr:uid="{00000000-0005-0000-0000-000043010000}"/>
    <cellStyle name="Eingabe 6" xfId="314" xr:uid="{00000000-0005-0000-0000-000044010000}"/>
    <cellStyle name="Eingabe 7" xfId="315" xr:uid="{00000000-0005-0000-0000-000045010000}"/>
    <cellStyle name="Ergebnis 2" xfId="316" xr:uid="{00000000-0005-0000-0000-000046010000}"/>
    <cellStyle name="Ergebnis 2 2" xfId="317" xr:uid="{00000000-0005-0000-0000-000047010000}"/>
    <cellStyle name="Ergebnis 2 2 2" xfId="318" xr:uid="{00000000-0005-0000-0000-000048010000}"/>
    <cellStyle name="Ergebnis 2 3" xfId="319" xr:uid="{00000000-0005-0000-0000-000049010000}"/>
    <cellStyle name="Ergebnis 2 4" xfId="320" xr:uid="{00000000-0005-0000-0000-00004A010000}"/>
    <cellStyle name="Ergebnis 2 4 2" xfId="321" xr:uid="{00000000-0005-0000-0000-00004B010000}"/>
    <cellStyle name="Ergebnis 2 4 2 2" xfId="322" xr:uid="{00000000-0005-0000-0000-00004C010000}"/>
    <cellStyle name="Ergebnis 2 4 3" xfId="323" xr:uid="{00000000-0005-0000-0000-00004D010000}"/>
    <cellStyle name="Ergebnis 2 4 4" xfId="324" xr:uid="{00000000-0005-0000-0000-00004E010000}"/>
    <cellStyle name="Ergebnis 2 5" xfId="325" xr:uid="{00000000-0005-0000-0000-00004F010000}"/>
    <cellStyle name="Ergebnis 3" xfId="326" xr:uid="{00000000-0005-0000-0000-000050010000}"/>
    <cellStyle name="Ergebnis 3 2" xfId="327" xr:uid="{00000000-0005-0000-0000-000051010000}"/>
    <cellStyle name="Ergebnis 4" xfId="328" xr:uid="{00000000-0005-0000-0000-000052010000}"/>
    <cellStyle name="Ergebnis 4 2" xfId="329" xr:uid="{00000000-0005-0000-0000-000053010000}"/>
    <cellStyle name="Ergebnis 5" xfId="330" xr:uid="{00000000-0005-0000-0000-000054010000}"/>
    <cellStyle name="Ergebnis 6" xfId="331" xr:uid="{00000000-0005-0000-0000-000055010000}"/>
    <cellStyle name="Ergebnis 7" xfId="332" xr:uid="{00000000-0005-0000-0000-000056010000}"/>
    <cellStyle name="Ergebnis 8" xfId="333" xr:uid="{00000000-0005-0000-0000-000057010000}"/>
    <cellStyle name="Ergebnis 8 2" xfId="334" xr:uid="{00000000-0005-0000-0000-000058010000}"/>
    <cellStyle name="Ergebnis 8 3" xfId="335" xr:uid="{00000000-0005-0000-0000-000059010000}"/>
    <cellStyle name="Ergebnis 9" xfId="336" xr:uid="{00000000-0005-0000-0000-00005A010000}"/>
    <cellStyle name="Erklärender Text 2" xfId="337" xr:uid="{00000000-0005-0000-0000-00005B010000}"/>
    <cellStyle name="Erklärender Text 3" xfId="338" xr:uid="{00000000-0005-0000-0000-00005C010000}"/>
    <cellStyle name="Erklärender Text 4" xfId="339" xr:uid="{00000000-0005-0000-0000-00005D010000}"/>
    <cellStyle name="Erklärender Text 5" xfId="340" xr:uid="{00000000-0005-0000-0000-00005E010000}"/>
    <cellStyle name="Erklärender Text 6" xfId="341" xr:uid="{00000000-0005-0000-0000-00005F010000}"/>
    <cellStyle name="Good" xfId="344" xr:uid="{00000000-0005-0000-0000-000060010000}"/>
    <cellStyle name="Good 2" xfId="342" xr:uid="{00000000-0005-0000-0000-000061010000}"/>
    <cellStyle name="Good 3" xfId="343" xr:uid="{00000000-0005-0000-0000-000062010000}"/>
    <cellStyle name="Gut 2" xfId="345" xr:uid="{00000000-0005-0000-0000-000063010000}"/>
    <cellStyle name="Gut 3" xfId="346" xr:uid="{00000000-0005-0000-0000-000064010000}"/>
    <cellStyle name="Heading 1" xfId="556" xr:uid="{00000000-0005-0000-0000-000065010000}"/>
    <cellStyle name="Heading 1 2" xfId="347" xr:uid="{00000000-0005-0000-0000-000066010000}"/>
    <cellStyle name="Heading 1 2 2" xfId="348" xr:uid="{00000000-0005-0000-0000-000067010000}"/>
    <cellStyle name="Heading 1 3" xfId="349" xr:uid="{00000000-0005-0000-0000-000068010000}"/>
    <cellStyle name="Heading 1 4" xfId="350" xr:uid="{00000000-0005-0000-0000-000069010000}"/>
    <cellStyle name="Heading 1 4 2" xfId="592" xr:uid="{00000000-0005-0000-0000-00006A010000}"/>
    <cellStyle name="Heading 1 5" xfId="351" xr:uid="{00000000-0005-0000-0000-00006B010000}"/>
    <cellStyle name="Heading 2" xfId="559" xr:uid="{00000000-0005-0000-0000-00006C010000}"/>
    <cellStyle name="Heading 2 2" xfId="352" xr:uid="{00000000-0005-0000-0000-00006D010000}"/>
    <cellStyle name="Heading 2 2 2" xfId="353" xr:uid="{00000000-0005-0000-0000-00006E010000}"/>
    <cellStyle name="Heading 2 3" xfId="354" xr:uid="{00000000-0005-0000-0000-00006F010000}"/>
    <cellStyle name="Heading 2 4" xfId="355" xr:uid="{00000000-0005-0000-0000-000070010000}"/>
    <cellStyle name="Heading 2 4 2" xfId="593" xr:uid="{00000000-0005-0000-0000-000071010000}"/>
    <cellStyle name="Heading 2 5" xfId="356" xr:uid="{00000000-0005-0000-0000-000072010000}"/>
    <cellStyle name="Heading 3" xfId="562" xr:uid="{00000000-0005-0000-0000-000073010000}"/>
    <cellStyle name="Heading 3 2" xfId="357" xr:uid="{00000000-0005-0000-0000-000074010000}"/>
    <cellStyle name="Heading 3 2 2" xfId="358" xr:uid="{00000000-0005-0000-0000-000075010000}"/>
    <cellStyle name="Heading 3 3" xfId="359" xr:uid="{00000000-0005-0000-0000-000076010000}"/>
    <cellStyle name="Heading 3 4" xfId="360" xr:uid="{00000000-0005-0000-0000-000077010000}"/>
    <cellStyle name="Heading 3 4 2" xfId="594" xr:uid="{00000000-0005-0000-0000-000078010000}"/>
    <cellStyle name="Heading 3 5" xfId="361" xr:uid="{00000000-0005-0000-0000-000079010000}"/>
    <cellStyle name="Heading 4" xfId="565" xr:uid="{00000000-0005-0000-0000-00007A010000}"/>
    <cellStyle name="Heading 4 2" xfId="362" xr:uid="{00000000-0005-0000-0000-00007B010000}"/>
    <cellStyle name="Heading 4 2 2" xfId="363" xr:uid="{00000000-0005-0000-0000-00007C010000}"/>
    <cellStyle name="Heading 4 3" xfId="364" xr:uid="{00000000-0005-0000-0000-00007D010000}"/>
    <cellStyle name="Heading 4 4" xfId="365" xr:uid="{00000000-0005-0000-0000-00007E010000}"/>
    <cellStyle name="Heading 4 4 2" xfId="595" xr:uid="{00000000-0005-0000-0000-00007F010000}"/>
    <cellStyle name="Heading 4 5" xfId="366" xr:uid="{00000000-0005-0000-0000-000080010000}"/>
    <cellStyle name="Input 2" xfId="367" xr:uid="{00000000-0005-0000-0000-000081010000}"/>
    <cellStyle name="Komma 2" xfId="591" xr:uid="{00000000-0005-0000-0000-000082010000}"/>
    <cellStyle name="Linked Cell" xfId="570" xr:uid="{00000000-0005-0000-0000-000083010000}"/>
    <cellStyle name="Linked Cell 2" xfId="368" xr:uid="{00000000-0005-0000-0000-000084010000}"/>
    <cellStyle name="Linked Cell 3" xfId="369" xr:uid="{00000000-0005-0000-0000-000085010000}"/>
    <cellStyle name="Neutral" xfId="370" builtinId="28" customBuiltin="1"/>
    <cellStyle name="Normal" xfId="0" builtinId="0"/>
    <cellStyle name="Normal 2" xfId="371" xr:uid="{00000000-0005-0000-0000-000087010000}"/>
    <cellStyle name="Note" xfId="377" xr:uid="{00000000-0005-0000-0000-000088010000}"/>
    <cellStyle name="Note 2" xfId="372" xr:uid="{00000000-0005-0000-0000-000089010000}"/>
    <cellStyle name="Note 2 2" xfId="373" xr:uid="{00000000-0005-0000-0000-00008A010000}"/>
    <cellStyle name="Note 3" xfId="374" xr:uid="{00000000-0005-0000-0000-00008B010000}"/>
    <cellStyle name="Note 4" xfId="375" xr:uid="{00000000-0005-0000-0000-00008C010000}"/>
    <cellStyle name="Note 5" xfId="376" xr:uid="{00000000-0005-0000-0000-00008D010000}"/>
    <cellStyle name="Note 5 2" xfId="605" xr:uid="{00000000-0005-0000-0000-00008E010000}"/>
    <cellStyle name="Notiz 2" xfId="378" xr:uid="{00000000-0005-0000-0000-00008F010000}"/>
    <cellStyle name="Notiz 2 2" xfId="379" xr:uid="{00000000-0005-0000-0000-000090010000}"/>
    <cellStyle name="Notiz 2 2 2" xfId="380" xr:uid="{00000000-0005-0000-0000-000091010000}"/>
    <cellStyle name="Notiz 2 2 2 2" xfId="381" xr:uid="{00000000-0005-0000-0000-000092010000}"/>
    <cellStyle name="Notiz 2 2 2 2 2" xfId="382" xr:uid="{00000000-0005-0000-0000-000093010000}"/>
    <cellStyle name="Notiz 2 2 2 3" xfId="383" xr:uid="{00000000-0005-0000-0000-000094010000}"/>
    <cellStyle name="Notiz 2 2 3" xfId="384" xr:uid="{00000000-0005-0000-0000-000095010000}"/>
    <cellStyle name="Notiz 2 2 3 2" xfId="385" xr:uid="{00000000-0005-0000-0000-000096010000}"/>
    <cellStyle name="Notiz 2 2 4" xfId="386" xr:uid="{00000000-0005-0000-0000-000097010000}"/>
    <cellStyle name="Notiz 2 2 4 2" xfId="387" xr:uid="{00000000-0005-0000-0000-000098010000}"/>
    <cellStyle name="Notiz 2 2 4 3" xfId="388" xr:uid="{00000000-0005-0000-0000-000099010000}"/>
    <cellStyle name="Notiz 2 2 4 3 2" xfId="389" xr:uid="{00000000-0005-0000-0000-00009A010000}"/>
    <cellStyle name="Notiz 2 2 4 3 3" xfId="390" xr:uid="{00000000-0005-0000-0000-00009B010000}"/>
    <cellStyle name="Notiz 2 2 4 3 4" xfId="391" xr:uid="{00000000-0005-0000-0000-00009C010000}"/>
    <cellStyle name="Notiz 2 2 4 4" xfId="392" xr:uid="{00000000-0005-0000-0000-00009D010000}"/>
    <cellStyle name="Notiz 2 2 4 4 2" xfId="606" xr:uid="{00000000-0005-0000-0000-00009E010000}"/>
    <cellStyle name="Notiz 2 2 5" xfId="393" xr:uid="{00000000-0005-0000-0000-00009F010000}"/>
    <cellStyle name="Notiz 2 2 5 2" xfId="394" xr:uid="{00000000-0005-0000-0000-0000A0010000}"/>
    <cellStyle name="Notiz 2 2 5 3" xfId="395" xr:uid="{00000000-0005-0000-0000-0000A1010000}"/>
    <cellStyle name="Notiz 2 2 5 4" xfId="396" xr:uid="{00000000-0005-0000-0000-0000A2010000}"/>
    <cellStyle name="Notiz 2 2 5 4 2" xfId="607" xr:uid="{00000000-0005-0000-0000-0000A3010000}"/>
    <cellStyle name="Notiz 2 3" xfId="397" xr:uid="{00000000-0005-0000-0000-0000A4010000}"/>
    <cellStyle name="Notiz 2 3 2" xfId="398" xr:uid="{00000000-0005-0000-0000-0000A5010000}"/>
    <cellStyle name="Notiz 2 3 2 2" xfId="399" xr:uid="{00000000-0005-0000-0000-0000A6010000}"/>
    <cellStyle name="Notiz 2 3 3" xfId="400" xr:uid="{00000000-0005-0000-0000-0000A7010000}"/>
    <cellStyle name="Notiz 2 4" xfId="401" xr:uid="{00000000-0005-0000-0000-0000A8010000}"/>
    <cellStyle name="Notiz 2 4 2" xfId="402" xr:uid="{00000000-0005-0000-0000-0000A9010000}"/>
    <cellStyle name="Notiz 2 5" xfId="403" xr:uid="{00000000-0005-0000-0000-0000AA010000}"/>
    <cellStyle name="Notiz 3" xfId="404" xr:uid="{00000000-0005-0000-0000-0000AB010000}"/>
    <cellStyle name="Notiz 3 2" xfId="405" xr:uid="{00000000-0005-0000-0000-0000AC010000}"/>
    <cellStyle name="Notiz 3 2 2" xfId="406" xr:uid="{00000000-0005-0000-0000-0000AD010000}"/>
    <cellStyle name="Notiz 3 2 2 2" xfId="407" xr:uid="{00000000-0005-0000-0000-0000AE010000}"/>
    <cellStyle name="Notiz 3 2 3" xfId="408" xr:uid="{00000000-0005-0000-0000-0000AF010000}"/>
    <cellStyle name="Notiz 3 3" xfId="409" xr:uid="{00000000-0005-0000-0000-0000B0010000}"/>
    <cellStyle name="Notiz 3 3 2" xfId="410" xr:uid="{00000000-0005-0000-0000-0000B1010000}"/>
    <cellStyle name="Notiz 3 4" xfId="411" xr:uid="{00000000-0005-0000-0000-0000B2010000}"/>
    <cellStyle name="Notiz 4" xfId="412" xr:uid="{00000000-0005-0000-0000-0000B3010000}"/>
    <cellStyle name="Notiz 4 2" xfId="413" xr:uid="{00000000-0005-0000-0000-0000B4010000}"/>
    <cellStyle name="Notiz 4 2 2" xfId="414" xr:uid="{00000000-0005-0000-0000-0000B5010000}"/>
    <cellStyle name="Notiz 4 3" xfId="415" xr:uid="{00000000-0005-0000-0000-0000B6010000}"/>
    <cellStyle name="Notiz 5" xfId="416" xr:uid="{00000000-0005-0000-0000-0000B7010000}"/>
    <cellStyle name="Notiz 5 2" xfId="417" xr:uid="{00000000-0005-0000-0000-0000B8010000}"/>
    <cellStyle name="Notiz 5 2 2" xfId="418" xr:uid="{00000000-0005-0000-0000-0000B9010000}"/>
    <cellStyle name="Notiz 5 3" xfId="419" xr:uid="{00000000-0005-0000-0000-0000BA010000}"/>
    <cellStyle name="Notiz 6" xfId="420" xr:uid="{00000000-0005-0000-0000-0000BB010000}"/>
    <cellStyle name="Notiz 6 2" xfId="421" xr:uid="{00000000-0005-0000-0000-0000BC010000}"/>
    <cellStyle name="Notiz 7" xfId="422" xr:uid="{00000000-0005-0000-0000-0000BD010000}"/>
    <cellStyle name="Notiz 8" xfId="423" xr:uid="{00000000-0005-0000-0000-0000BE010000}"/>
    <cellStyle name="Output 2" xfId="424" xr:uid="{00000000-0005-0000-0000-0000BF010000}"/>
    <cellStyle name="Percent" xfId="425" builtinId="5"/>
    <cellStyle name="Percent 2" xfId="426" xr:uid="{00000000-0005-0000-0000-0000C0010000}"/>
    <cellStyle name="Prozent 10" xfId="427" xr:uid="{00000000-0005-0000-0000-0000C2010000}"/>
    <cellStyle name="Prozent 10 2" xfId="428" xr:uid="{00000000-0005-0000-0000-0000C3010000}"/>
    <cellStyle name="Prozent 10 3" xfId="429" xr:uid="{00000000-0005-0000-0000-0000C4010000}"/>
    <cellStyle name="Prozent 10 4" xfId="430" xr:uid="{00000000-0005-0000-0000-0000C5010000}"/>
    <cellStyle name="Prozent 10 4 2" xfId="608" xr:uid="{00000000-0005-0000-0000-0000C6010000}"/>
    <cellStyle name="Prozent 11" xfId="431" xr:uid="{00000000-0005-0000-0000-0000C7010000}"/>
    <cellStyle name="Prozent 12" xfId="432" xr:uid="{00000000-0005-0000-0000-0000C8010000}"/>
    <cellStyle name="Prozent 2" xfId="433" xr:uid="{00000000-0005-0000-0000-0000C9010000}"/>
    <cellStyle name="Prozent 3" xfId="434" xr:uid="{00000000-0005-0000-0000-0000CA010000}"/>
    <cellStyle name="Prozent 3 2" xfId="435" xr:uid="{00000000-0005-0000-0000-0000CB010000}"/>
    <cellStyle name="Prozent 3 2 2" xfId="436" xr:uid="{00000000-0005-0000-0000-0000CC010000}"/>
    <cellStyle name="Prozent 3 2 2 2" xfId="437" xr:uid="{00000000-0005-0000-0000-0000CD010000}"/>
    <cellStyle name="Prozent 3 2 2 2 2" xfId="438" xr:uid="{00000000-0005-0000-0000-0000CE010000}"/>
    <cellStyle name="Prozent 3 2 2 3" xfId="439" xr:uid="{00000000-0005-0000-0000-0000CF010000}"/>
    <cellStyle name="Prozent 3 2 3" xfId="440" xr:uid="{00000000-0005-0000-0000-0000D0010000}"/>
    <cellStyle name="Prozent 3 2 3 2" xfId="441" xr:uid="{00000000-0005-0000-0000-0000D1010000}"/>
    <cellStyle name="Prozent 3 2 4" xfId="442" xr:uid="{00000000-0005-0000-0000-0000D2010000}"/>
    <cellStyle name="Prozent 3 2 4 2" xfId="443" xr:uid="{00000000-0005-0000-0000-0000D3010000}"/>
    <cellStyle name="Prozent 3 2 4 3" xfId="444" xr:uid="{00000000-0005-0000-0000-0000D4010000}"/>
    <cellStyle name="Prozent 3 2 5" xfId="445" xr:uid="{00000000-0005-0000-0000-0000D5010000}"/>
    <cellStyle name="Prozent 3 3" xfId="446" xr:uid="{00000000-0005-0000-0000-0000D6010000}"/>
    <cellStyle name="Prozent 3 3 2" xfId="447" xr:uid="{00000000-0005-0000-0000-0000D7010000}"/>
    <cellStyle name="Prozent 3 3 2 2" xfId="448" xr:uid="{00000000-0005-0000-0000-0000D8010000}"/>
    <cellStyle name="Prozent 3 3 3" xfId="449" xr:uid="{00000000-0005-0000-0000-0000D9010000}"/>
    <cellStyle name="Prozent 3 4" xfId="450" xr:uid="{00000000-0005-0000-0000-0000DA010000}"/>
    <cellStyle name="Prozent 3 4 2" xfId="451" xr:uid="{00000000-0005-0000-0000-0000DB010000}"/>
    <cellStyle name="Prozent 3 5" xfId="452" xr:uid="{00000000-0005-0000-0000-0000DC010000}"/>
    <cellStyle name="Prozent 4" xfId="453" xr:uid="{00000000-0005-0000-0000-0000DD010000}"/>
    <cellStyle name="Prozent 4 2" xfId="454" xr:uid="{00000000-0005-0000-0000-0000DE010000}"/>
    <cellStyle name="Prozent 4 2 2" xfId="455" xr:uid="{00000000-0005-0000-0000-0000DF010000}"/>
    <cellStyle name="Prozent 4 2 2 2" xfId="456" xr:uid="{00000000-0005-0000-0000-0000E0010000}"/>
    <cellStyle name="Prozent 4 2 2 2 2" xfId="457" xr:uid="{00000000-0005-0000-0000-0000E1010000}"/>
    <cellStyle name="Prozent 4 2 2 3" xfId="458" xr:uid="{00000000-0005-0000-0000-0000E2010000}"/>
    <cellStyle name="Prozent 4 2 3" xfId="459" xr:uid="{00000000-0005-0000-0000-0000E3010000}"/>
    <cellStyle name="Prozent 4 2 3 2" xfId="460" xr:uid="{00000000-0005-0000-0000-0000E4010000}"/>
    <cellStyle name="Prozent 4 2 4" xfId="461" xr:uid="{00000000-0005-0000-0000-0000E5010000}"/>
    <cellStyle name="Prozent 4 3" xfId="462" xr:uid="{00000000-0005-0000-0000-0000E6010000}"/>
    <cellStyle name="Prozent 4 3 2" xfId="463" xr:uid="{00000000-0005-0000-0000-0000E7010000}"/>
    <cellStyle name="Prozent 4 3 2 2" xfId="464" xr:uid="{00000000-0005-0000-0000-0000E8010000}"/>
    <cellStyle name="Prozent 4 3 3" xfId="465" xr:uid="{00000000-0005-0000-0000-0000E9010000}"/>
    <cellStyle name="Prozent 4 3 3 2" xfId="466" xr:uid="{00000000-0005-0000-0000-0000EA010000}"/>
    <cellStyle name="Prozent 4 3 4" xfId="467" xr:uid="{00000000-0005-0000-0000-0000EB010000}"/>
    <cellStyle name="Prozent 4 3 4 2" xfId="468" xr:uid="{00000000-0005-0000-0000-0000EC010000}"/>
    <cellStyle name="Prozent 4 3 4 3" xfId="469" xr:uid="{00000000-0005-0000-0000-0000ED010000}"/>
    <cellStyle name="Prozent 4 3 4 4" xfId="470" xr:uid="{00000000-0005-0000-0000-0000EE010000}"/>
    <cellStyle name="Prozent 4 3 4 4 2" xfId="609" xr:uid="{00000000-0005-0000-0000-0000EF010000}"/>
    <cellStyle name="Prozent 4 4" xfId="471" xr:uid="{00000000-0005-0000-0000-0000F0010000}"/>
    <cellStyle name="Prozent 4 4 2" xfId="472" xr:uid="{00000000-0005-0000-0000-0000F1010000}"/>
    <cellStyle name="Prozent 4 5" xfId="473" xr:uid="{00000000-0005-0000-0000-0000F2010000}"/>
    <cellStyle name="Prozent 5" xfId="474" xr:uid="{00000000-0005-0000-0000-0000F3010000}"/>
    <cellStyle name="Prozent 5 2" xfId="475" xr:uid="{00000000-0005-0000-0000-0000F4010000}"/>
    <cellStyle name="Prozent 5 2 2" xfId="476" xr:uid="{00000000-0005-0000-0000-0000F5010000}"/>
    <cellStyle name="Prozent 5 2 2 2" xfId="477" xr:uid="{00000000-0005-0000-0000-0000F6010000}"/>
    <cellStyle name="Prozent 5 2 3" xfId="478" xr:uid="{00000000-0005-0000-0000-0000F7010000}"/>
    <cellStyle name="Prozent 5 3" xfId="479" xr:uid="{00000000-0005-0000-0000-0000F8010000}"/>
    <cellStyle name="Prozent 5 3 2" xfId="480" xr:uid="{00000000-0005-0000-0000-0000F9010000}"/>
    <cellStyle name="Prozent 5 4" xfId="481" xr:uid="{00000000-0005-0000-0000-0000FA010000}"/>
    <cellStyle name="Prozent 5 4 2" xfId="482" xr:uid="{00000000-0005-0000-0000-0000FB010000}"/>
    <cellStyle name="Prozent 5 4 3" xfId="483" xr:uid="{00000000-0005-0000-0000-0000FC010000}"/>
    <cellStyle name="Prozent 5 4 3 2" xfId="484" xr:uid="{00000000-0005-0000-0000-0000FD010000}"/>
    <cellStyle name="Prozent 5 4 3 3" xfId="485" xr:uid="{00000000-0005-0000-0000-0000FE010000}"/>
    <cellStyle name="Prozent 5 4 3 4" xfId="486" xr:uid="{00000000-0005-0000-0000-0000FF010000}"/>
    <cellStyle name="Prozent 5 4 4" xfId="487" xr:uid="{00000000-0005-0000-0000-000000020000}"/>
    <cellStyle name="Prozent 5 4 4 2" xfId="610" xr:uid="{00000000-0005-0000-0000-000001020000}"/>
    <cellStyle name="Prozent 5 5" xfId="488" xr:uid="{00000000-0005-0000-0000-000002020000}"/>
    <cellStyle name="Prozent 5 5 2" xfId="489" xr:uid="{00000000-0005-0000-0000-000003020000}"/>
    <cellStyle name="Prozent 5 5 3" xfId="490" xr:uid="{00000000-0005-0000-0000-000004020000}"/>
    <cellStyle name="Prozent 5 5 4" xfId="491" xr:uid="{00000000-0005-0000-0000-000005020000}"/>
    <cellStyle name="Prozent 5 5 4 2" xfId="611" xr:uid="{00000000-0005-0000-0000-000006020000}"/>
    <cellStyle name="Prozent 6" xfId="492" xr:uid="{00000000-0005-0000-0000-000007020000}"/>
    <cellStyle name="Prozent 6 2" xfId="493" xr:uid="{00000000-0005-0000-0000-000008020000}"/>
    <cellStyle name="Prozent 6 2 2" xfId="494" xr:uid="{00000000-0005-0000-0000-000009020000}"/>
    <cellStyle name="Prozent 6 3" xfId="495" xr:uid="{00000000-0005-0000-0000-00000A020000}"/>
    <cellStyle name="Prozent 7" xfId="496" xr:uid="{00000000-0005-0000-0000-00000B020000}"/>
    <cellStyle name="Prozent 7 2" xfId="497" xr:uid="{00000000-0005-0000-0000-00000C020000}"/>
    <cellStyle name="Prozent 7 2 2" xfId="498" xr:uid="{00000000-0005-0000-0000-00000D020000}"/>
    <cellStyle name="Prozent 7 3" xfId="499" xr:uid="{00000000-0005-0000-0000-00000E020000}"/>
    <cellStyle name="Prozent 8" xfId="500" xr:uid="{00000000-0005-0000-0000-00000F020000}"/>
    <cellStyle name="Prozent 8 2" xfId="501" xr:uid="{00000000-0005-0000-0000-000010020000}"/>
    <cellStyle name="Prozent 8 2 2" xfId="502" xr:uid="{00000000-0005-0000-0000-000011020000}"/>
    <cellStyle name="Prozent 8 2 3" xfId="503" xr:uid="{00000000-0005-0000-0000-000012020000}"/>
    <cellStyle name="Prozent 8 3" xfId="504" xr:uid="{00000000-0005-0000-0000-000013020000}"/>
    <cellStyle name="Prozent 8 3 2" xfId="505" xr:uid="{00000000-0005-0000-0000-000014020000}"/>
    <cellStyle name="Prozent 8 3 2 2" xfId="506" xr:uid="{00000000-0005-0000-0000-000015020000}"/>
    <cellStyle name="Prozent 8 3 2 3" xfId="507" xr:uid="{00000000-0005-0000-0000-000016020000}"/>
    <cellStyle name="Prozent 8 3 3" xfId="508" xr:uid="{00000000-0005-0000-0000-000017020000}"/>
    <cellStyle name="Prozent 8 3 3 2" xfId="509" xr:uid="{00000000-0005-0000-0000-000018020000}"/>
    <cellStyle name="Prozent 8 3 3 3" xfId="510" xr:uid="{00000000-0005-0000-0000-000019020000}"/>
    <cellStyle name="Prozent 9" xfId="511" xr:uid="{00000000-0005-0000-0000-00001A020000}"/>
    <cellStyle name="Schlecht 2" xfId="513" xr:uid="{00000000-0005-0000-0000-00001B020000}"/>
    <cellStyle name="Schlecht 3" xfId="514" xr:uid="{00000000-0005-0000-0000-00001C020000}"/>
    <cellStyle name="Standard 2" xfId="515" xr:uid="{00000000-0005-0000-0000-00001E020000}"/>
    <cellStyle name="Standard 2 2" xfId="516" xr:uid="{00000000-0005-0000-0000-00001F020000}"/>
    <cellStyle name="Standard 2 2 2" xfId="517" xr:uid="{00000000-0005-0000-0000-000020020000}"/>
    <cellStyle name="Standard 2 2 3" xfId="518" xr:uid="{00000000-0005-0000-0000-000021020000}"/>
    <cellStyle name="Standard 2 3" xfId="519" xr:uid="{00000000-0005-0000-0000-000022020000}"/>
    <cellStyle name="Standard 2 4" xfId="520" xr:uid="{00000000-0005-0000-0000-000023020000}"/>
    <cellStyle name="Standard 2 5" xfId="521" xr:uid="{00000000-0005-0000-0000-000024020000}"/>
    <cellStyle name="Standard 2 6" xfId="522" xr:uid="{00000000-0005-0000-0000-000025020000}"/>
    <cellStyle name="Standard 3" xfId="523" xr:uid="{00000000-0005-0000-0000-000026020000}"/>
    <cellStyle name="Standard 3 2" xfId="524" xr:uid="{00000000-0005-0000-0000-000027020000}"/>
    <cellStyle name="Standard 3 2 2" xfId="525" xr:uid="{00000000-0005-0000-0000-000028020000}"/>
    <cellStyle name="Standard 3 2 2 2" xfId="526" xr:uid="{00000000-0005-0000-0000-000029020000}"/>
    <cellStyle name="Standard 3 2 2 2 2" xfId="527" xr:uid="{00000000-0005-0000-0000-00002A020000}"/>
    <cellStyle name="Standard 3 2 2 3" xfId="528" xr:uid="{00000000-0005-0000-0000-00002B020000}"/>
    <cellStyle name="Standard 3 2 3" xfId="529" xr:uid="{00000000-0005-0000-0000-00002C020000}"/>
    <cellStyle name="Standard 3 2 3 2" xfId="530" xr:uid="{00000000-0005-0000-0000-00002D020000}"/>
    <cellStyle name="Standard 3 2 4" xfId="531" xr:uid="{00000000-0005-0000-0000-00002E020000}"/>
    <cellStyle name="Standard 3 2 4 2" xfId="532" xr:uid="{00000000-0005-0000-0000-00002F020000}"/>
    <cellStyle name="Standard 3 2 4 3" xfId="533" xr:uid="{00000000-0005-0000-0000-000030020000}"/>
    <cellStyle name="Standard 3 2 5" xfId="534" xr:uid="{00000000-0005-0000-0000-000031020000}"/>
    <cellStyle name="Standard 3 2 6" xfId="535" xr:uid="{00000000-0005-0000-0000-000032020000}"/>
    <cellStyle name="Standard 3 3" xfId="536" xr:uid="{00000000-0005-0000-0000-000033020000}"/>
    <cellStyle name="Standard 3 3 2" xfId="537" xr:uid="{00000000-0005-0000-0000-000034020000}"/>
    <cellStyle name="Standard 3 3 2 2" xfId="538" xr:uid="{00000000-0005-0000-0000-000035020000}"/>
    <cellStyle name="Standard 3 3 3" xfId="539" xr:uid="{00000000-0005-0000-0000-000036020000}"/>
    <cellStyle name="Standard 3 4" xfId="540" xr:uid="{00000000-0005-0000-0000-000037020000}"/>
    <cellStyle name="Standard 3 4 2" xfId="541" xr:uid="{00000000-0005-0000-0000-000038020000}"/>
    <cellStyle name="Standard 3 5" xfId="542" xr:uid="{00000000-0005-0000-0000-000039020000}"/>
    <cellStyle name="Standard 3 6" xfId="543" xr:uid="{00000000-0005-0000-0000-00003A020000}"/>
    <cellStyle name="Standard 4" xfId="544" xr:uid="{00000000-0005-0000-0000-00003B020000}"/>
    <cellStyle name="Standard 5" xfId="545" xr:uid="{00000000-0005-0000-0000-00003C020000}"/>
    <cellStyle name="Standard 5 2" xfId="546" xr:uid="{00000000-0005-0000-0000-00003D020000}"/>
    <cellStyle name="Standard 6" xfId="596" xr:uid="{00000000-0005-0000-0000-00003E020000}"/>
    <cellStyle name="Standard 6 2" xfId="612" xr:uid="{00000000-0005-0000-0000-00003F020000}"/>
    <cellStyle name="Standard 7" xfId="597" xr:uid="{00000000-0005-0000-0000-000040020000}"/>
    <cellStyle name="Standard_Bearbeitungsqualität 2011" xfId="547" xr:uid="{00000000-0005-0000-0000-000041020000}"/>
    <cellStyle name="Standard_Werte" xfId="548" xr:uid="{00000000-0005-0000-0000-000042020000}"/>
    <cellStyle name="Title" xfId="555" xr:uid="{00000000-0005-0000-0000-000043020000}"/>
    <cellStyle name="Title 2" xfId="549" xr:uid="{00000000-0005-0000-0000-000044020000}"/>
    <cellStyle name="Title 2 2" xfId="550" xr:uid="{00000000-0005-0000-0000-000045020000}"/>
    <cellStyle name="Title 3" xfId="551" xr:uid="{00000000-0005-0000-0000-000046020000}"/>
    <cellStyle name="Title 4" xfId="552" xr:uid="{00000000-0005-0000-0000-000047020000}"/>
    <cellStyle name="Title 4 2" xfId="598" xr:uid="{00000000-0005-0000-0000-000048020000}"/>
    <cellStyle name="Title 5" xfId="553" xr:uid="{00000000-0005-0000-0000-000049020000}"/>
    <cellStyle name="Total 2" xfId="554" xr:uid="{00000000-0005-0000-0000-00004A020000}"/>
    <cellStyle name="Überschrift 1 2" xfId="557" xr:uid="{00000000-0005-0000-0000-00004B020000}"/>
    <cellStyle name="Überschrift 1 3" xfId="558" xr:uid="{00000000-0005-0000-0000-00004C020000}"/>
    <cellStyle name="Überschrift 2 2" xfId="560" xr:uid="{00000000-0005-0000-0000-00004D020000}"/>
    <cellStyle name="Überschrift 2 3" xfId="561" xr:uid="{00000000-0005-0000-0000-00004E020000}"/>
    <cellStyle name="Überschrift 3 2" xfId="563" xr:uid="{00000000-0005-0000-0000-00004F020000}"/>
    <cellStyle name="Überschrift 3 3" xfId="564" xr:uid="{00000000-0005-0000-0000-000050020000}"/>
    <cellStyle name="Überschrift 4 2" xfId="566" xr:uid="{00000000-0005-0000-0000-000051020000}"/>
    <cellStyle name="Überschrift 4 3" xfId="567" xr:uid="{00000000-0005-0000-0000-000052020000}"/>
    <cellStyle name="Überschrift 5" xfId="568" xr:uid="{00000000-0005-0000-0000-000053020000}"/>
    <cellStyle name="Überschrift 6" xfId="569" xr:uid="{00000000-0005-0000-0000-000054020000}"/>
    <cellStyle name="Verknüpfte Zelle 2" xfId="571" xr:uid="{00000000-0005-0000-0000-000055020000}"/>
    <cellStyle name="Verknüpfte Zelle 3" xfId="572" xr:uid="{00000000-0005-0000-0000-000056020000}"/>
    <cellStyle name="Warnender Text 2" xfId="573" xr:uid="{00000000-0005-0000-0000-000057020000}"/>
    <cellStyle name="Warnender Text 2 2" xfId="574" xr:uid="{00000000-0005-0000-0000-000058020000}"/>
    <cellStyle name="Warnender Text 2 3" xfId="575" xr:uid="{00000000-0005-0000-0000-000059020000}"/>
    <cellStyle name="Warnender Text 2 3 2" xfId="576" xr:uid="{00000000-0005-0000-0000-00005A020000}"/>
    <cellStyle name="Warnender Text 2 3 3" xfId="577" xr:uid="{00000000-0005-0000-0000-00005B020000}"/>
    <cellStyle name="Warnender Text 3" xfId="578" xr:uid="{00000000-0005-0000-0000-00005C020000}"/>
    <cellStyle name="Warnender Text 4" xfId="579" xr:uid="{00000000-0005-0000-0000-00005D020000}"/>
    <cellStyle name="Warnender Text 5" xfId="580" xr:uid="{00000000-0005-0000-0000-00005E020000}"/>
    <cellStyle name="Warnender Text 6" xfId="581" xr:uid="{00000000-0005-0000-0000-00005F020000}"/>
    <cellStyle name="Zelle überprüfen 2" xfId="583" xr:uid="{00000000-0005-0000-0000-000060020000}"/>
    <cellStyle name="Zelle überprüfen 2 2" xfId="584" xr:uid="{00000000-0005-0000-0000-000061020000}"/>
    <cellStyle name="Zelle überprüfen 2 3" xfId="585" xr:uid="{00000000-0005-0000-0000-000062020000}"/>
    <cellStyle name="Zelle überprüfen 3" xfId="586" xr:uid="{00000000-0005-0000-0000-000063020000}"/>
    <cellStyle name="Zelle überprüfen 4" xfId="587" xr:uid="{00000000-0005-0000-0000-000064020000}"/>
  </cellStyles>
  <dxfs count="314">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lightUp">
          <fgColor theme="1" tint="0.499984740745262"/>
          <bgColor theme="0" tint="-0.24994659260841701"/>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rgb="FFCCFFCC"/>
        </patternFill>
      </fill>
    </dxf>
    <dxf>
      <fill>
        <patternFill>
          <bgColor rgb="FFCCFFCC"/>
        </patternFill>
      </fill>
    </dxf>
    <dxf>
      <fill>
        <patternFill>
          <bgColor rgb="FFDCE6F1"/>
        </patternFill>
      </fill>
    </dxf>
    <dxf>
      <fill>
        <patternFill>
          <bgColor rgb="FFCCFFCC"/>
        </patternFill>
      </fill>
    </dxf>
    <dxf>
      <fill>
        <patternFill>
          <bgColor rgb="FFCCFFCC"/>
        </patternFill>
      </fill>
    </dxf>
    <dxf>
      <fill>
        <patternFill>
          <bgColor theme="4" tint="0.79998168889431442"/>
        </patternFill>
      </fill>
    </dxf>
    <dxf>
      <fill>
        <patternFill>
          <bgColor theme="4" tint="0.79998168889431442"/>
        </patternFill>
      </fill>
    </dxf>
    <dxf>
      <fill>
        <patternFill>
          <bgColor rgb="FFCCFFCC"/>
        </patternFill>
      </fill>
    </dxf>
    <dxf>
      <fill>
        <patternFill>
          <bgColor rgb="FFCCFFCC"/>
        </patternFill>
      </fill>
    </dxf>
    <dxf>
      <fill>
        <patternFill>
          <bgColor indexed="44"/>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23"/>
        </patternFill>
      </fill>
    </dxf>
    <dxf>
      <fill>
        <patternFill>
          <bgColor indexed="23"/>
        </patternFill>
      </fill>
    </dxf>
    <dxf>
      <fill>
        <patternFill>
          <bgColor indexed="10"/>
        </patternFill>
      </fill>
    </dxf>
    <dxf>
      <fill>
        <patternFill>
          <bgColor indexed="10"/>
        </patternFill>
      </fill>
    </dxf>
    <dxf>
      <fill>
        <patternFill>
          <bgColor indexed="10"/>
        </patternFill>
      </fill>
    </dxf>
    <dxf>
      <fill>
        <patternFill>
          <bgColor indexed="42"/>
        </patternFill>
      </fill>
    </dxf>
    <dxf>
      <fill>
        <patternFill>
          <bgColor theme="0"/>
        </patternFill>
      </fill>
    </dxf>
    <dxf>
      <fill>
        <patternFill>
          <bgColor indexed="4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patternType="none">
          <bgColor indexed="65"/>
        </patternFill>
      </fill>
    </dxf>
    <dxf>
      <fill>
        <patternFill>
          <bgColor theme="0" tint="-0.24994659260841701"/>
        </patternFill>
      </fill>
    </dxf>
    <dxf>
      <fill>
        <patternFill>
          <bgColor indexed="23"/>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indexed="10"/>
        </patternFill>
      </fill>
    </dxf>
    <dxf>
      <fill>
        <patternFill patternType="none">
          <bgColor indexed="65"/>
        </patternFill>
      </fill>
    </dxf>
    <dxf>
      <fill>
        <patternFill>
          <bgColor indexed="10"/>
        </patternFill>
      </fill>
    </dxf>
    <dxf>
      <fill>
        <patternFill patternType="none">
          <bgColor indexed="65"/>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indexed="42"/>
        </patternFill>
      </fill>
    </dxf>
    <dxf>
      <fill>
        <patternFill>
          <bgColor indexed="23"/>
        </patternFill>
      </fill>
    </dxf>
    <dxf>
      <fill>
        <patternFill>
          <bgColor rgb="FFCCFFCA"/>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rgb="FF99FF66"/>
        </patternFill>
      </fill>
    </dxf>
    <dxf>
      <fill>
        <patternFill>
          <bgColor indexed="42"/>
        </patternFill>
      </fill>
    </dxf>
    <dxf>
      <fill>
        <patternFill>
          <bgColor indexed="42"/>
        </patternFill>
      </fill>
    </dxf>
    <dxf>
      <fill>
        <patternFill>
          <bgColor rgb="FF99FF66"/>
        </patternFill>
      </fill>
    </dxf>
    <dxf>
      <fill>
        <patternFill>
          <bgColor indexed="43"/>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tint="-0.24994659260841701"/>
        </patternFill>
      </fill>
    </dxf>
    <dxf>
      <fill>
        <patternFill>
          <bgColor rgb="FFDCE6F1"/>
        </patternFill>
      </fill>
    </dxf>
    <dxf>
      <fill>
        <patternFill>
          <bgColor rgb="FFBFBFBF"/>
        </patternFill>
      </fill>
    </dxf>
    <dxf>
      <fill>
        <patternFill>
          <bgColor theme="0" tint="-0.24994659260841701"/>
        </patternFill>
      </fill>
    </dxf>
    <dxf>
      <fill>
        <patternFill>
          <bgColor rgb="FFDCE6F1"/>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rgb="FF99FF66"/>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FFFFCC"/>
      <color rgb="FFFFFF99"/>
      <color rgb="FFCCECFF"/>
      <color rgb="FFCCFFCC"/>
      <color rgb="FF808080"/>
      <color rgb="FF99FF66"/>
      <color rgb="FFFF7C80"/>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2.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38100</xdr:rowOff>
    </xdr:from>
    <xdr:to>
      <xdr:col>10</xdr:col>
      <xdr:colOff>662940</xdr:colOff>
      <xdr:row>3</xdr:row>
      <xdr:rowOff>135255</xdr:rowOff>
    </xdr:to>
    <xdr:pic>
      <xdr:nvPicPr>
        <xdr:cNvPr id="237470" name="Grafik 1">
          <a:extLst>
            <a:ext uri="{FF2B5EF4-FFF2-40B4-BE49-F238E27FC236}">
              <a16:creationId xmlns:a16="http://schemas.microsoft.com/office/drawing/2014/main" id="{00000000-0008-0000-0100-00009E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523875</xdr:colOff>
      <xdr:row>12</xdr:row>
      <xdr:rowOff>9525</xdr:rowOff>
    </xdr:from>
    <xdr:to>
      <xdr:col>10</xdr:col>
      <xdr:colOff>624840</xdr:colOff>
      <xdr:row>12</xdr:row>
      <xdr:rowOff>19050</xdr:rowOff>
    </xdr:to>
    <xdr:pic>
      <xdr:nvPicPr>
        <xdr:cNvPr id="237471" name="Grafik 23">
          <a:extLst>
            <a:ext uri="{FF2B5EF4-FFF2-40B4-BE49-F238E27FC236}">
              <a16:creationId xmlns:a16="http://schemas.microsoft.com/office/drawing/2014/main" id="{00000000-0008-0000-0100-00009F9F03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237472" name="Grafik 22">
          <a:extLst>
            <a:ext uri="{FF2B5EF4-FFF2-40B4-BE49-F238E27FC236}">
              <a16:creationId xmlns:a16="http://schemas.microsoft.com/office/drawing/2014/main" id="{00000000-0008-0000-0100-0000A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552450</xdr:colOff>
      <xdr:row>6</xdr:row>
      <xdr:rowOff>0</xdr:rowOff>
    </xdr:from>
    <xdr:to>
      <xdr:col>11</xdr:col>
      <xdr:colOff>0</xdr:colOff>
      <xdr:row>6</xdr:row>
      <xdr:rowOff>97155</xdr:rowOff>
    </xdr:to>
    <xdr:pic>
      <xdr:nvPicPr>
        <xdr:cNvPr id="237473" name="Grafik 18">
          <a:extLst>
            <a:ext uri="{FF2B5EF4-FFF2-40B4-BE49-F238E27FC236}">
              <a16:creationId xmlns:a16="http://schemas.microsoft.com/office/drawing/2014/main" id="{00000000-0008-0000-0100-0000A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0" y="962025"/>
          <a:ext cx="12382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12</xdr:row>
      <xdr:rowOff>9525</xdr:rowOff>
    </xdr:from>
    <xdr:to>
      <xdr:col>11</xdr:col>
      <xdr:colOff>0</xdr:colOff>
      <xdr:row>12</xdr:row>
      <xdr:rowOff>114300</xdr:rowOff>
    </xdr:to>
    <xdr:pic>
      <xdr:nvPicPr>
        <xdr:cNvPr id="237474" name="Grafik 18">
          <a:extLst>
            <a:ext uri="{FF2B5EF4-FFF2-40B4-BE49-F238E27FC236}">
              <a16:creationId xmlns:a16="http://schemas.microsoft.com/office/drawing/2014/main" id="{00000000-0008-0000-0100-0000A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14</xdr:row>
      <xdr:rowOff>9525</xdr:rowOff>
    </xdr:from>
    <xdr:to>
      <xdr:col>11</xdr:col>
      <xdr:colOff>0</xdr:colOff>
      <xdr:row>14</xdr:row>
      <xdr:rowOff>114300</xdr:rowOff>
    </xdr:to>
    <xdr:pic>
      <xdr:nvPicPr>
        <xdr:cNvPr id="237475" name="Grafik 18">
          <a:extLst>
            <a:ext uri="{FF2B5EF4-FFF2-40B4-BE49-F238E27FC236}">
              <a16:creationId xmlns:a16="http://schemas.microsoft.com/office/drawing/2014/main" id="{00000000-0008-0000-0100-0000A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xdr:row>
      <xdr:rowOff>9525</xdr:rowOff>
    </xdr:from>
    <xdr:to>
      <xdr:col>3</xdr:col>
      <xdr:colOff>0</xdr:colOff>
      <xdr:row>6</xdr:row>
      <xdr:rowOff>114300</xdr:rowOff>
    </xdr:to>
    <xdr:pic>
      <xdr:nvPicPr>
        <xdr:cNvPr id="237476" name="Grafik 18">
          <a:extLst>
            <a:ext uri="{FF2B5EF4-FFF2-40B4-BE49-F238E27FC236}">
              <a16:creationId xmlns:a16="http://schemas.microsoft.com/office/drawing/2014/main" id="{00000000-0008-0000-0100-0000A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23</xdr:row>
      <xdr:rowOff>9525</xdr:rowOff>
    </xdr:from>
    <xdr:to>
      <xdr:col>11</xdr:col>
      <xdr:colOff>0</xdr:colOff>
      <xdr:row>23</xdr:row>
      <xdr:rowOff>114300</xdr:rowOff>
    </xdr:to>
    <xdr:pic>
      <xdr:nvPicPr>
        <xdr:cNvPr id="237477" name="Grafik 18">
          <a:extLst>
            <a:ext uri="{FF2B5EF4-FFF2-40B4-BE49-F238E27FC236}">
              <a16:creationId xmlns:a16="http://schemas.microsoft.com/office/drawing/2014/main" id="{00000000-0008-0000-0100-0000A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886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237478" name="Grafik 18">
          <a:extLst>
            <a:ext uri="{FF2B5EF4-FFF2-40B4-BE49-F238E27FC236}">
              <a16:creationId xmlns:a16="http://schemas.microsoft.com/office/drawing/2014/main" id="{00000000-0008-0000-0100-0000A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79" name="Grafik 18">
          <a:extLst>
            <a:ext uri="{FF2B5EF4-FFF2-40B4-BE49-F238E27FC236}">
              <a16:creationId xmlns:a16="http://schemas.microsoft.com/office/drawing/2014/main" id="{00000000-0008-0000-0100-0000A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33</xdr:row>
      <xdr:rowOff>9525</xdr:rowOff>
    </xdr:from>
    <xdr:to>
      <xdr:col>11</xdr:col>
      <xdr:colOff>0</xdr:colOff>
      <xdr:row>33</xdr:row>
      <xdr:rowOff>114300</xdr:rowOff>
    </xdr:to>
    <xdr:pic>
      <xdr:nvPicPr>
        <xdr:cNvPr id="237480" name="Grafik 18">
          <a:extLst>
            <a:ext uri="{FF2B5EF4-FFF2-40B4-BE49-F238E27FC236}">
              <a16:creationId xmlns:a16="http://schemas.microsoft.com/office/drawing/2014/main" id="{00000000-0008-0000-0100-0000A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33</xdr:row>
      <xdr:rowOff>9525</xdr:rowOff>
    </xdr:from>
    <xdr:to>
      <xdr:col>5</xdr:col>
      <xdr:colOff>0</xdr:colOff>
      <xdr:row>33</xdr:row>
      <xdr:rowOff>114300</xdr:rowOff>
    </xdr:to>
    <xdr:pic>
      <xdr:nvPicPr>
        <xdr:cNvPr id="237481" name="Grafik 18">
          <a:extLst>
            <a:ext uri="{FF2B5EF4-FFF2-40B4-BE49-F238E27FC236}">
              <a16:creationId xmlns:a16="http://schemas.microsoft.com/office/drawing/2014/main" id="{00000000-0008-0000-0100-0000A9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20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33</xdr:row>
      <xdr:rowOff>9525</xdr:rowOff>
    </xdr:from>
    <xdr:to>
      <xdr:col>4</xdr:col>
      <xdr:colOff>0</xdr:colOff>
      <xdr:row>33</xdr:row>
      <xdr:rowOff>114300</xdr:rowOff>
    </xdr:to>
    <xdr:pic>
      <xdr:nvPicPr>
        <xdr:cNvPr id="237482" name="Grafik 18">
          <a:extLst>
            <a:ext uri="{FF2B5EF4-FFF2-40B4-BE49-F238E27FC236}">
              <a16:creationId xmlns:a16="http://schemas.microsoft.com/office/drawing/2014/main" id="{00000000-0008-0000-0100-0000AA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33</xdr:row>
      <xdr:rowOff>9525</xdr:rowOff>
    </xdr:from>
    <xdr:to>
      <xdr:col>3</xdr:col>
      <xdr:colOff>0</xdr:colOff>
      <xdr:row>33</xdr:row>
      <xdr:rowOff>114300</xdr:rowOff>
    </xdr:to>
    <xdr:pic>
      <xdr:nvPicPr>
        <xdr:cNvPr id="237483" name="Grafik 18">
          <a:extLst>
            <a:ext uri="{FF2B5EF4-FFF2-40B4-BE49-F238E27FC236}">
              <a16:creationId xmlns:a16="http://schemas.microsoft.com/office/drawing/2014/main" id="{00000000-0008-0000-0100-0000A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33</xdr:row>
      <xdr:rowOff>9525</xdr:rowOff>
    </xdr:from>
    <xdr:to>
      <xdr:col>2</xdr:col>
      <xdr:colOff>0</xdr:colOff>
      <xdr:row>33</xdr:row>
      <xdr:rowOff>114300</xdr:rowOff>
    </xdr:to>
    <xdr:pic>
      <xdr:nvPicPr>
        <xdr:cNvPr id="237484" name="Grafik 18">
          <a:extLst>
            <a:ext uri="{FF2B5EF4-FFF2-40B4-BE49-F238E27FC236}">
              <a16:creationId xmlns:a16="http://schemas.microsoft.com/office/drawing/2014/main" id="{00000000-0008-0000-0100-0000A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30</xdr:row>
      <xdr:rowOff>9525</xdr:rowOff>
    </xdr:from>
    <xdr:to>
      <xdr:col>1</xdr:col>
      <xdr:colOff>0</xdr:colOff>
      <xdr:row>30</xdr:row>
      <xdr:rowOff>114300</xdr:rowOff>
    </xdr:to>
    <xdr:pic>
      <xdr:nvPicPr>
        <xdr:cNvPr id="237486" name="Grafik 18">
          <a:extLst>
            <a:ext uri="{FF2B5EF4-FFF2-40B4-BE49-F238E27FC236}">
              <a16:creationId xmlns:a16="http://schemas.microsoft.com/office/drawing/2014/main" id="{00000000-0008-0000-0100-0000A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295275</xdr:colOff>
      <xdr:row>0</xdr:row>
      <xdr:rowOff>114300</xdr:rowOff>
    </xdr:from>
    <xdr:to>
      <xdr:col>9</xdr:col>
      <xdr:colOff>47625</xdr:colOff>
      <xdr:row>3</xdr:row>
      <xdr:rowOff>95250</xdr:rowOff>
    </xdr:to>
    <xdr:pic>
      <xdr:nvPicPr>
        <xdr:cNvPr id="237488" name="Bild 9" descr="Bild1">
          <a:extLst>
            <a:ext uri="{FF2B5EF4-FFF2-40B4-BE49-F238E27FC236}">
              <a16:creationId xmlns:a16="http://schemas.microsoft.com/office/drawing/2014/main" id="{00000000-0008-0000-0100-0000B09F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114300"/>
          <a:ext cx="590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33</xdr:row>
      <xdr:rowOff>9525</xdr:rowOff>
    </xdr:from>
    <xdr:to>
      <xdr:col>6</xdr:col>
      <xdr:colOff>0</xdr:colOff>
      <xdr:row>33</xdr:row>
      <xdr:rowOff>114300</xdr:rowOff>
    </xdr:to>
    <xdr:pic>
      <xdr:nvPicPr>
        <xdr:cNvPr id="237489" name="Grafik 18">
          <a:extLst>
            <a:ext uri="{FF2B5EF4-FFF2-40B4-BE49-F238E27FC236}">
              <a16:creationId xmlns:a16="http://schemas.microsoft.com/office/drawing/2014/main" id="{00000000-0008-0000-0100-0000B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33</xdr:row>
      <xdr:rowOff>9525</xdr:rowOff>
    </xdr:from>
    <xdr:to>
      <xdr:col>7</xdr:col>
      <xdr:colOff>0</xdr:colOff>
      <xdr:row>33</xdr:row>
      <xdr:rowOff>114300</xdr:rowOff>
    </xdr:to>
    <xdr:pic>
      <xdr:nvPicPr>
        <xdr:cNvPr id="237490" name="Grafik 18">
          <a:extLst>
            <a:ext uri="{FF2B5EF4-FFF2-40B4-BE49-F238E27FC236}">
              <a16:creationId xmlns:a16="http://schemas.microsoft.com/office/drawing/2014/main" id="{00000000-0008-0000-0100-0000B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33</xdr:row>
      <xdr:rowOff>9525</xdr:rowOff>
    </xdr:from>
    <xdr:to>
      <xdr:col>1</xdr:col>
      <xdr:colOff>0</xdr:colOff>
      <xdr:row>33</xdr:row>
      <xdr:rowOff>114300</xdr:rowOff>
    </xdr:to>
    <xdr:pic>
      <xdr:nvPicPr>
        <xdr:cNvPr id="237491" name="Grafik 18">
          <a:extLst>
            <a:ext uri="{FF2B5EF4-FFF2-40B4-BE49-F238E27FC236}">
              <a16:creationId xmlns:a16="http://schemas.microsoft.com/office/drawing/2014/main" id="{00000000-0008-0000-0100-0000B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12</xdr:row>
      <xdr:rowOff>9525</xdr:rowOff>
    </xdr:from>
    <xdr:to>
      <xdr:col>4</xdr:col>
      <xdr:colOff>0</xdr:colOff>
      <xdr:row>12</xdr:row>
      <xdr:rowOff>114300</xdr:rowOff>
    </xdr:to>
    <xdr:pic>
      <xdr:nvPicPr>
        <xdr:cNvPr id="237492" name="Grafik 18">
          <a:extLst>
            <a:ext uri="{FF2B5EF4-FFF2-40B4-BE49-F238E27FC236}">
              <a16:creationId xmlns:a16="http://schemas.microsoft.com/office/drawing/2014/main" id="{00000000-0008-0000-0100-0000B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38</xdr:row>
      <xdr:rowOff>9525</xdr:rowOff>
    </xdr:from>
    <xdr:to>
      <xdr:col>11</xdr:col>
      <xdr:colOff>0</xdr:colOff>
      <xdr:row>38</xdr:row>
      <xdr:rowOff>114300</xdr:rowOff>
    </xdr:to>
    <xdr:pic>
      <xdr:nvPicPr>
        <xdr:cNvPr id="24" name="Grafik 18">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776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38</xdr:row>
      <xdr:rowOff>9525</xdr:rowOff>
    </xdr:from>
    <xdr:to>
      <xdr:col>10</xdr:col>
      <xdr:colOff>0</xdr:colOff>
      <xdr:row>38</xdr:row>
      <xdr:rowOff>114300</xdr:rowOff>
    </xdr:to>
    <xdr:pic>
      <xdr:nvPicPr>
        <xdr:cNvPr id="26" name="Grafik 18">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3025" y="776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914400</xdr:colOff>
      <xdr:row>1</xdr:row>
      <xdr:rowOff>19050</xdr:rowOff>
    </xdr:from>
    <xdr:to>
      <xdr:col>8</xdr:col>
      <xdr:colOff>247219</xdr:colOff>
      <xdr:row>3</xdr:row>
      <xdr:rowOff>16471</xdr:rowOff>
    </xdr:to>
    <xdr:pic>
      <xdr:nvPicPr>
        <xdr:cNvPr id="27" name="Grafik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86550" y="142875"/>
          <a:ext cx="1171144" cy="357466"/>
        </a:xfrm>
        <a:prstGeom prst="rect">
          <a:avLst/>
        </a:prstGeom>
      </xdr:spPr>
    </xdr:pic>
    <xdr:clientData/>
  </xdr:twoCellAnchor>
  <xdr:twoCellAnchor editAs="oneCell">
    <xdr:from>
      <xdr:col>8</xdr:col>
      <xdr:colOff>723900</xdr:colOff>
      <xdr:row>32</xdr:row>
      <xdr:rowOff>9525</xdr:rowOff>
    </xdr:from>
    <xdr:to>
      <xdr:col>9</xdr:col>
      <xdr:colOff>0</xdr:colOff>
      <xdr:row>32</xdr:row>
      <xdr:rowOff>114300</xdr:rowOff>
    </xdr:to>
    <xdr:pic>
      <xdr:nvPicPr>
        <xdr:cNvPr id="28" name="Grafik 18">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32</xdr:row>
      <xdr:rowOff>9525</xdr:rowOff>
    </xdr:from>
    <xdr:to>
      <xdr:col>10</xdr:col>
      <xdr:colOff>0</xdr:colOff>
      <xdr:row>32</xdr:row>
      <xdr:rowOff>114300</xdr:rowOff>
    </xdr:to>
    <xdr:pic>
      <xdr:nvPicPr>
        <xdr:cNvPr id="29" name="Grafik 1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12</xdr:row>
      <xdr:rowOff>9525</xdr:rowOff>
    </xdr:from>
    <xdr:to>
      <xdr:col>16</xdr:col>
      <xdr:colOff>3105150</xdr:colOff>
      <xdr:row>12</xdr:row>
      <xdr:rowOff>76200</xdr:rowOff>
    </xdr:to>
    <xdr:pic>
      <xdr:nvPicPr>
        <xdr:cNvPr id="237962" name="Grafik 18">
          <a:extLst>
            <a:ext uri="{FF2B5EF4-FFF2-40B4-BE49-F238E27FC236}">
              <a16:creationId xmlns:a16="http://schemas.microsoft.com/office/drawing/2014/main" id="{00000000-0008-0000-0400-00008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12</xdr:row>
      <xdr:rowOff>0</xdr:rowOff>
    </xdr:from>
    <xdr:to>
      <xdr:col>16</xdr:col>
      <xdr:colOff>2819400</xdr:colOff>
      <xdr:row>12</xdr:row>
      <xdr:rowOff>66675</xdr:rowOff>
    </xdr:to>
    <xdr:pic>
      <xdr:nvPicPr>
        <xdr:cNvPr id="237963" name="Grafik 18">
          <a:extLst>
            <a:ext uri="{FF2B5EF4-FFF2-40B4-BE49-F238E27FC236}">
              <a16:creationId xmlns:a16="http://schemas.microsoft.com/office/drawing/2014/main" id="{00000000-0008-0000-0400-00008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237964" name="Grafik 18">
          <a:extLst>
            <a:ext uri="{FF2B5EF4-FFF2-40B4-BE49-F238E27FC236}">
              <a16:creationId xmlns:a16="http://schemas.microsoft.com/office/drawing/2014/main" id="{00000000-0008-0000-0400-00008C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7</xdr:row>
      <xdr:rowOff>9525</xdr:rowOff>
    </xdr:from>
    <xdr:to>
      <xdr:col>12</xdr:col>
      <xdr:colOff>0</xdr:colOff>
      <xdr:row>7</xdr:row>
      <xdr:rowOff>114300</xdr:rowOff>
    </xdr:to>
    <xdr:pic>
      <xdr:nvPicPr>
        <xdr:cNvPr id="237965" name="Grafik 18">
          <a:extLst>
            <a:ext uri="{FF2B5EF4-FFF2-40B4-BE49-F238E27FC236}">
              <a16:creationId xmlns:a16="http://schemas.microsoft.com/office/drawing/2014/main" id="{00000000-0008-0000-0400-00008D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1114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66675</xdr:rowOff>
    </xdr:from>
    <xdr:to>
      <xdr:col>14</xdr:col>
      <xdr:colOff>400050</xdr:colOff>
      <xdr:row>3</xdr:row>
      <xdr:rowOff>171450</xdr:rowOff>
    </xdr:to>
    <xdr:pic>
      <xdr:nvPicPr>
        <xdr:cNvPr id="237967" name="Grafik 1">
          <a:extLst>
            <a:ext uri="{FF2B5EF4-FFF2-40B4-BE49-F238E27FC236}">
              <a16:creationId xmlns:a16="http://schemas.microsoft.com/office/drawing/2014/main" id="{00000000-0008-0000-0400-00008FA1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13</xdr:row>
      <xdr:rowOff>9525</xdr:rowOff>
    </xdr:from>
    <xdr:to>
      <xdr:col>12</xdr:col>
      <xdr:colOff>445770</xdr:colOff>
      <xdr:row>13</xdr:row>
      <xdr:rowOff>114300</xdr:rowOff>
    </xdr:to>
    <xdr:pic>
      <xdr:nvPicPr>
        <xdr:cNvPr id="237968" name="Grafik 18">
          <a:extLst>
            <a:ext uri="{FF2B5EF4-FFF2-40B4-BE49-F238E27FC236}">
              <a16:creationId xmlns:a16="http://schemas.microsoft.com/office/drawing/2014/main" id="{00000000-0008-0000-0400-000090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28822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609600</xdr:colOff>
      <xdr:row>0</xdr:row>
      <xdr:rowOff>104775</xdr:rowOff>
    </xdr:from>
    <xdr:to>
      <xdr:col>12</xdr:col>
      <xdr:colOff>142875</xdr:colOff>
      <xdr:row>3</xdr:row>
      <xdr:rowOff>76200</xdr:rowOff>
    </xdr:to>
    <xdr:pic>
      <xdr:nvPicPr>
        <xdr:cNvPr id="237970" name="Bild 9" descr="Bild1">
          <a:extLst>
            <a:ext uri="{FF2B5EF4-FFF2-40B4-BE49-F238E27FC236}">
              <a16:creationId xmlns:a16="http://schemas.microsoft.com/office/drawing/2014/main" id="{00000000-0008-0000-0400-000092A1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6625" y="1047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12</xdr:row>
      <xdr:rowOff>9525</xdr:rowOff>
    </xdr:from>
    <xdr:to>
      <xdr:col>16</xdr:col>
      <xdr:colOff>3105150</xdr:colOff>
      <xdr:row>12</xdr:row>
      <xdr:rowOff>76200</xdr:rowOff>
    </xdr:to>
    <xdr:pic>
      <xdr:nvPicPr>
        <xdr:cNvPr id="237971" name="Grafik 18">
          <a:extLst>
            <a:ext uri="{FF2B5EF4-FFF2-40B4-BE49-F238E27FC236}">
              <a16:creationId xmlns:a16="http://schemas.microsoft.com/office/drawing/2014/main" id="{00000000-0008-0000-0400-000093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12</xdr:row>
      <xdr:rowOff>0</xdr:rowOff>
    </xdr:from>
    <xdr:to>
      <xdr:col>16</xdr:col>
      <xdr:colOff>2819400</xdr:colOff>
      <xdr:row>12</xdr:row>
      <xdr:rowOff>66675</xdr:rowOff>
    </xdr:to>
    <xdr:pic>
      <xdr:nvPicPr>
        <xdr:cNvPr id="237972" name="Grafik 18">
          <a:extLst>
            <a:ext uri="{FF2B5EF4-FFF2-40B4-BE49-F238E27FC236}">
              <a16:creationId xmlns:a16="http://schemas.microsoft.com/office/drawing/2014/main" id="{00000000-0008-0000-0400-000094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237973" name="Grafik 18">
          <a:extLst>
            <a:ext uri="{FF2B5EF4-FFF2-40B4-BE49-F238E27FC236}">
              <a16:creationId xmlns:a16="http://schemas.microsoft.com/office/drawing/2014/main" id="{00000000-0008-0000-0400-000095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7</xdr:row>
      <xdr:rowOff>9525</xdr:rowOff>
    </xdr:from>
    <xdr:to>
      <xdr:col>4</xdr:col>
      <xdr:colOff>0</xdr:colOff>
      <xdr:row>7</xdr:row>
      <xdr:rowOff>114300</xdr:rowOff>
    </xdr:to>
    <xdr:pic>
      <xdr:nvPicPr>
        <xdr:cNvPr id="237974" name="Grafik 18">
          <a:extLst>
            <a:ext uri="{FF2B5EF4-FFF2-40B4-BE49-F238E27FC236}">
              <a16:creationId xmlns:a16="http://schemas.microsoft.com/office/drawing/2014/main" id="{00000000-0008-0000-0400-000096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12</xdr:row>
      <xdr:rowOff>9525</xdr:rowOff>
    </xdr:from>
    <xdr:to>
      <xdr:col>16</xdr:col>
      <xdr:colOff>4084320</xdr:colOff>
      <xdr:row>12</xdr:row>
      <xdr:rowOff>114300</xdr:rowOff>
    </xdr:to>
    <xdr:pic>
      <xdr:nvPicPr>
        <xdr:cNvPr id="237975" name="Grafik 18">
          <a:extLst>
            <a:ext uri="{FF2B5EF4-FFF2-40B4-BE49-F238E27FC236}">
              <a16:creationId xmlns:a16="http://schemas.microsoft.com/office/drawing/2014/main" id="{00000000-0008-0000-0400-000097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1240" y="24631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584835</xdr:colOff>
      <xdr:row>12</xdr:row>
      <xdr:rowOff>0</xdr:rowOff>
    </xdr:from>
    <xdr:to>
      <xdr:col>8</xdr:col>
      <xdr:colOff>3810</xdr:colOff>
      <xdr:row>12</xdr:row>
      <xdr:rowOff>104775</xdr:rowOff>
    </xdr:to>
    <xdr:pic>
      <xdr:nvPicPr>
        <xdr:cNvPr id="237976" name="Grafik 18">
          <a:extLst>
            <a:ext uri="{FF2B5EF4-FFF2-40B4-BE49-F238E27FC236}">
              <a16:creationId xmlns:a16="http://schemas.microsoft.com/office/drawing/2014/main" id="{00000000-0008-0000-0400-000098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3335" y="245364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19</xdr:row>
      <xdr:rowOff>0</xdr:rowOff>
    </xdr:from>
    <xdr:to>
      <xdr:col>12</xdr:col>
      <xdr:colOff>438150</xdr:colOff>
      <xdr:row>19</xdr:row>
      <xdr:rowOff>104775</xdr:rowOff>
    </xdr:to>
    <xdr:pic>
      <xdr:nvPicPr>
        <xdr:cNvPr id="237978" name="Grafik 18">
          <a:extLst>
            <a:ext uri="{FF2B5EF4-FFF2-40B4-BE49-F238E27FC236}">
              <a16:creationId xmlns:a16="http://schemas.microsoft.com/office/drawing/2014/main" id="{00000000-0008-0000-0400-00009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664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19</xdr:row>
      <xdr:rowOff>9525</xdr:rowOff>
    </xdr:from>
    <xdr:to>
      <xdr:col>12</xdr:col>
      <xdr:colOff>438150</xdr:colOff>
      <xdr:row>19</xdr:row>
      <xdr:rowOff>114300</xdr:rowOff>
    </xdr:to>
    <xdr:pic>
      <xdr:nvPicPr>
        <xdr:cNvPr id="237979" name="Grafik 18">
          <a:extLst>
            <a:ext uri="{FF2B5EF4-FFF2-40B4-BE49-F238E27FC236}">
              <a16:creationId xmlns:a16="http://schemas.microsoft.com/office/drawing/2014/main" id="{00000000-0008-0000-0400-00009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8134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23</xdr:row>
      <xdr:rowOff>9525</xdr:rowOff>
    </xdr:from>
    <xdr:to>
      <xdr:col>12</xdr:col>
      <xdr:colOff>438150</xdr:colOff>
      <xdr:row>23</xdr:row>
      <xdr:rowOff>114300</xdr:rowOff>
    </xdr:to>
    <xdr:pic>
      <xdr:nvPicPr>
        <xdr:cNvPr id="237980" name="Grafik 18">
          <a:extLst>
            <a:ext uri="{FF2B5EF4-FFF2-40B4-BE49-F238E27FC236}">
              <a16:creationId xmlns:a16="http://schemas.microsoft.com/office/drawing/2014/main" id="{00000000-0008-0000-0400-00009C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9582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16</xdr:row>
      <xdr:rowOff>9525</xdr:rowOff>
    </xdr:from>
    <xdr:to>
      <xdr:col>12</xdr:col>
      <xdr:colOff>445770</xdr:colOff>
      <xdr:row>16</xdr:row>
      <xdr:rowOff>114300</xdr:rowOff>
    </xdr:to>
    <xdr:pic>
      <xdr:nvPicPr>
        <xdr:cNvPr id="237981" name="Grafik 18">
          <a:extLst>
            <a:ext uri="{FF2B5EF4-FFF2-40B4-BE49-F238E27FC236}">
              <a16:creationId xmlns:a16="http://schemas.microsoft.com/office/drawing/2014/main" id="{00000000-0008-0000-0400-00009D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4848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11</xdr:row>
      <xdr:rowOff>9525</xdr:rowOff>
    </xdr:from>
    <xdr:to>
      <xdr:col>0</xdr:col>
      <xdr:colOff>255270</xdr:colOff>
      <xdr:row>11</xdr:row>
      <xdr:rowOff>114300</xdr:rowOff>
    </xdr:to>
    <xdr:pic>
      <xdr:nvPicPr>
        <xdr:cNvPr id="237982" name="Grafik 18">
          <a:extLst>
            <a:ext uri="{FF2B5EF4-FFF2-40B4-BE49-F238E27FC236}">
              <a16:creationId xmlns:a16="http://schemas.microsoft.com/office/drawing/2014/main" id="{00000000-0008-0000-0400-00009E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21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11</xdr:row>
      <xdr:rowOff>9525</xdr:rowOff>
    </xdr:from>
    <xdr:to>
      <xdr:col>1</xdr:col>
      <xdr:colOff>331470</xdr:colOff>
      <xdr:row>11</xdr:row>
      <xdr:rowOff>114300</xdr:rowOff>
    </xdr:to>
    <xdr:pic>
      <xdr:nvPicPr>
        <xdr:cNvPr id="237983" name="Grafik 18">
          <a:extLst>
            <a:ext uri="{FF2B5EF4-FFF2-40B4-BE49-F238E27FC236}">
              <a16:creationId xmlns:a16="http://schemas.microsoft.com/office/drawing/2014/main" id="{00000000-0008-0000-0400-00009F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 y="221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838200</xdr:colOff>
      <xdr:row>0</xdr:row>
      <xdr:rowOff>114300</xdr:rowOff>
    </xdr:from>
    <xdr:to>
      <xdr:col>11</xdr:col>
      <xdr:colOff>542494</xdr:colOff>
      <xdr:row>2</xdr:row>
      <xdr:rowOff>186016</xdr:rowOff>
    </xdr:to>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48375" y="114300"/>
          <a:ext cx="1171144" cy="357466"/>
        </a:xfrm>
        <a:prstGeom prst="rect">
          <a:avLst/>
        </a:prstGeom>
      </xdr:spPr>
    </xdr:pic>
    <xdr:clientData/>
  </xdr:twoCellAnchor>
  <xdr:twoCellAnchor editAs="oneCell">
    <xdr:from>
      <xdr:col>16</xdr:col>
      <xdr:colOff>3962400</xdr:colOff>
      <xdr:row>12</xdr:row>
      <xdr:rowOff>9525</xdr:rowOff>
    </xdr:from>
    <xdr:to>
      <xdr:col>16</xdr:col>
      <xdr:colOff>4076700</xdr:colOff>
      <xdr:row>12</xdr:row>
      <xdr:rowOff>114300</xdr:rowOff>
    </xdr:to>
    <xdr:pic>
      <xdr:nvPicPr>
        <xdr:cNvPr id="2" name="Grafik 18">
          <a:extLst>
            <a:ext uri="{FF2B5EF4-FFF2-40B4-BE49-F238E27FC236}">
              <a16:creationId xmlns:a16="http://schemas.microsoft.com/office/drawing/2014/main" id="{1CAFDF29-522D-411A-B2C9-EC962729D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13</xdr:row>
      <xdr:rowOff>9525</xdr:rowOff>
    </xdr:from>
    <xdr:to>
      <xdr:col>15</xdr:col>
      <xdr:colOff>571500</xdr:colOff>
      <xdr:row>13</xdr:row>
      <xdr:rowOff>103310</xdr:rowOff>
    </xdr:to>
    <xdr:pic>
      <xdr:nvPicPr>
        <xdr:cNvPr id="3" name="Grafik 31">
          <a:extLst>
            <a:ext uri="{FF2B5EF4-FFF2-40B4-BE49-F238E27FC236}">
              <a16:creationId xmlns:a16="http://schemas.microsoft.com/office/drawing/2014/main" id="{339BC535-BE5F-40F2-8113-BEBDEBE706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16</xdr:row>
      <xdr:rowOff>9525</xdr:rowOff>
    </xdr:from>
    <xdr:to>
      <xdr:col>15</xdr:col>
      <xdr:colOff>571500</xdr:colOff>
      <xdr:row>16</xdr:row>
      <xdr:rowOff>103310</xdr:rowOff>
    </xdr:to>
    <xdr:pic>
      <xdr:nvPicPr>
        <xdr:cNvPr id="4" name="Grafik 31">
          <a:extLst>
            <a:ext uri="{FF2B5EF4-FFF2-40B4-BE49-F238E27FC236}">
              <a16:creationId xmlns:a16="http://schemas.microsoft.com/office/drawing/2014/main" id="{482A76C0-DAE1-4889-A475-8253B69FD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6861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19</xdr:row>
      <xdr:rowOff>9525</xdr:rowOff>
    </xdr:from>
    <xdr:to>
      <xdr:col>15</xdr:col>
      <xdr:colOff>571500</xdr:colOff>
      <xdr:row>19</xdr:row>
      <xdr:rowOff>103310</xdr:rowOff>
    </xdr:to>
    <xdr:pic>
      <xdr:nvPicPr>
        <xdr:cNvPr id="5" name="Grafik 31">
          <a:extLst>
            <a:ext uri="{FF2B5EF4-FFF2-40B4-BE49-F238E27FC236}">
              <a16:creationId xmlns:a16="http://schemas.microsoft.com/office/drawing/2014/main" id="{E24E7C9C-06FA-4756-B6D2-499372228C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23</xdr:row>
      <xdr:rowOff>9525</xdr:rowOff>
    </xdr:from>
    <xdr:to>
      <xdr:col>15</xdr:col>
      <xdr:colOff>571500</xdr:colOff>
      <xdr:row>23</xdr:row>
      <xdr:rowOff>103310</xdr:rowOff>
    </xdr:to>
    <xdr:pic>
      <xdr:nvPicPr>
        <xdr:cNvPr id="6" name="Grafik 31">
          <a:extLst>
            <a:ext uri="{FF2B5EF4-FFF2-40B4-BE49-F238E27FC236}">
              <a16:creationId xmlns:a16="http://schemas.microsoft.com/office/drawing/2014/main" id="{FFC9113F-0509-4B53-B42B-401C0E879E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12</xdr:row>
      <xdr:rowOff>9525</xdr:rowOff>
    </xdr:from>
    <xdr:to>
      <xdr:col>20</xdr:col>
      <xdr:colOff>3105150</xdr:colOff>
      <xdr:row>12</xdr:row>
      <xdr:rowOff>76200</xdr:rowOff>
    </xdr:to>
    <xdr:pic>
      <xdr:nvPicPr>
        <xdr:cNvPr id="2" name="Grafik 18">
          <a:extLst>
            <a:ext uri="{FF2B5EF4-FFF2-40B4-BE49-F238E27FC236}">
              <a16:creationId xmlns:a16="http://schemas.microsoft.com/office/drawing/2014/main" id="{8D7E972D-FBCB-441E-87A3-49E672C1A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3" name="Grafik 18">
          <a:extLst>
            <a:ext uri="{FF2B5EF4-FFF2-40B4-BE49-F238E27FC236}">
              <a16:creationId xmlns:a16="http://schemas.microsoft.com/office/drawing/2014/main" id="{CD4098F6-0F5D-4310-A994-B2564769D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9525</xdr:rowOff>
    </xdr:from>
    <xdr:to>
      <xdr:col>14</xdr:col>
      <xdr:colOff>0</xdr:colOff>
      <xdr:row>5</xdr:row>
      <xdr:rowOff>114300</xdr:rowOff>
    </xdr:to>
    <xdr:pic>
      <xdr:nvPicPr>
        <xdr:cNvPr id="4" name="Grafik 18">
          <a:extLst>
            <a:ext uri="{FF2B5EF4-FFF2-40B4-BE49-F238E27FC236}">
              <a16:creationId xmlns:a16="http://schemas.microsoft.com/office/drawing/2014/main" id="{1D5D025A-D48E-400D-86EB-818890B54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7</xdr:row>
      <xdr:rowOff>9525</xdr:rowOff>
    </xdr:from>
    <xdr:to>
      <xdr:col>14</xdr:col>
      <xdr:colOff>0</xdr:colOff>
      <xdr:row>7</xdr:row>
      <xdr:rowOff>114300</xdr:rowOff>
    </xdr:to>
    <xdr:pic>
      <xdr:nvPicPr>
        <xdr:cNvPr id="5" name="Grafik 18">
          <a:extLst>
            <a:ext uri="{FF2B5EF4-FFF2-40B4-BE49-F238E27FC236}">
              <a16:creationId xmlns:a16="http://schemas.microsoft.com/office/drawing/2014/main" id="{8FFEE993-6F46-4318-8012-CB6CAAC25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20</xdr:col>
      <xdr:colOff>0</xdr:colOff>
      <xdr:row>3</xdr:row>
      <xdr:rowOff>133350</xdr:rowOff>
    </xdr:to>
    <xdr:pic>
      <xdr:nvPicPr>
        <xdr:cNvPr id="6" name="Grafik 1">
          <a:extLst>
            <a:ext uri="{FF2B5EF4-FFF2-40B4-BE49-F238E27FC236}">
              <a16:creationId xmlns:a16="http://schemas.microsoft.com/office/drawing/2014/main" id="{71DEA092-7FF6-4958-A936-97E39D36C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5700"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13</xdr:row>
      <xdr:rowOff>9525</xdr:rowOff>
    </xdr:from>
    <xdr:to>
      <xdr:col>14</xdr:col>
      <xdr:colOff>445770</xdr:colOff>
      <xdr:row>13</xdr:row>
      <xdr:rowOff>114300</xdr:rowOff>
    </xdr:to>
    <xdr:pic>
      <xdr:nvPicPr>
        <xdr:cNvPr id="7" name="Grafik 18">
          <a:extLst>
            <a:ext uri="{FF2B5EF4-FFF2-40B4-BE49-F238E27FC236}">
              <a16:creationId xmlns:a16="http://schemas.microsoft.com/office/drawing/2014/main" id="{B4356BAD-D936-4637-9B9E-3840C7AFB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id="{891AD397-51FC-485B-B62A-99F4B3239C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5625"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12</xdr:row>
      <xdr:rowOff>9525</xdr:rowOff>
    </xdr:from>
    <xdr:to>
      <xdr:col>20</xdr:col>
      <xdr:colOff>3105150</xdr:colOff>
      <xdr:row>12</xdr:row>
      <xdr:rowOff>76200</xdr:rowOff>
    </xdr:to>
    <xdr:pic>
      <xdr:nvPicPr>
        <xdr:cNvPr id="9" name="Grafik 18">
          <a:extLst>
            <a:ext uri="{FF2B5EF4-FFF2-40B4-BE49-F238E27FC236}">
              <a16:creationId xmlns:a16="http://schemas.microsoft.com/office/drawing/2014/main" id="{6C14FE59-8BBC-4D6B-9654-3B77B0EA97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10" name="Grafik 18">
          <a:extLst>
            <a:ext uri="{FF2B5EF4-FFF2-40B4-BE49-F238E27FC236}">
              <a16:creationId xmlns:a16="http://schemas.microsoft.com/office/drawing/2014/main" id="{2E46A569-918B-4652-9C4F-173D9FE352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9525</xdr:rowOff>
    </xdr:from>
    <xdr:to>
      <xdr:col>14</xdr:col>
      <xdr:colOff>0</xdr:colOff>
      <xdr:row>5</xdr:row>
      <xdr:rowOff>114300</xdr:rowOff>
    </xdr:to>
    <xdr:pic>
      <xdr:nvPicPr>
        <xdr:cNvPr id="11" name="Grafik 18">
          <a:extLst>
            <a:ext uri="{FF2B5EF4-FFF2-40B4-BE49-F238E27FC236}">
              <a16:creationId xmlns:a16="http://schemas.microsoft.com/office/drawing/2014/main" id="{21687270-D488-4CE5-83C0-797AF43F3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7</xdr:row>
      <xdr:rowOff>9525</xdr:rowOff>
    </xdr:from>
    <xdr:to>
      <xdr:col>4</xdr:col>
      <xdr:colOff>0</xdr:colOff>
      <xdr:row>7</xdr:row>
      <xdr:rowOff>114300</xdr:rowOff>
    </xdr:to>
    <xdr:pic>
      <xdr:nvPicPr>
        <xdr:cNvPr id="12" name="Grafik 18">
          <a:extLst>
            <a:ext uri="{FF2B5EF4-FFF2-40B4-BE49-F238E27FC236}">
              <a16:creationId xmlns:a16="http://schemas.microsoft.com/office/drawing/2014/main" id="{99770463-E649-4EB6-B4B9-03C998CEA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12</xdr:row>
      <xdr:rowOff>9525</xdr:rowOff>
    </xdr:from>
    <xdr:to>
      <xdr:col>20</xdr:col>
      <xdr:colOff>4084320</xdr:colOff>
      <xdr:row>12</xdr:row>
      <xdr:rowOff>114300</xdr:rowOff>
    </xdr:to>
    <xdr:pic>
      <xdr:nvPicPr>
        <xdr:cNvPr id="13" name="Grafik 18">
          <a:extLst>
            <a:ext uri="{FF2B5EF4-FFF2-40B4-BE49-F238E27FC236}">
              <a16:creationId xmlns:a16="http://schemas.microsoft.com/office/drawing/2014/main" id="{A2612E1D-4DB5-4DED-A9D6-6A541B1A8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2195"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12</xdr:row>
      <xdr:rowOff>0</xdr:rowOff>
    </xdr:from>
    <xdr:to>
      <xdr:col>10</xdr:col>
      <xdr:colOff>3810</xdr:colOff>
      <xdr:row>12</xdr:row>
      <xdr:rowOff>104775</xdr:rowOff>
    </xdr:to>
    <xdr:pic>
      <xdr:nvPicPr>
        <xdr:cNvPr id="14" name="Grafik 18">
          <a:extLst>
            <a:ext uri="{FF2B5EF4-FFF2-40B4-BE49-F238E27FC236}">
              <a16:creationId xmlns:a16="http://schemas.microsoft.com/office/drawing/2014/main" id="{3BB883E5-8B1F-4CFA-9F12-979328C94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8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16</xdr:row>
      <xdr:rowOff>9525</xdr:rowOff>
    </xdr:from>
    <xdr:to>
      <xdr:col>14</xdr:col>
      <xdr:colOff>445770</xdr:colOff>
      <xdr:row>16</xdr:row>
      <xdr:rowOff>114300</xdr:rowOff>
    </xdr:to>
    <xdr:pic>
      <xdr:nvPicPr>
        <xdr:cNvPr id="18" name="Grafik 18">
          <a:extLst>
            <a:ext uri="{FF2B5EF4-FFF2-40B4-BE49-F238E27FC236}">
              <a16:creationId xmlns:a16="http://schemas.microsoft.com/office/drawing/2014/main" id="{1625376A-52CD-420F-A29E-C6E0D7270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11</xdr:row>
      <xdr:rowOff>9525</xdr:rowOff>
    </xdr:from>
    <xdr:to>
      <xdr:col>0</xdr:col>
      <xdr:colOff>255270</xdr:colOff>
      <xdr:row>11</xdr:row>
      <xdr:rowOff>114300</xdr:rowOff>
    </xdr:to>
    <xdr:pic>
      <xdr:nvPicPr>
        <xdr:cNvPr id="19" name="Grafik 18">
          <a:extLst>
            <a:ext uri="{FF2B5EF4-FFF2-40B4-BE49-F238E27FC236}">
              <a16:creationId xmlns:a16="http://schemas.microsoft.com/office/drawing/2014/main" id="{9D16BB32-AD86-498B-A44C-82B13436A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188595</xdr:colOff>
      <xdr:row>11</xdr:row>
      <xdr:rowOff>9525</xdr:rowOff>
    </xdr:from>
    <xdr:to>
      <xdr:col>1</xdr:col>
      <xdr:colOff>302895</xdr:colOff>
      <xdr:row>11</xdr:row>
      <xdr:rowOff>114300</xdr:rowOff>
    </xdr:to>
    <xdr:pic>
      <xdr:nvPicPr>
        <xdr:cNvPr id="20" name="Grafik 18">
          <a:extLst>
            <a:ext uri="{FF2B5EF4-FFF2-40B4-BE49-F238E27FC236}">
              <a16:creationId xmlns:a16="http://schemas.microsoft.com/office/drawing/2014/main" id="{10F9D5EF-A605-46A0-8B0E-B4DEC0BE3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16</xdr:col>
      <xdr:colOff>18619</xdr:colOff>
      <xdr:row>2</xdr:row>
      <xdr:rowOff>147916</xdr:rowOff>
    </xdr:to>
    <xdr:pic>
      <xdr:nvPicPr>
        <xdr:cNvPr id="21" name="Grafik 28">
          <a:extLst>
            <a:ext uri="{FF2B5EF4-FFF2-40B4-BE49-F238E27FC236}">
              <a16:creationId xmlns:a16="http://schemas.microsoft.com/office/drawing/2014/main" id="{E3144D72-4D15-4BB5-8D6B-DA45E4F374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7375" y="76200"/>
          <a:ext cx="1171144" cy="357466"/>
        </a:xfrm>
        <a:prstGeom prst="rect">
          <a:avLst/>
        </a:prstGeom>
      </xdr:spPr>
    </xdr:pic>
    <xdr:clientData/>
  </xdr:twoCellAnchor>
  <xdr:twoCellAnchor editAs="oneCell">
    <xdr:from>
      <xdr:col>20</xdr:col>
      <xdr:colOff>3971925</xdr:colOff>
      <xdr:row>12</xdr:row>
      <xdr:rowOff>9525</xdr:rowOff>
    </xdr:from>
    <xdr:to>
      <xdr:col>21</xdr:col>
      <xdr:colOff>0</xdr:colOff>
      <xdr:row>12</xdr:row>
      <xdr:rowOff>114300</xdr:rowOff>
    </xdr:to>
    <xdr:pic>
      <xdr:nvPicPr>
        <xdr:cNvPr id="22" name="Grafik 18">
          <a:extLst>
            <a:ext uri="{FF2B5EF4-FFF2-40B4-BE49-F238E27FC236}">
              <a16:creationId xmlns:a16="http://schemas.microsoft.com/office/drawing/2014/main" id="{49F1D107-380F-494F-8C23-0113F5C70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878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13</xdr:row>
      <xdr:rowOff>19050</xdr:rowOff>
    </xdr:from>
    <xdr:to>
      <xdr:col>14</xdr:col>
      <xdr:colOff>346710</xdr:colOff>
      <xdr:row>13</xdr:row>
      <xdr:rowOff>114740</xdr:rowOff>
    </xdr:to>
    <xdr:pic>
      <xdr:nvPicPr>
        <xdr:cNvPr id="16" name="Grafik 31">
          <a:extLst>
            <a:ext uri="{FF2B5EF4-FFF2-40B4-BE49-F238E27FC236}">
              <a16:creationId xmlns:a16="http://schemas.microsoft.com/office/drawing/2014/main" id="{618F917C-0F6C-439D-9EA3-D1C4B3421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2724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16</xdr:row>
      <xdr:rowOff>19050</xdr:rowOff>
    </xdr:from>
    <xdr:to>
      <xdr:col>14</xdr:col>
      <xdr:colOff>346710</xdr:colOff>
      <xdr:row>16</xdr:row>
      <xdr:rowOff>114740</xdr:rowOff>
    </xdr:to>
    <xdr:pic>
      <xdr:nvPicPr>
        <xdr:cNvPr id="23" name="Grafik 31">
          <a:extLst>
            <a:ext uri="{FF2B5EF4-FFF2-40B4-BE49-F238E27FC236}">
              <a16:creationId xmlns:a16="http://schemas.microsoft.com/office/drawing/2014/main" id="{89D91FC2-4FEE-4DFC-A660-2B566B429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13</xdr:row>
      <xdr:rowOff>9525</xdr:rowOff>
    </xdr:from>
    <xdr:to>
      <xdr:col>19</xdr:col>
      <xdr:colOff>575310</xdr:colOff>
      <xdr:row>13</xdr:row>
      <xdr:rowOff>105215</xdr:rowOff>
    </xdr:to>
    <xdr:pic>
      <xdr:nvPicPr>
        <xdr:cNvPr id="24" name="Grafik 31">
          <a:extLst>
            <a:ext uri="{FF2B5EF4-FFF2-40B4-BE49-F238E27FC236}">
              <a16:creationId xmlns:a16="http://schemas.microsoft.com/office/drawing/2014/main" id="{A1A229B9-148E-4DAF-BD9E-5086365F7A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5" name="Grafik 31">
          <a:extLst>
            <a:ext uri="{FF2B5EF4-FFF2-40B4-BE49-F238E27FC236}">
              <a16:creationId xmlns:a16="http://schemas.microsoft.com/office/drawing/2014/main" id="{89DF7593-2218-4A39-BE7B-D6B3F9F5D2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19</xdr:row>
      <xdr:rowOff>9525</xdr:rowOff>
    </xdr:from>
    <xdr:to>
      <xdr:col>20</xdr:col>
      <xdr:colOff>3810</xdr:colOff>
      <xdr:row>19</xdr:row>
      <xdr:rowOff>105215</xdr:rowOff>
    </xdr:to>
    <xdr:pic>
      <xdr:nvPicPr>
        <xdr:cNvPr id="26" name="Grafik 31">
          <a:extLst>
            <a:ext uri="{FF2B5EF4-FFF2-40B4-BE49-F238E27FC236}">
              <a16:creationId xmlns:a16="http://schemas.microsoft.com/office/drawing/2014/main" id="{5A7282AF-2CE1-4194-862E-3186A67FEE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19050</xdr:rowOff>
    </xdr:from>
    <xdr:to>
      <xdr:col>19</xdr:col>
      <xdr:colOff>575310</xdr:colOff>
      <xdr:row>22</xdr:row>
      <xdr:rowOff>114740</xdr:rowOff>
    </xdr:to>
    <xdr:pic>
      <xdr:nvPicPr>
        <xdr:cNvPr id="27" name="Grafik 31">
          <a:extLst>
            <a:ext uri="{FF2B5EF4-FFF2-40B4-BE49-F238E27FC236}">
              <a16:creationId xmlns:a16="http://schemas.microsoft.com/office/drawing/2014/main" id="{5FEF8FC8-2AAE-44C0-BF86-D7CABFF51A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0</xdr:rowOff>
    </xdr:from>
    <xdr:to>
      <xdr:col>19</xdr:col>
      <xdr:colOff>575310</xdr:colOff>
      <xdr:row>25</xdr:row>
      <xdr:rowOff>95690</xdr:rowOff>
    </xdr:to>
    <xdr:pic>
      <xdr:nvPicPr>
        <xdr:cNvPr id="28" name="Grafik 31">
          <a:extLst>
            <a:ext uri="{FF2B5EF4-FFF2-40B4-BE49-F238E27FC236}">
              <a16:creationId xmlns:a16="http://schemas.microsoft.com/office/drawing/2014/main" id="{241BCB6C-8A47-49CA-A419-09C8C6340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28</xdr:row>
      <xdr:rowOff>9525</xdr:rowOff>
    </xdr:from>
    <xdr:to>
      <xdr:col>19</xdr:col>
      <xdr:colOff>575310</xdr:colOff>
      <xdr:row>28</xdr:row>
      <xdr:rowOff>105215</xdr:rowOff>
    </xdr:to>
    <xdr:pic>
      <xdr:nvPicPr>
        <xdr:cNvPr id="29" name="Grafik 31">
          <a:extLst>
            <a:ext uri="{FF2B5EF4-FFF2-40B4-BE49-F238E27FC236}">
              <a16:creationId xmlns:a16="http://schemas.microsoft.com/office/drawing/2014/main" id="{4DF2927E-052E-4CB6-8071-9E29563EB6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31</xdr:row>
      <xdr:rowOff>9525</xdr:rowOff>
    </xdr:from>
    <xdr:to>
      <xdr:col>20</xdr:col>
      <xdr:colOff>3810</xdr:colOff>
      <xdr:row>31</xdr:row>
      <xdr:rowOff>105215</xdr:rowOff>
    </xdr:to>
    <xdr:pic>
      <xdr:nvPicPr>
        <xdr:cNvPr id="30" name="Grafik 31">
          <a:extLst>
            <a:ext uri="{FF2B5EF4-FFF2-40B4-BE49-F238E27FC236}">
              <a16:creationId xmlns:a16="http://schemas.microsoft.com/office/drawing/2014/main" id="{D38266E9-3B7E-4C0C-9DA6-570DE7D948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34</xdr:row>
      <xdr:rowOff>9525</xdr:rowOff>
    </xdr:from>
    <xdr:to>
      <xdr:col>19</xdr:col>
      <xdr:colOff>575310</xdr:colOff>
      <xdr:row>34</xdr:row>
      <xdr:rowOff>105215</xdr:rowOff>
    </xdr:to>
    <xdr:pic>
      <xdr:nvPicPr>
        <xdr:cNvPr id="31" name="Grafik 31">
          <a:extLst>
            <a:ext uri="{FF2B5EF4-FFF2-40B4-BE49-F238E27FC236}">
              <a16:creationId xmlns:a16="http://schemas.microsoft.com/office/drawing/2014/main" id="{4A11F1A6-7663-4678-A0DC-FB6483FA8C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114300</xdr:colOff>
      <xdr:row>0</xdr:row>
      <xdr:rowOff>85725</xdr:rowOff>
    </xdr:from>
    <xdr:to>
      <xdr:col>15</xdr:col>
      <xdr:colOff>510540</xdr:colOff>
      <xdr:row>4</xdr:row>
      <xdr:rowOff>38100</xdr:rowOff>
    </xdr:to>
    <xdr:pic>
      <xdr:nvPicPr>
        <xdr:cNvPr id="238783" name="Grafik 1">
          <a:extLst>
            <a:ext uri="{FF2B5EF4-FFF2-40B4-BE49-F238E27FC236}">
              <a16:creationId xmlns:a16="http://schemas.microsoft.com/office/drawing/2014/main" id="{00000000-0008-0000-0600-0000BF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85725"/>
          <a:ext cx="143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5097780</xdr:colOff>
      <xdr:row>11</xdr:row>
      <xdr:rowOff>9525</xdr:rowOff>
    </xdr:from>
    <xdr:to>
      <xdr:col>17</xdr:col>
      <xdr:colOff>1905</xdr:colOff>
      <xdr:row>11</xdr:row>
      <xdr:rowOff>114300</xdr:rowOff>
    </xdr:to>
    <xdr:pic>
      <xdr:nvPicPr>
        <xdr:cNvPr id="238785" name="Grafik 18">
          <a:extLst>
            <a:ext uri="{FF2B5EF4-FFF2-40B4-BE49-F238E27FC236}">
              <a16:creationId xmlns:a16="http://schemas.microsoft.com/office/drawing/2014/main" id="{00000000-0008-0000-0600-0000C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1440" y="4231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12</xdr:row>
      <xdr:rowOff>9525</xdr:rowOff>
    </xdr:from>
    <xdr:to>
      <xdr:col>15</xdr:col>
      <xdr:colOff>5715</xdr:colOff>
      <xdr:row>12</xdr:row>
      <xdr:rowOff>114300</xdr:rowOff>
    </xdr:to>
    <xdr:pic>
      <xdr:nvPicPr>
        <xdr:cNvPr id="238786" name="Grafik 18">
          <a:extLst>
            <a:ext uri="{FF2B5EF4-FFF2-40B4-BE49-F238E27FC236}">
              <a16:creationId xmlns:a16="http://schemas.microsoft.com/office/drawing/2014/main" id="{00000000-0008-0000-0600-0000C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45129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7</xdr:row>
      <xdr:rowOff>9525</xdr:rowOff>
    </xdr:from>
    <xdr:to>
      <xdr:col>14</xdr:col>
      <xdr:colOff>0</xdr:colOff>
      <xdr:row>7</xdr:row>
      <xdr:rowOff>114300</xdr:rowOff>
    </xdr:to>
    <xdr:pic>
      <xdr:nvPicPr>
        <xdr:cNvPr id="238787" name="Grafik 18">
          <a:extLst>
            <a:ext uri="{FF2B5EF4-FFF2-40B4-BE49-F238E27FC236}">
              <a16:creationId xmlns:a16="http://schemas.microsoft.com/office/drawing/2014/main" id="{00000000-0008-0000-0600-0000C3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06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5</xdr:row>
      <xdr:rowOff>9525</xdr:rowOff>
    </xdr:from>
    <xdr:to>
      <xdr:col>14</xdr:col>
      <xdr:colOff>0</xdr:colOff>
      <xdr:row>5</xdr:row>
      <xdr:rowOff>114300</xdr:rowOff>
    </xdr:to>
    <xdr:pic>
      <xdr:nvPicPr>
        <xdr:cNvPr id="238788" name="Grafik 18">
          <a:extLst>
            <a:ext uri="{FF2B5EF4-FFF2-40B4-BE49-F238E27FC236}">
              <a16:creationId xmlns:a16="http://schemas.microsoft.com/office/drawing/2014/main" id="{00000000-0008-0000-0600-0000C4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90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7</xdr:row>
      <xdr:rowOff>9525</xdr:rowOff>
    </xdr:from>
    <xdr:to>
      <xdr:col>5</xdr:col>
      <xdr:colOff>0</xdr:colOff>
      <xdr:row>7</xdr:row>
      <xdr:rowOff>114300</xdr:rowOff>
    </xdr:to>
    <xdr:pic>
      <xdr:nvPicPr>
        <xdr:cNvPr id="238789" name="Grafik 18">
          <a:extLst>
            <a:ext uri="{FF2B5EF4-FFF2-40B4-BE49-F238E27FC236}">
              <a16:creationId xmlns:a16="http://schemas.microsoft.com/office/drawing/2014/main" id="{00000000-0008-0000-0600-0000C5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06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19</xdr:row>
      <xdr:rowOff>9525</xdr:rowOff>
    </xdr:from>
    <xdr:to>
      <xdr:col>14</xdr:col>
      <xdr:colOff>615315</xdr:colOff>
      <xdr:row>19</xdr:row>
      <xdr:rowOff>114300</xdr:rowOff>
    </xdr:to>
    <xdr:pic>
      <xdr:nvPicPr>
        <xdr:cNvPr id="238790" name="Grafik 18">
          <a:extLst>
            <a:ext uri="{FF2B5EF4-FFF2-40B4-BE49-F238E27FC236}">
              <a16:creationId xmlns:a16="http://schemas.microsoft.com/office/drawing/2014/main" id="{00000000-0008-0000-0600-0000C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4419600"/>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31</xdr:row>
      <xdr:rowOff>9525</xdr:rowOff>
    </xdr:from>
    <xdr:to>
      <xdr:col>15</xdr:col>
      <xdr:colOff>5715</xdr:colOff>
      <xdr:row>31</xdr:row>
      <xdr:rowOff>114300</xdr:rowOff>
    </xdr:to>
    <xdr:pic>
      <xdr:nvPicPr>
        <xdr:cNvPr id="238791" name="Grafik 18">
          <a:extLst>
            <a:ext uri="{FF2B5EF4-FFF2-40B4-BE49-F238E27FC236}">
              <a16:creationId xmlns:a16="http://schemas.microsoft.com/office/drawing/2014/main" id="{00000000-0008-0000-0600-0000C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0067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34</xdr:row>
      <xdr:rowOff>9525</xdr:rowOff>
    </xdr:from>
    <xdr:to>
      <xdr:col>15</xdr:col>
      <xdr:colOff>5715</xdr:colOff>
      <xdr:row>34</xdr:row>
      <xdr:rowOff>114300</xdr:rowOff>
    </xdr:to>
    <xdr:pic>
      <xdr:nvPicPr>
        <xdr:cNvPr id="238792" name="Grafik 18">
          <a:extLst>
            <a:ext uri="{FF2B5EF4-FFF2-40B4-BE49-F238E27FC236}">
              <a16:creationId xmlns:a16="http://schemas.microsoft.com/office/drawing/2014/main" id="{00000000-0008-0000-0600-0000C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1104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37</xdr:row>
      <xdr:rowOff>9525</xdr:rowOff>
    </xdr:from>
    <xdr:to>
      <xdr:col>15</xdr:col>
      <xdr:colOff>5715</xdr:colOff>
      <xdr:row>37</xdr:row>
      <xdr:rowOff>114300</xdr:rowOff>
    </xdr:to>
    <xdr:pic>
      <xdr:nvPicPr>
        <xdr:cNvPr id="238793" name="Grafik 18">
          <a:extLst>
            <a:ext uri="{FF2B5EF4-FFF2-40B4-BE49-F238E27FC236}">
              <a16:creationId xmlns:a16="http://schemas.microsoft.com/office/drawing/2014/main" id="{00000000-0008-0000-0600-0000C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155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25</xdr:row>
      <xdr:rowOff>9525</xdr:rowOff>
    </xdr:from>
    <xdr:to>
      <xdr:col>14</xdr:col>
      <xdr:colOff>615315</xdr:colOff>
      <xdr:row>25</xdr:row>
      <xdr:rowOff>114300</xdr:rowOff>
    </xdr:to>
    <xdr:pic>
      <xdr:nvPicPr>
        <xdr:cNvPr id="238794" name="Grafik 18">
          <a:extLst>
            <a:ext uri="{FF2B5EF4-FFF2-40B4-BE49-F238E27FC236}">
              <a16:creationId xmlns:a16="http://schemas.microsoft.com/office/drawing/2014/main" id="{00000000-0008-0000-0600-0000C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650557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58</xdr:row>
      <xdr:rowOff>9525</xdr:rowOff>
    </xdr:from>
    <xdr:to>
      <xdr:col>15</xdr:col>
      <xdr:colOff>5715</xdr:colOff>
      <xdr:row>58</xdr:row>
      <xdr:rowOff>114300</xdr:rowOff>
    </xdr:to>
    <xdr:pic>
      <xdr:nvPicPr>
        <xdr:cNvPr id="238796" name="Grafik 18">
          <a:extLst>
            <a:ext uri="{FF2B5EF4-FFF2-40B4-BE49-F238E27FC236}">
              <a16:creationId xmlns:a16="http://schemas.microsoft.com/office/drawing/2014/main" id="{00000000-0008-0000-0600-0000CC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8465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61</xdr:row>
      <xdr:rowOff>9525</xdr:rowOff>
    </xdr:from>
    <xdr:to>
      <xdr:col>15</xdr:col>
      <xdr:colOff>5715</xdr:colOff>
      <xdr:row>61</xdr:row>
      <xdr:rowOff>114300</xdr:rowOff>
    </xdr:to>
    <xdr:pic>
      <xdr:nvPicPr>
        <xdr:cNvPr id="238797" name="Grafik 18">
          <a:extLst>
            <a:ext uri="{FF2B5EF4-FFF2-40B4-BE49-F238E27FC236}">
              <a16:creationId xmlns:a16="http://schemas.microsoft.com/office/drawing/2014/main" id="{00000000-0008-0000-0600-0000CD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951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64</xdr:row>
      <xdr:rowOff>9525</xdr:rowOff>
    </xdr:from>
    <xdr:to>
      <xdr:col>15</xdr:col>
      <xdr:colOff>5715</xdr:colOff>
      <xdr:row>64</xdr:row>
      <xdr:rowOff>114300</xdr:rowOff>
    </xdr:to>
    <xdr:pic>
      <xdr:nvPicPr>
        <xdr:cNvPr id="238798" name="Grafik 18">
          <a:extLst>
            <a:ext uri="{FF2B5EF4-FFF2-40B4-BE49-F238E27FC236}">
              <a16:creationId xmlns:a16="http://schemas.microsoft.com/office/drawing/2014/main" id="{00000000-0008-0000-0600-0000CE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05682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70</xdr:row>
      <xdr:rowOff>9525</xdr:rowOff>
    </xdr:from>
    <xdr:to>
      <xdr:col>15</xdr:col>
      <xdr:colOff>5715</xdr:colOff>
      <xdr:row>70</xdr:row>
      <xdr:rowOff>114300</xdr:rowOff>
    </xdr:to>
    <xdr:pic>
      <xdr:nvPicPr>
        <xdr:cNvPr id="238800" name="Grafik 18">
          <a:extLst>
            <a:ext uri="{FF2B5EF4-FFF2-40B4-BE49-F238E27FC236}">
              <a16:creationId xmlns:a16="http://schemas.microsoft.com/office/drawing/2014/main" id="{00000000-0008-0000-0600-0000D0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2640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10</xdr:row>
      <xdr:rowOff>9525</xdr:rowOff>
    </xdr:from>
    <xdr:to>
      <xdr:col>15</xdr:col>
      <xdr:colOff>5715</xdr:colOff>
      <xdr:row>10</xdr:row>
      <xdr:rowOff>114300</xdr:rowOff>
    </xdr:to>
    <xdr:pic>
      <xdr:nvPicPr>
        <xdr:cNvPr id="238801" name="Grafik 18">
          <a:extLst>
            <a:ext uri="{FF2B5EF4-FFF2-40B4-BE49-F238E27FC236}">
              <a16:creationId xmlns:a16="http://schemas.microsoft.com/office/drawing/2014/main" id="{00000000-0008-0000-0600-0000D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4040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67</xdr:row>
      <xdr:rowOff>9525</xdr:rowOff>
    </xdr:from>
    <xdr:to>
      <xdr:col>15</xdr:col>
      <xdr:colOff>5715</xdr:colOff>
      <xdr:row>67</xdr:row>
      <xdr:rowOff>114300</xdr:rowOff>
    </xdr:to>
    <xdr:pic>
      <xdr:nvPicPr>
        <xdr:cNvPr id="238802" name="Grafik 18">
          <a:extLst>
            <a:ext uri="{FF2B5EF4-FFF2-40B4-BE49-F238E27FC236}">
              <a16:creationId xmlns:a16="http://schemas.microsoft.com/office/drawing/2014/main" id="{00000000-0008-0000-0600-0000D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48</xdr:row>
      <xdr:rowOff>9525</xdr:rowOff>
    </xdr:from>
    <xdr:to>
      <xdr:col>15</xdr:col>
      <xdr:colOff>5715</xdr:colOff>
      <xdr:row>48</xdr:row>
      <xdr:rowOff>114300</xdr:rowOff>
    </xdr:to>
    <xdr:pic>
      <xdr:nvPicPr>
        <xdr:cNvPr id="238803" name="Grafik 18">
          <a:extLst>
            <a:ext uri="{FF2B5EF4-FFF2-40B4-BE49-F238E27FC236}">
              <a16:creationId xmlns:a16="http://schemas.microsoft.com/office/drawing/2014/main" id="{00000000-0008-0000-0600-0000D3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49599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1</xdr:row>
      <xdr:rowOff>9525</xdr:rowOff>
    </xdr:from>
    <xdr:to>
      <xdr:col>13</xdr:col>
      <xdr:colOff>95250</xdr:colOff>
      <xdr:row>3</xdr:row>
      <xdr:rowOff>114300</xdr:rowOff>
    </xdr:to>
    <xdr:pic>
      <xdr:nvPicPr>
        <xdr:cNvPr id="238805" name="Bild 9" descr="Bild1">
          <a:extLst>
            <a:ext uri="{FF2B5EF4-FFF2-40B4-BE49-F238E27FC236}">
              <a16:creationId xmlns:a16="http://schemas.microsoft.com/office/drawing/2014/main" id="{00000000-0008-0000-0600-0000D5A4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2892" y="133350"/>
          <a:ext cx="6352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10</xdr:row>
      <xdr:rowOff>9525</xdr:rowOff>
    </xdr:from>
    <xdr:to>
      <xdr:col>0</xdr:col>
      <xdr:colOff>415290</xdr:colOff>
      <xdr:row>10</xdr:row>
      <xdr:rowOff>114300</xdr:rowOff>
    </xdr:to>
    <xdr:pic>
      <xdr:nvPicPr>
        <xdr:cNvPr id="238806" name="Grafik 18">
          <a:extLst>
            <a:ext uri="{FF2B5EF4-FFF2-40B4-BE49-F238E27FC236}">
              <a16:creationId xmlns:a16="http://schemas.microsoft.com/office/drawing/2014/main" id="{00000000-0008-0000-0600-0000D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515"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10</xdr:row>
      <xdr:rowOff>9525</xdr:rowOff>
    </xdr:from>
    <xdr:to>
      <xdr:col>1</xdr:col>
      <xdr:colOff>339090</xdr:colOff>
      <xdr:row>10</xdr:row>
      <xdr:rowOff>114300</xdr:rowOff>
    </xdr:to>
    <xdr:pic>
      <xdr:nvPicPr>
        <xdr:cNvPr id="238807" name="Grafik 18">
          <a:extLst>
            <a:ext uri="{FF2B5EF4-FFF2-40B4-BE49-F238E27FC236}">
              <a16:creationId xmlns:a16="http://schemas.microsoft.com/office/drawing/2014/main" id="{00000000-0008-0000-0600-0000D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40405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39</xdr:row>
      <xdr:rowOff>9525</xdr:rowOff>
    </xdr:from>
    <xdr:to>
      <xdr:col>15</xdr:col>
      <xdr:colOff>5715</xdr:colOff>
      <xdr:row>39</xdr:row>
      <xdr:rowOff>114300</xdr:rowOff>
    </xdr:to>
    <xdr:pic>
      <xdr:nvPicPr>
        <xdr:cNvPr id="238808" name="Grafik 18">
          <a:extLst>
            <a:ext uri="{FF2B5EF4-FFF2-40B4-BE49-F238E27FC236}">
              <a16:creationId xmlns:a16="http://schemas.microsoft.com/office/drawing/2014/main" id="{00000000-0008-0000-0600-0000D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856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42</xdr:row>
      <xdr:rowOff>9525</xdr:rowOff>
    </xdr:from>
    <xdr:to>
      <xdr:col>15</xdr:col>
      <xdr:colOff>5715</xdr:colOff>
      <xdr:row>42</xdr:row>
      <xdr:rowOff>114300</xdr:rowOff>
    </xdr:to>
    <xdr:pic>
      <xdr:nvPicPr>
        <xdr:cNvPr id="238809" name="Grafik 18">
          <a:extLst>
            <a:ext uri="{FF2B5EF4-FFF2-40B4-BE49-F238E27FC236}">
              <a16:creationId xmlns:a16="http://schemas.microsoft.com/office/drawing/2014/main" id="{00000000-0008-0000-0600-0000D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39084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72</xdr:row>
      <xdr:rowOff>9525</xdr:rowOff>
    </xdr:from>
    <xdr:to>
      <xdr:col>15</xdr:col>
      <xdr:colOff>5715</xdr:colOff>
      <xdr:row>72</xdr:row>
      <xdr:rowOff>114300</xdr:rowOff>
    </xdr:to>
    <xdr:pic>
      <xdr:nvPicPr>
        <xdr:cNvPr id="238810" name="Grafik 18">
          <a:extLst>
            <a:ext uri="{FF2B5EF4-FFF2-40B4-BE49-F238E27FC236}">
              <a16:creationId xmlns:a16="http://schemas.microsoft.com/office/drawing/2014/main" id="{00000000-0008-0000-0600-0000D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78</xdr:row>
      <xdr:rowOff>9525</xdr:rowOff>
    </xdr:from>
    <xdr:to>
      <xdr:col>15</xdr:col>
      <xdr:colOff>5715</xdr:colOff>
      <xdr:row>78</xdr:row>
      <xdr:rowOff>114300</xdr:rowOff>
    </xdr:to>
    <xdr:pic>
      <xdr:nvPicPr>
        <xdr:cNvPr id="238811" name="Grafik 18">
          <a:extLst>
            <a:ext uri="{FF2B5EF4-FFF2-40B4-BE49-F238E27FC236}">
              <a16:creationId xmlns:a16="http://schemas.microsoft.com/office/drawing/2014/main" id="{00000000-0008-0000-0600-0000DB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4355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22</xdr:row>
      <xdr:rowOff>9525</xdr:rowOff>
    </xdr:from>
    <xdr:to>
      <xdr:col>14</xdr:col>
      <xdr:colOff>605790</xdr:colOff>
      <xdr:row>22</xdr:row>
      <xdr:rowOff>114300</xdr:rowOff>
    </xdr:to>
    <xdr:pic>
      <xdr:nvPicPr>
        <xdr:cNvPr id="238812" name="Grafik 31">
          <a:extLst>
            <a:ext uri="{FF2B5EF4-FFF2-40B4-BE49-F238E27FC236}">
              <a16:creationId xmlns:a16="http://schemas.microsoft.com/office/drawing/2014/main" id="{00000000-0008-0000-0600-0000DC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76410" y="5457825"/>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85</xdr:row>
      <xdr:rowOff>9525</xdr:rowOff>
    </xdr:from>
    <xdr:to>
      <xdr:col>15</xdr:col>
      <xdr:colOff>5715</xdr:colOff>
      <xdr:row>85</xdr:row>
      <xdr:rowOff>114300</xdr:rowOff>
    </xdr:to>
    <xdr:pic>
      <xdr:nvPicPr>
        <xdr:cNvPr id="238813" name="Grafik 31">
          <a:extLst>
            <a:ext uri="{FF2B5EF4-FFF2-40B4-BE49-F238E27FC236}">
              <a16:creationId xmlns:a16="http://schemas.microsoft.com/office/drawing/2014/main" id="{00000000-0008-0000-0600-0000DD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267785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36</xdr:row>
      <xdr:rowOff>9525</xdr:rowOff>
    </xdr:from>
    <xdr:to>
      <xdr:col>15</xdr:col>
      <xdr:colOff>5715</xdr:colOff>
      <xdr:row>36</xdr:row>
      <xdr:rowOff>114300</xdr:rowOff>
    </xdr:to>
    <xdr:pic>
      <xdr:nvPicPr>
        <xdr:cNvPr id="33" name="Grafik 3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18052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51</xdr:row>
      <xdr:rowOff>9525</xdr:rowOff>
    </xdr:from>
    <xdr:to>
      <xdr:col>15</xdr:col>
      <xdr:colOff>5715</xdr:colOff>
      <xdr:row>51</xdr:row>
      <xdr:rowOff>114300</xdr:rowOff>
    </xdr:to>
    <xdr:pic>
      <xdr:nvPicPr>
        <xdr:cNvPr id="35" name="Grafik 1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6011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18</xdr:row>
      <xdr:rowOff>9525</xdr:rowOff>
    </xdr:from>
    <xdr:to>
      <xdr:col>14</xdr:col>
      <xdr:colOff>615315</xdr:colOff>
      <xdr:row>18</xdr:row>
      <xdr:rowOff>114300</xdr:rowOff>
    </xdr:to>
    <xdr:pic>
      <xdr:nvPicPr>
        <xdr:cNvPr id="37" name="Grafik 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85935" y="4076700"/>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55</xdr:row>
      <xdr:rowOff>9525</xdr:rowOff>
    </xdr:from>
    <xdr:to>
      <xdr:col>15</xdr:col>
      <xdr:colOff>5715</xdr:colOff>
      <xdr:row>55</xdr:row>
      <xdr:rowOff>114300</xdr:rowOff>
    </xdr:to>
    <xdr:pic>
      <xdr:nvPicPr>
        <xdr:cNvPr id="36" name="Grafik 31">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741360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1</xdr:row>
      <xdr:rowOff>28575</xdr:rowOff>
    </xdr:from>
    <xdr:to>
      <xdr:col>11</xdr:col>
      <xdr:colOff>113869</xdr:colOff>
      <xdr:row>3</xdr:row>
      <xdr:rowOff>18376</xdr:rowOff>
    </xdr:to>
    <xdr:pic>
      <xdr:nvPicPr>
        <xdr:cNvPr id="38" name="Grafik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9850" y="152400"/>
          <a:ext cx="1171144" cy="357466"/>
        </a:xfrm>
        <a:prstGeom prst="rect">
          <a:avLst/>
        </a:prstGeom>
      </xdr:spPr>
    </xdr:pic>
    <xdr:clientData/>
  </xdr:twoCellAnchor>
  <xdr:twoCellAnchor editAs="oneCell">
    <xdr:from>
      <xdr:col>14</xdr:col>
      <xdr:colOff>533400</xdr:colOff>
      <xdr:row>115</xdr:row>
      <xdr:rowOff>9525</xdr:rowOff>
    </xdr:from>
    <xdr:to>
      <xdr:col>15</xdr:col>
      <xdr:colOff>0</xdr:colOff>
      <xdr:row>115</xdr:row>
      <xdr:rowOff>114300</xdr:rowOff>
    </xdr:to>
    <xdr:pic>
      <xdr:nvPicPr>
        <xdr:cNvPr id="39" name="Grafik 18">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4980" y="341623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11</xdr:row>
      <xdr:rowOff>7620</xdr:rowOff>
    </xdr:from>
    <xdr:to>
      <xdr:col>16</xdr:col>
      <xdr:colOff>5067300</xdr:colOff>
      <xdr:row>11</xdr:row>
      <xdr:rowOff>112395</xdr:rowOff>
    </xdr:to>
    <xdr:pic>
      <xdr:nvPicPr>
        <xdr:cNvPr id="41" name="Grafik 18">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06625" y="42748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30</xdr:row>
      <xdr:rowOff>7620</xdr:rowOff>
    </xdr:from>
    <xdr:to>
      <xdr:col>6</xdr:col>
      <xdr:colOff>767715</xdr:colOff>
      <xdr:row>30</xdr:row>
      <xdr:rowOff>112395</xdr:rowOff>
    </xdr:to>
    <xdr:pic>
      <xdr:nvPicPr>
        <xdr:cNvPr id="3" name="Grafik 18">
          <a:extLst>
            <a:ext uri="{FF2B5EF4-FFF2-40B4-BE49-F238E27FC236}">
              <a16:creationId xmlns:a16="http://schemas.microsoft.com/office/drawing/2014/main" id="{3C4D79D5-F7CE-4228-8A53-460221B4E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 y="95897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30</xdr:row>
      <xdr:rowOff>9525</xdr:rowOff>
    </xdr:from>
    <xdr:to>
      <xdr:col>2</xdr:col>
      <xdr:colOff>1457325</xdr:colOff>
      <xdr:row>30</xdr:row>
      <xdr:rowOff>114300</xdr:rowOff>
    </xdr:to>
    <xdr:pic>
      <xdr:nvPicPr>
        <xdr:cNvPr id="4" name="Grafik 18">
          <a:extLst>
            <a:ext uri="{FF2B5EF4-FFF2-40B4-BE49-F238E27FC236}">
              <a16:creationId xmlns:a16="http://schemas.microsoft.com/office/drawing/2014/main" id="{1060E974-519A-4F06-8E09-BDC88497C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id="{00000000-0008-0000-09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id="{00000000-0008-0000-09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id="{00000000-0008-0000-09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id="{00000000-0008-0000-09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28575</xdr:colOff>
      <xdr:row>0</xdr:row>
      <xdr:rowOff>47625</xdr:rowOff>
    </xdr:from>
    <xdr:to>
      <xdr:col>28</xdr:col>
      <xdr:colOff>161926</xdr:colOff>
      <xdr:row>3</xdr:row>
      <xdr:rowOff>142875</xdr:rowOff>
    </xdr:to>
    <xdr:pic>
      <xdr:nvPicPr>
        <xdr:cNvPr id="228110" name="Grafik 1">
          <a:extLst>
            <a:ext uri="{FF2B5EF4-FFF2-40B4-BE49-F238E27FC236}">
              <a16:creationId xmlns:a16="http://schemas.microsoft.com/office/drawing/2014/main" id="{00000000-0008-0000-0B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47625"/>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785</xdr:colOff>
      <xdr:row>30</xdr:row>
      <xdr:rowOff>104775</xdr:rowOff>
    </xdr:to>
    <xdr:pic>
      <xdr:nvPicPr>
        <xdr:cNvPr id="228111" name="Grafik 6">
          <a:extLst>
            <a:ext uri="{FF2B5EF4-FFF2-40B4-BE49-F238E27FC236}">
              <a16:creationId xmlns:a16="http://schemas.microsoft.com/office/drawing/2014/main" id="{00000000-0008-0000-0B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180975</xdr:colOff>
      <xdr:row>0</xdr:row>
      <xdr:rowOff>85725</xdr:rowOff>
    </xdr:from>
    <xdr:to>
      <xdr:col>24</xdr:col>
      <xdr:colOff>0</xdr:colOff>
      <xdr:row>3</xdr:row>
      <xdr:rowOff>57150</xdr:rowOff>
    </xdr:to>
    <xdr:pic>
      <xdr:nvPicPr>
        <xdr:cNvPr id="228113" name="Bild 9" descr="Bild1">
          <a:extLst>
            <a:ext uri="{FF2B5EF4-FFF2-40B4-BE49-F238E27FC236}">
              <a16:creationId xmlns:a16="http://schemas.microsoft.com/office/drawing/2014/main" id="{00000000-0008-0000-0B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id="{00000000-0008-0000-0B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id="{00000000-0008-0000-0B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id="{00000000-0008-0000-0B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276225</xdr:colOff>
      <xdr:row>1</xdr:row>
      <xdr:rowOff>0</xdr:rowOff>
    </xdr:from>
    <xdr:to>
      <xdr:col>22</xdr:col>
      <xdr:colOff>142444</xdr:colOff>
      <xdr:row>2</xdr:row>
      <xdr:rowOff>195541</xdr:rowOff>
    </xdr:to>
    <xdr:pic>
      <xdr:nvPicPr>
        <xdr:cNvPr id="9" name="Grafik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0250" y="123825"/>
          <a:ext cx="1171144" cy="357466"/>
        </a:xfrm>
        <a:prstGeom prst="rect">
          <a:avLst/>
        </a:prstGeom>
      </xdr:spPr>
    </xdr:pic>
    <xdr:clientData/>
  </xdr:twoCellAnchor>
  <xdr:oneCellAnchor>
    <xdr:from>
      <xdr:col>1</xdr:col>
      <xdr:colOff>314325</xdr:colOff>
      <xdr:row>23</xdr:row>
      <xdr:rowOff>9525</xdr:rowOff>
    </xdr:from>
    <xdr:ext cx="95250" cy="104775"/>
    <xdr:pic>
      <xdr:nvPicPr>
        <xdr:cNvPr id="11" name="Grafik 3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0" y="52863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id="{00000000-0008-0000-0D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id="{00000000-0008-0000-0D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id="{00000000-0008-0000-0D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id="{00000000-0008-0000-0D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id="{00000000-0008-0000-0D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114300</xdr:colOff>
      <xdr:row>0</xdr:row>
      <xdr:rowOff>85725</xdr:rowOff>
    </xdr:from>
    <xdr:to>
      <xdr:col>15</xdr:col>
      <xdr:colOff>510540</xdr:colOff>
      <xdr:row>4</xdr:row>
      <xdr:rowOff>38100</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85725"/>
          <a:ext cx="143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7</xdr:row>
      <xdr:rowOff>9525</xdr:rowOff>
    </xdr:from>
    <xdr:to>
      <xdr:col>14</xdr:col>
      <xdr:colOff>0</xdr:colOff>
      <xdr:row>7</xdr:row>
      <xdr:rowOff>114300</xdr:rowOff>
    </xdr:to>
    <xdr:pic>
      <xdr:nvPicPr>
        <xdr:cNvPr id="6" name="Grafik 18">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5</xdr:row>
      <xdr:rowOff>9525</xdr:rowOff>
    </xdr:from>
    <xdr:to>
      <xdr:col>14</xdr:col>
      <xdr:colOff>0</xdr:colOff>
      <xdr:row>5</xdr:row>
      <xdr:rowOff>114300</xdr:rowOff>
    </xdr:to>
    <xdr:pic>
      <xdr:nvPicPr>
        <xdr:cNvPr id="7" name="Grafik 18">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7</xdr:row>
      <xdr:rowOff>9525</xdr:rowOff>
    </xdr:from>
    <xdr:to>
      <xdr:col>5</xdr:col>
      <xdr:colOff>0</xdr:colOff>
      <xdr:row>7</xdr:row>
      <xdr:rowOff>114300</xdr:rowOff>
    </xdr:to>
    <xdr:pic>
      <xdr:nvPicPr>
        <xdr:cNvPr id="8" name="Grafik 18">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712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27</xdr:row>
      <xdr:rowOff>5715</xdr:rowOff>
    </xdr:from>
    <xdr:to>
      <xdr:col>14</xdr:col>
      <xdr:colOff>615315</xdr:colOff>
      <xdr:row>27</xdr:row>
      <xdr:rowOff>102870</xdr:rowOff>
    </xdr:to>
    <xdr:pic>
      <xdr:nvPicPr>
        <xdr:cNvPr id="10" name="Grafik 18">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98831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501015</xdr:colOff>
      <xdr:row>30</xdr:row>
      <xdr:rowOff>9525</xdr:rowOff>
    </xdr:from>
    <xdr:to>
      <xdr:col>14</xdr:col>
      <xdr:colOff>615315</xdr:colOff>
      <xdr:row>30</xdr:row>
      <xdr:rowOff>97155</xdr:rowOff>
    </xdr:to>
    <xdr:pic>
      <xdr:nvPicPr>
        <xdr:cNvPr id="11" name="Grafik 18">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1190" y="10925175"/>
          <a:ext cx="12763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33</xdr:row>
      <xdr:rowOff>5715</xdr:rowOff>
    </xdr:from>
    <xdr:to>
      <xdr:col>14</xdr:col>
      <xdr:colOff>615315</xdr:colOff>
      <xdr:row>33</xdr:row>
      <xdr:rowOff>102870</xdr:rowOff>
    </xdr:to>
    <xdr:pic>
      <xdr:nvPicPr>
        <xdr:cNvPr id="12" name="Grafik 18">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119786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24</xdr:row>
      <xdr:rowOff>7620</xdr:rowOff>
    </xdr:from>
    <xdr:to>
      <xdr:col>14</xdr:col>
      <xdr:colOff>615315</xdr:colOff>
      <xdr:row>24</xdr:row>
      <xdr:rowOff>104775</xdr:rowOff>
    </xdr:to>
    <xdr:pic>
      <xdr:nvPicPr>
        <xdr:cNvPr id="13" name="Grafik 18">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8856345"/>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520065</xdr:colOff>
      <xdr:row>9</xdr:row>
      <xdr:rowOff>7620</xdr:rowOff>
    </xdr:from>
    <xdr:to>
      <xdr:col>15</xdr:col>
      <xdr:colOff>0</xdr:colOff>
      <xdr:row>9</xdr:row>
      <xdr:rowOff>102870</xdr:rowOff>
    </xdr:to>
    <xdr:pic>
      <xdr:nvPicPr>
        <xdr:cNvPr id="18" name="Grafik 18">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0240" y="3836670"/>
          <a:ext cx="108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1</xdr:row>
      <xdr:rowOff>9525</xdr:rowOff>
    </xdr:from>
    <xdr:to>
      <xdr:col>13</xdr:col>
      <xdr:colOff>95250</xdr:colOff>
      <xdr:row>3</xdr:row>
      <xdr:rowOff>114300</xdr:rowOff>
    </xdr:to>
    <xdr:pic>
      <xdr:nvPicPr>
        <xdr:cNvPr id="21" name="Bild 9" descr="Bild1">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342" y="133350"/>
          <a:ext cx="6352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325755</xdr:colOff>
      <xdr:row>9</xdr:row>
      <xdr:rowOff>5715</xdr:rowOff>
    </xdr:from>
    <xdr:to>
      <xdr:col>1</xdr:col>
      <xdr:colOff>0</xdr:colOff>
      <xdr:row>9</xdr:row>
      <xdr:rowOff>102870</xdr:rowOff>
    </xdr:to>
    <xdr:pic>
      <xdr:nvPicPr>
        <xdr:cNvPr id="22" name="Grafik 18">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 y="3834765"/>
          <a:ext cx="10096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9</xdr:row>
      <xdr:rowOff>9525</xdr:rowOff>
    </xdr:from>
    <xdr:to>
      <xdr:col>1</xdr:col>
      <xdr:colOff>339090</xdr:colOff>
      <xdr:row>9</xdr:row>
      <xdr:rowOff>114300</xdr:rowOff>
    </xdr:to>
    <xdr:pic>
      <xdr:nvPicPr>
        <xdr:cNvPr id="23" name="Grafik 18">
          <a:extLst>
            <a:ext uri="{FF2B5EF4-FFF2-40B4-BE49-F238E27FC236}">
              <a16:creationId xmlns:a16="http://schemas.microsoft.com/office/drawing/2014/main" id="{00000000-0008-0000-0F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1</xdr:row>
      <xdr:rowOff>28575</xdr:rowOff>
    </xdr:from>
    <xdr:to>
      <xdr:col>11</xdr:col>
      <xdr:colOff>113869</xdr:colOff>
      <xdr:row>3</xdr:row>
      <xdr:rowOff>18376</xdr:rowOff>
    </xdr:to>
    <xdr:pic>
      <xdr:nvPicPr>
        <xdr:cNvPr id="34" name="Grafik 37">
          <a:extLst>
            <a:ext uri="{FF2B5EF4-FFF2-40B4-BE49-F238E27FC236}">
              <a16:creationId xmlns:a16="http://schemas.microsoft.com/office/drawing/2014/main" id="{00000000-0008-0000-0F00-00002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91300" y="152400"/>
          <a:ext cx="1171144" cy="357466"/>
        </a:xfrm>
        <a:prstGeom prst="rect">
          <a:avLst/>
        </a:prstGeom>
      </xdr:spPr>
    </xdr:pic>
    <xdr:clientData/>
  </xdr:twoCellAnchor>
  <xdr:twoCellAnchor editAs="oneCell">
    <xdr:from>
      <xdr:col>14</xdr:col>
      <xdr:colOff>521970</xdr:colOff>
      <xdr:row>17</xdr:row>
      <xdr:rowOff>7620</xdr:rowOff>
    </xdr:from>
    <xdr:to>
      <xdr:col>14</xdr:col>
      <xdr:colOff>617220</xdr:colOff>
      <xdr:row>17</xdr:row>
      <xdr:rowOff>97155</xdr:rowOff>
    </xdr:to>
    <xdr:pic>
      <xdr:nvPicPr>
        <xdr:cNvPr id="37" name="Grafik 18">
          <a:extLst>
            <a:ext uri="{FF2B5EF4-FFF2-40B4-BE49-F238E27FC236}">
              <a16:creationId xmlns:a16="http://schemas.microsoft.com/office/drawing/2014/main" id="{00000000-0008-0000-0F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2145" y="6427470"/>
          <a:ext cx="11239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5103495</xdr:colOff>
      <xdr:row>10</xdr:row>
      <xdr:rowOff>5715</xdr:rowOff>
    </xdr:from>
    <xdr:to>
      <xdr:col>16</xdr:col>
      <xdr:colOff>5074920</xdr:colOff>
      <xdr:row>10</xdr:row>
      <xdr:rowOff>91440</xdr:rowOff>
    </xdr:to>
    <xdr:pic>
      <xdr:nvPicPr>
        <xdr:cNvPr id="20" name="Grafik 18">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52395" y="402526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29</xdr:row>
      <xdr:rowOff>9525</xdr:rowOff>
    </xdr:from>
    <xdr:to>
      <xdr:col>3</xdr:col>
      <xdr:colOff>0</xdr:colOff>
      <xdr:row>29</xdr:row>
      <xdr:rowOff>97155</xdr:rowOff>
    </xdr:to>
    <xdr:pic>
      <xdr:nvPicPr>
        <xdr:cNvPr id="4" name="Grafik 18">
          <a:extLst>
            <a:ext uri="{FF2B5EF4-FFF2-40B4-BE49-F238E27FC236}">
              <a16:creationId xmlns:a16="http://schemas.microsoft.com/office/drawing/2014/main" id="{BBBF5861-BE5D-4995-A0C2-B37703599E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647700</xdr:colOff>
      <xdr:row>29</xdr:row>
      <xdr:rowOff>9525</xdr:rowOff>
    </xdr:from>
    <xdr:to>
      <xdr:col>6</xdr:col>
      <xdr:colOff>762000</xdr:colOff>
      <xdr:row>29</xdr:row>
      <xdr:rowOff>97155</xdr:rowOff>
    </xdr:to>
    <xdr:pic>
      <xdr:nvPicPr>
        <xdr:cNvPr id="5" name="Grafik 18">
          <a:extLst>
            <a:ext uri="{FF2B5EF4-FFF2-40B4-BE49-F238E27FC236}">
              <a16:creationId xmlns:a16="http://schemas.microsoft.com/office/drawing/2014/main" id="{C51F0F4A-82E0-4B15-ABE2-4D30ABDCE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0"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4972050</xdr:colOff>
      <xdr:row>10</xdr:row>
      <xdr:rowOff>9525</xdr:rowOff>
    </xdr:from>
    <xdr:to>
      <xdr:col>16</xdr:col>
      <xdr:colOff>5071110</xdr:colOff>
      <xdr:row>10</xdr:row>
      <xdr:rowOff>104775</xdr:rowOff>
    </xdr:to>
    <xdr:pic>
      <xdr:nvPicPr>
        <xdr:cNvPr id="9" name="Grafik 18">
          <a:extLst>
            <a:ext uri="{FF2B5EF4-FFF2-40B4-BE49-F238E27FC236}">
              <a16:creationId xmlns:a16="http://schemas.microsoft.com/office/drawing/2014/main" id="{A1985777-DDBE-4437-840D-CD238DFCA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1400" y="16573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 name="Grafik 18">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5770" y="114490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1143000</xdr:colOff>
      <xdr:row>1</xdr:row>
      <xdr:rowOff>114300</xdr:rowOff>
    </xdr:from>
    <xdr:to>
      <xdr:col>11</xdr:col>
      <xdr:colOff>0</xdr:colOff>
      <xdr:row>2</xdr:row>
      <xdr:rowOff>114300</xdr:rowOff>
    </xdr:to>
    <xdr:pic>
      <xdr:nvPicPr>
        <xdr:cNvPr id="5" name="Grafik 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0200" y="114300"/>
          <a:ext cx="1447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8" name="Grafik 18">
          <a:extLst>
            <a:ext uri="{FF2B5EF4-FFF2-40B4-BE49-F238E27FC236}">
              <a16:creationId xmlns:a16="http://schemas.microsoft.com/office/drawing/2014/main" id="{D4EA99C9-BEE9-4035-8D27-A582B0C50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11" name="Grafik 18">
          <a:extLst>
            <a:ext uri="{FF2B5EF4-FFF2-40B4-BE49-F238E27FC236}">
              <a16:creationId xmlns:a16="http://schemas.microsoft.com/office/drawing/2014/main" id="{2A2AC428-94B1-4D52-82DE-F02EB0711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lunge/eb_lz-G1-2_daten_181031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HilfstabelleB"/>
      <sheetName val="Datenquelle"/>
      <sheetName val="Expertise"/>
      <sheetName val="Kennzahlenbogen_(KB)"/>
      <sheetName val="OPS-Codes Nenner Kennzahl 10"/>
      <sheetName val="Berechnung1"/>
      <sheetName val="HilfstabelleKB"/>
      <sheetName val="Datendefizite_KB"/>
      <sheetName val="Hilfstabelle DatendefKB"/>
      <sheetName val="Matrix"/>
      <sheetName val="HilfstabelleM"/>
      <sheetName val="Berechnung2"/>
      <sheetName val="Berechnung3"/>
      <sheetName val="Datendefizite_Matrix"/>
      <sheetName val="HilfstabelleDM"/>
      <sheetName val="HilfstabelleL"/>
    </sheetNames>
    <sheetDataSet>
      <sheetData sheetId="0">
        <row r="2">
          <cell r="A2" t="str">
            <v>Anlage EB Version G1-2 (Auditjahr 2019 / Kennzahlenjahr 2018)</v>
          </cell>
        </row>
      </sheetData>
      <sheetData sheetId="1" refreshError="1"/>
      <sheetData sheetId="2" refreshError="1"/>
      <sheetData sheetId="3">
        <row r="1">
          <cell r="B1" t="str">
            <v>Eigenentwicklung (MS Excel, MS Access etc.)</v>
          </cell>
        </row>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1">
          <cell r="D91"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313" dataDxfId="311" headerRowBorderDxfId="312" totalsRowBorderDxfId="310">
  <tableColumns count="19">
    <tableColumn id="1" xr3:uid="{00000000-0010-0000-0000-000001000000}" name="Baden-Württemberg" dataDxfId="309"/>
    <tableColumn id="2" xr3:uid="{00000000-0010-0000-0000-000002000000}" name="Bayern" dataDxfId="308"/>
    <tableColumn id="3" xr3:uid="{00000000-0010-0000-0000-000003000000}" name="Berlin" dataDxfId="307"/>
    <tableColumn id="4" xr3:uid="{00000000-0010-0000-0000-000004000000}" name="Brandenburg" dataDxfId="306"/>
    <tableColumn id="5" xr3:uid="{00000000-0010-0000-0000-000005000000}" name="Bremen" dataDxfId="305"/>
    <tableColumn id="6" xr3:uid="{00000000-0010-0000-0000-000006000000}" name="Hamburg" dataDxfId="304"/>
    <tableColumn id="7" xr3:uid="{00000000-0010-0000-0000-000007000000}" name="Hessen" dataDxfId="303"/>
    <tableColumn id="8" xr3:uid="{00000000-0010-0000-0000-000008000000}" name="Mecklenburg-Vorpommern" dataDxfId="302"/>
    <tableColumn id="9" xr3:uid="{00000000-0010-0000-0000-000009000000}" name="Niedersachsen" dataDxfId="301"/>
    <tableColumn id="10" xr3:uid="{00000000-0010-0000-0000-00000A000000}" name="Nordrhein-Westfalen" dataDxfId="300"/>
    <tableColumn id="11" xr3:uid="{00000000-0010-0000-0000-00000B000000}" name="Rheinland-Pfalz" dataDxfId="299"/>
    <tableColumn id="12" xr3:uid="{00000000-0010-0000-0000-00000C000000}" name="Saarland" dataDxfId="298"/>
    <tableColumn id="13" xr3:uid="{00000000-0010-0000-0000-00000D000000}" name="Sachsen" dataDxfId="297"/>
    <tableColumn id="14" xr3:uid="{00000000-0010-0000-0000-00000E000000}" name="Sachsen-Anhalt" dataDxfId="296"/>
    <tableColumn id="15" xr3:uid="{00000000-0010-0000-0000-00000F000000}" name="Schleswig-Holstein" dataDxfId="295"/>
    <tableColumn id="16" xr3:uid="{00000000-0010-0000-0000-000010000000}" name="Thüringen" dataDxfId="294"/>
    <tableColumn id="17" xr3:uid="{00000000-0010-0000-0000-000011000000}" name="Schweiz" dataDxfId="293"/>
    <tableColumn id="18" xr3:uid="{00000000-0010-0000-0000-000012000000}" name="Österreich" dataDxfId="292"/>
    <tableColumn id="19" xr3:uid="{00000000-0010-0000-0000-000013000000}" name="Italien" dataDxfId="29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IF437"/>
  <sheetViews>
    <sheetView topLeftCell="A88" zoomScaleNormal="100" workbookViewId="0">
      <selection activeCell="B192" sqref="B192"/>
    </sheetView>
  </sheetViews>
  <sheetFormatPr defaultColWidth="11.42578125" defaultRowHeight="11.25" x14ac:dyDescent="0.25"/>
  <cols>
    <col min="1" max="1" width="36.7109375" style="159" customWidth="1"/>
    <col min="2" max="2" width="54" style="159" customWidth="1"/>
    <col min="3" max="3" width="52.7109375" style="159" customWidth="1"/>
    <col min="4" max="4" width="35" style="159" customWidth="1"/>
    <col min="5" max="6" width="32.7109375" style="159" customWidth="1"/>
    <col min="7" max="7" width="32.7109375" style="159" bestFit="1" customWidth="1"/>
    <col min="8" max="8" width="33.85546875" style="159" bestFit="1" customWidth="1"/>
    <col min="9" max="9" width="34.85546875" style="159" customWidth="1"/>
    <col min="10" max="10" width="32.7109375" style="159" customWidth="1"/>
    <col min="11" max="12" width="32.7109375" style="159" bestFit="1" customWidth="1"/>
    <col min="13" max="14" width="33.85546875" style="159" bestFit="1" customWidth="1"/>
    <col min="15" max="15" width="37.28515625" style="159" bestFit="1" customWidth="1"/>
    <col min="16" max="16" width="33.85546875" style="159" bestFit="1" customWidth="1"/>
    <col min="17" max="17" width="9.7109375" style="159" customWidth="1"/>
    <col min="18" max="18" width="23" style="159" customWidth="1"/>
    <col min="19" max="19" width="19.140625" style="159" customWidth="1"/>
    <col min="20" max="20" width="9.140625" style="159" customWidth="1"/>
    <col min="21" max="21" width="37.7109375" style="159" customWidth="1"/>
    <col min="22" max="22" width="34.5703125" style="159" customWidth="1"/>
    <col min="23" max="23" width="9.140625" style="159" customWidth="1"/>
    <col min="24" max="24" width="49.140625" style="159" customWidth="1"/>
    <col min="25" max="32" width="9.140625" style="159" customWidth="1"/>
    <col min="33" max="33" width="13.5703125" style="159" customWidth="1"/>
    <col min="34" max="93" width="9.140625" style="159" customWidth="1"/>
    <col min="94" max="94" width="19" style="159" customWidth="1"/>
    <col min="95" max="256" width="9.140625" style="159" customWidth="1"/>
    <col min="257" max="16384" width="11.42578125" style="159"/>
  </cols>
  <sheetData>
    <row r="1" spans="1:240" ht="15" customHeight="1" x14ac:dyDescent="0.25">
      <c r="A1" s="318" t="s">
        <v>254</v>
      </c>
      <c r="B1" s="330" t="s">
        <v>327</v>
      </c>
      <c r="C1" s="226" t="s">
        <v>327</v>
      </c>
      <c r="D1" s="320" t="s">
        <v>110</v>
      </c>
      <c r="E1" s="32"/>
      <c r="G1" s="265"/>
      <c r="H1" s="255"/>
      <c r="J1" s="264"/>
      <c r="K1" s="264"/>
      <c r="M1" s="264"/>
      <c r="N1" s="264"/>
      <c r="P1" s="264"/>
      <c r="Q1" s="264"/>
      <c r="S1" s="264"/>
      <c r="T1" s="264"/>
      <c r="V1" s="264"/>
      <c r="W1" s="264"/>
      <c r="Y1" s="264"/>
      <c r="Z1" s="264"/>
      <c r="AB1" s="264"/>
      <c r="AC1" s="264"/>
      <c r="AE1" s="264"/>
      <c r="AF1" s="264"/>
      <c r="AG1" s="264"/>
      <c r="AI1" s="264"/>
      <c r="AJ1" s="264"/>
      <c r="AL1" s="264"/>
      <c r="AM1" s="264"/>
      <c r="AO1" s="264"/>
      <c r="AP1" s="264"/>
      <c r="AR1" s="264"/>
      <c r="AS1" s="264"/>
      <c r="AU1" s="264"/>
      <c r="AV1" s="264"/>
      <c r="AX1" s="264"/>
      <c r="AY1" s="264"/>
      <c r="BA1" s="264"/>
      <c r="BB1" s="264"/>
      <c r="BD1" s="264"/>
      <c r="BE1" s="264"/>
      <c r="BG1" s="264"/>
      <c r="BH1" s="264"/>
      <c r="BJ1" s="264"/>
      <c r="BK1" s="264"/>
      <c r="BM1" s="264"/>
      <c r="BN1" s="264"/>
      <c r="BP1" s="264"/>
      <c r="BQ1" s="264"/>
      <c r="BS1" s="264"/>
      <c r="BT1" s="264"/>
      <c r="BV1" s="264"/>
      <c r="BW1" s="264"/>
      <c r="BY1" s="264"/>
      <c r="BZ1" s="264"/>
      <c r="CB1" s="264"/>
      <c r="CC1" s="264"/>
      <c r="CE1" s="264"/>
      <c r="CF1" s="264"/>
      <c r="CH1" s="264"/>
      <c r="CI1" s="264"/>
      <c r="CK1" s="264"/>
      <c r="CL1" s="264"/>
      <c r="CN1" s="264"/>
      <c r="CO1" s="264"/>
      <c r="CQ1" s="264"/>
      <c r="CR1" s="264"/>
      <c r="CT1" s="264"/>
      <c r="CU1" s="264"/>
      <c r="CW1" s="264"/>
      <c r="CX1" s="264"/>
      <c r="CZ1" s="264"/>
      <c r="DA1" s="264"/>
      <c r="DC1" s="264"/>
      <c r="DD1" s="264"/>
      <c r="DF1" s="264"/>
      <c r="DG1" s="264"/>
      <c r="DI1" s="264"/>
      <c r="DJ1" s="264"/>
      <c r="DL1" s="264"/>
      <c r="DM1" s="264"/>
      <c r="DO1" s="264"/>
      <c r="DP1" s="264"/>
      <c r="DR1" s="264"/>
      <c r="DS1" s="264"/>
      <c r="DU1" s="264"/>
      <c r="DV1" s="264"/>
      <c r="DX1" s="264"/>
      <c r="DY1" s="264"/>
      <c r="EA1" s="264"/>
      <c r="EB1" s="252"/>
      <c r="ED1" s="264"/>
      <c r="EE1" s="264"/>
      <c r="EG1" s="264"/>
      <c r="EH1" s="264"/>
      <c r="EJ1" s="264"/>
      <c r="EK1" s="264"/>
      <c r="EM1" s="264"/>
      <c r="EN1" s="264"/>
      <c r="EP1" s="264"/>
      <c r="EQ1" s="264"/>
      <c r="ES1" s="264"/>
      <c r="ET1" s="264"/>
      <c r="EV1" s="264"/>
      <c r="EW1" s="264"/>
      <c r="EY1" s="264"/>
      <c r="EZ1" s="264"/>
      <c r="FB1" s="264"/>
      <c r="FC1" s="264"/>
      <c r="FE1" s="264"/>
      <c r="FF1" s="264"/>
      <c r="FH1" s="264"/>
      <c r="FI1" s="264"/>
      <c r="FK1" s="264"/>
      <c r="FL1" s="264"/>
      <c r="FN1" s="264"/>
      <c r="FO1" s="264"/>
      <c r="FQ1" s="264"/>
      <c r="FR1" s="264"/>
      <c r="FT1" s="264"/>
      <c r="FU1" s="264"/>
      <c r="FW1" s="264"/>
      <c r="FX1" s="264"/>
      <c r="FZ1" s="264"/>
      <c r="GA1" s="264"/>
      <c r="GC1" s="264"/>
      <c r="GD1" s="264"/>
      <c r="GF1" s="264"/>
      <c r="GG1" s="264"/>
      <c r="GI1" s="264"/>
      <c r="GJ1" s="264"/>
      <c r="GL1" s="264"/>
      <c r="GM1" s="264"/>
      <c r="GO1" s="264"/>
      <c r="GP1" s="264"/>
      <c r="GR1" s="264"/>
      <c r="GS1" s="264"/>
      <c r="GU1" s="264"/>
      <c r="GV1" s="264"/>
      <c r="GX1" s="264"/>
      <c r="GY1" s="264"/>
      <c r="HA1" s="264"/>
      <c r="HB1" s="264"/>
      <c r="HD1" s="264"/>
      <c r="HE1" s="264"/>
      <c r="HG1" s="264"/>
      <c r="HH1" s="264"/>
      <c r="HJ1" s="264"/>
      <c r="HK1" s="264"/>
      <c r="HM1" s="264"/>
      <c r="HN1" s="264"/>
      <c r="HP1" s="264"/>
      <c r="HQ1" s="264"/>
      <c r="HS1" s="264"/>
      <c r="HT1" s="264"/>
      <c r="HV1" s="264"/>
      <c r="HW1" s="264"/>
      <c r="HY1" s="264"/>
      <c r="HZ1" s="264"/>
      <c r="IB1" s="264"/>
      <c r="IC1" s="264"/>
      <c r="IE1" s="264"/>
      <c r="IF1" s="264"/>
    </row>
    <row r="2" spans="1:240" ht="12" x14ac:dyDescent="0.25">
      <c r="A2" s="455" t="s">
        <v>1046</v>
      </c>
      <c r="B2" s="330" t="s">
        <v>424</v>
      </c>
      <c r="C2" s="226" t="s">
        <v>424</v>
      </c>
      <c r="D2" s="262" t="str">
        <f>Basisdaten_Lunge!I15</f>
        <v/>
      </c>
      <c r="E2" s="261">
        <f>IF(D2&gt;D3,0,DATEDIF(D2,D3,"y"))</f>
        <v>0</v>
      </c>
      <c r="F2" s="465" t="s">
        <v>861</v>
      </c>
      <c r="G2" s="265"/>
      <c r="H2" s="255"/>
      <c r="J2" s="264"/>
      <c r="K2" s="264"/>
      <c r="M2" s="264"/>
      <c r="N2" s="264"/>
      <c r="P2" s="264"/>
      <c r="Q2" s="264"/>
      <c r="S2" s="264"/>
      <c r="T2" s="264"/>
      <c r="V2" s="264"/>
      <c r="W2" s="264"/>
      <c r="Y2" s="264"/>
      <c r="Z2" s="264"/>
      <c r="AB2" s="264"/>
      <c r="AC2" s="264"/>
      <c r="AE2" s="264"/>
      <c r="AF2" s="264"/>
      <c r="AG2" s="264"/>
      <c r="AI2" s="264"/>
      <c r="AJ2" s="264"/>
      <c r="AL2" s="264"/>
      <c r="AM2" s="264"/>
      <c r="AO2" s="264"/>
      <c r="AP2" s="264"/>
      <c r="AR2" s="264"/>
      <c r="AS2" s="264"/>
      <c r="AU2" s="264"/>
      <c r="AV2" s="264"/>
      <c r="AX2" s="264"/>
      <c r="AY2" s="264"/>
      <c r="BA2" s="264"/>
      <c r="BB2" s="264"/>
      <c r="BD2" s="264"/>
      <c r="BE2" s="264"/>
      <c r="BG2" s="264"/>
      <c r="BH2" s="264"/>
      <c r="BJ2" s="264"/>
      <c r="BK2" s="264"/>
      <c r="BM2" s="264"/>
      <c r="BN2" s="264"/>
      <c r="BP2" s="264"/>
      <c r="BQ2" s="264"/>
      <c r="BS2" s="264"/>
      <c r="BT2" s="264"/>
      <c r="BV2" s="264"/>
      <c r="BW2" s="264"/>
      <c r="BY2" s="264"/>
      <c r="BZ2" s="264"/>
      <c r="CB2" s="264"/>
      <c r="CC2" s="264"/>
      <c r="CE2" s="264"/>
      <c r="CF2" s="264"/>
      <c r="CH2" s="264"/>
      <c r="CI2" s="264"/>
      <c r="CK2" s="264"/>
      <c r="CL2" s="264"/>
      <c r="CN2" s="264"/>
      <c r="CO2" s="264"/>
      <c r="CQ2" s="264"/>
      <c r="CR2" s="264"/>
      <c r="CT2" s="264"/>
      <c r="CU2" s="264"/>
      <c r="CW2" s="264"/>
      <c r="CX2" s="264"/>
      <c r="CZ2" s="264"/>
      <c r="DA2" s="264"/>
      <c r="DC2" s="264"/>
      <c r="DD2" s="264"/>
      <c r="DF2" s="264"/>
      <c r="DG2" s="264"/>
      <c r="DI2" s="264"/>
      <c r="DJ2" s="264"/>
      <c r="DL2" s="264"/>
      <c r="DM2" s="264"/>
      <c r="DO2" s="264"/>
      <c r="DP2" s="264"/>
      <c r="DR2" s="264"/>
      <c r="DS2" s="264"/>
      <c r="DU2" s="264"/>
      <c r="DV2" s="264"/>
      <c r="DX2" s="264"/>
      <c r="DY2" s="264"/>
      <c r="EA2" s="264"/>
      <c r="EB2" s="252"/>
      <c r="ED2" s="264"/>
      <c r="EE2" s="264"/>
      <c r="EG2" s="264"/>
      <c r="EH2" s="264"/>
      <c r="EJ2" s="264"/>
      <c r="EK2" s="264"/>
      <c r="EM2" s="264"/>
      <c r="EN2" s="264"/>
      <c r="EP2" s="264"/>
      <c r="EQ2" s="264"/>
      <c r="ES2" s="264"/>
      <c r="ET2" s="264"/>
      <c r="EV2" s="264"/>
      <c r="EW2" s="264"/>
      <c r="EY2" s="264"/>
      <c r="EZ2" s="264"/>
      <c r="FB2" s="264"/>
      <c r="FC2" s="264"/>
      <c r="FE2" s="264"/>
      <c r="FF2" s="264"/>
      <c r="FH2" s="264"/>
      <c r="FI2" s="264"/>
      <c r="FK2" s="264"/>
      <c r="FL2" s="264"/>
      <c r="FN2" s="264"/>
      <c r="FO2" s="264"/>
      <c r="FQ2" s="264"/>
      <c r="FR2" s="264"/>
      <c r="FT2" s="264"/>
      <c r="FU2" s="264"/>
      <c r="FW2" s="264"/>
      <c r="FX2" s="264"/>
      <c r="FZ2" s="264"/>
      <c r="GA2" s="264"/>
      <c r="GC2" s="264"/>
      <c r="GD2" s="264"/>
      <c r="GF2" s="264"/>
      <c r="GG2" s="264"/>
      <c r="GI2" s="264"/>
      <c r="GJ2" s="264"/>
      <c r="GL2" s="264"/>
      <c r="GM2" s="264"/>
      <c r="GO2" s="264"/>
      <c r="GP2" s="264"/>
      <c r="GR2" s="264"/>
      <c r="GS2" s="264"/>
      <c r="GU2" s="264"/>
      <c r="GV2" s="264"/>
      <c r="GX2" s="264"/>
      <c r="GY2" s="264"/>
      <c r="HA2" s="264"/>
      <c r="HB2" s="264"/>
      <c r="HD2" s="264"/>
      <c r="HE2" s="264"/>
      <c r="HG2" s="264"/>
      <c r="HH2" s="264"/>
      <c r="HJ2" s="264"/>
      <c r="HK2" s="264"/>
      <c r="HM2" s="264"/>
      <c r="HN2" s="264"/>
      <c r="HP2" s="264"/>
      <c r="HQ2" s="264"/>
      <c r="HS2" s="264"/>
      <c r="HT2" s="264"/>
      <c r="HV2" s="264"/>
      <c r="HW2" s="264"/>
      <c r="HY2" s="264"/>
      <c r="HZ2" s="264"/>
      <c r="IB2" s="264"/>
      <c r="IC2" s="264"/>
      <c r="IE2" s="264"/>
      <c r="IF2" s="264"/>
    </row>
    <row r="3" spans="1:240" ht="12" x14ac:dyDescent="0.25">
      <c r="A3" s="263"/>
      <c r="B3" s="330" t="s">
        <v>425</v>
      </c>
      <c r="C3" s="226" t="s">
        <v>425</v>
      </c>
      <c r="D3" s="421">
        <v>45291</v>
      </c>
      <c r="E3" s="185"/>
      <c r="F3" s="465" t="s">
        <v>879</v>
      </c>
      <c r="G3" s="265"/>
      <c r="H3" s="255"/>
      <c r="J3" s="264"/>
      <c r="K3" s="264"/>
      <c r="M3" s="264"/>
      <c r="N3" s="264"/>
      <c r="P3" s="264"/>
      <c r="Q3" s="264"/>
      <c r="S3" s="264"/>
      <c r="T3" s="264"/>
      <c r="V3" s="264"/>
      <c r="W3" s="264"/>
      <c r="Y3" s="264"/>
      <c r="Z3" s="264"/>
      <c r="AB3" s="264"/>
      <c r="AC3" s="264"/>
      <c r="AE3" s="264"/>
      <c r="AF3" s="264"/>
      <c r="AG3" s="264"/>
      <c r="AI3" s="264"/>
      <c r="AJ3" s="264"/>
      <c r="AL3" s="264"/>
      <c r="AM3" s="264"/>
      <c r="AO3" s="264"/>
      <c r="AP3" s="264"/>
      <c r="AR3" s="264"/>
      <c r="AS3" s="264"/>
      <c r="AU3" s="264"/>
      <c r="AV3" s="264"/>
      <c r="AX3" s="264"/>
      <c r="AY3" s="264"/>
      <c r="BA3" s="264"/>
      <c r="BB3" s="264"/>
      <c r="BD3" s="264"/>
      <c r="BE3" s="264"/>
      <c r="BG3" s="264"/>
      <c r="BH3" s="264"/>
      <c r="BJ3" s="264"/>
      <c r="BK3" s="264"/>
      <c r="BM3" s="264"/>
      <c r="BN3" s="264"/>
      <c r="BP3" s="264"/>
      <c r="BQ3" s="264"/>
      <c r="BS3" s="264"/>
      <c r="BT3" s="264"/>
      <c r="BV3" s="264"/>
      <c r="BW3" s="264"/>
      <c r="BY3" s="264"/>
      <c r="BZ3" s="264"/>
      <c r="CB3" s="264"/>
      <c r="CC3" s="264"/>
      <c r="CE3" s="264"/>
      <c r="CF3" s="264"/>
      <c r="CH3" s="264"/>
      <c r="CI3" s="264"/>
      <c r="CK3" s="264"/>
      <c r="CL3" s="264"/>
      <c r="CN3" s="264"/>
      <c r="CO3" s="264"/>
      <c r="CQ3" s="264"/>
      <c r="CR3" s="264"/>
      <c r="CT3" s="264"/>
      <c r="CU3" s="264"/>
      <c r="CW3" s="264"/>
      <c r="CX3" s="264"/>
      <c r="CZ3" s="264"/>
      <c r="DA3" s="264"/>
      <c r="DC3" s="264"/>
      <c r="DD3" s="264"/>
      <c r="DF3" s="264"/>
      <c r="DG3" s="264"/>
      <c r="DI3" s="264"/>
      <c r="DJ3" s="264"/>
      <c r="DL3" s="264"/>
      <c r="DM3" s="264"/>
      <c r="DO3" s="264"/>
      <c r="DP3" s="264"/>
      <c r="DR3" s="264"/>
      <c r="DS3" s="264"/>
      <c r="DU3" s="264"/>
      <c r="DV3" s="264"/>
      <c r="DX3" s="264"/>
      <c r="DY3" s="264"/>
      <c r="EA3" s="264"/>
      <c r="EB3" s="252"/>
      <c r="ED3" s="264"/>
      <c r="EE3" s="264"/>
      <c r="EG3" s="264"/>
      <c r="EH3" s="264"/>
      <c r="EJ3" s="264"/>
      <c r="EK3" s="264"/>
      <c r="EM3" s="264"/>
      <c r="EN3" s="264"/>
      <c r="EP3" s="264"/>
      <c r="EQ3" s="264"/>
      <c r="ES3" s="264"/>
      <c r="ET3" s="264"/>
      <c r="EV3" s="264"/>
      <c r="EW3" s="264"/>
      <c r="EY3" s="264"/>
      <c r="EZ3" s="264"/>
      <c r="FB3" s="264"/>
      <c r="FC3" s="264"/>
      <c r="FE3" s="264"/>
      <c r="FF3" s="264"/>
      <c r="FH3" s="264"/>
      <c r="FI3" s="264"/>
      <c r="FK3" s="264"/>
      <c r="FL3" s="264"/>
      <c r="FN3" s="264"/>
      <c r="FO3" s="264"/>
      <c r="FQ3" s="264"/>
      <c r="FR3" s="264"/>
      <c r="FT3" s="264"/>
      <c r="FU3" s="264"/>
      <c r="FW3" s="264"/>
      <c r="FX3" s="264"/>
      <c r="FZ3" s="264"/>
      <c r="GA3" s="264"/>
      <c r="GC3" s="264"/>
      <c r="GD3" s="264"/>
      <c r="GF3" s="264"/>
      <c r="GG3" s="264"/>
      <c r="GI3" s="264"/>
      <c r="GJ3" s="264"/>
      <c r="GL3" s="264"/>
      <c r="GM3" s="264"/>
      <c r="GO3" s="264"/>
      <c r="GP3" s="264"/>
      <c r="GR3" s="264"/>
      <c r="GS3" s="264"/>
      <c r="GU3" s="264"/>
      <c r="GV3" s="264"/>
      <c r="GX3" s="264"/>
      <c r="GY3" s="264"/>
      <c r="HA3" s="264"/>
      <c r="HB3" s="264"/>
      <c r="HD3" s="264"/>
      <c r="HE3" s="264"/>
      <c r="HG3" s="264"/>
      <c r="HH3" s="264"/>
      <c r="HJ3" s="264"/>
      <c r="HK3" s="264"/>
      <c r="HM3" s="264"/>
      <c r="HN3" s="264"/>
      <c r="HP3" s="264"/>
      <c r="HQ3" s="264"/>
      <c r="HS3" s="264"/>
      <c r="HT3" s="264"/>
      <c r="HV3" s="264"/>
      <c r="HW3" s="264"/>
      <c r="HY3" s="264"/>
      <c r="HZ3" s="264"/>
      <c r="IB3" s="264"/>
      <c r="IC3" s="264"/>
      <c r="IE3" s="264"/>
      <c r="IF3" s="264"/>
    </row>
    <row r="4" spans="1:240" ht="12" x14ac:dyDescent="0.25">
      <c r="A4" s="263"/>
      <c r="B4" s="330" t="s">
        <v>617</v>
      </c>
      <c r="C4" s="226" t="s">
        <v>617</v>
      </c>
      <c r="D4" s="260"/>
      <c r="E4" s="264"/>
      <c r="G4" s="265"/>
      <c r="H4" s="255"/>
      <c r="J4" s="264"/>
      <c r="K4" s="264"/>
      <c r="M4" s="264"/>
      <c r="N4" s="264"/>
      <c r="P4" s="264"/>
      <c r="Q4" s="264"/>
      <c r="S4" s="264"/>
      <c r="T4" s="264"/>
      <c r="V4" s="264"/>
      <c r="W4" s="264"/>
      <c r="Y4" s="264"/>
      <c r="Z4" s="264"/>
      <c r="AB4" s="264"/>
      <c r="AC4" s="264"/>
      <c r="AE4" s="264"/>
      <c r="AF4" s="264"/>
      <c r="AG4" s="264"/>
      <c r="AI4" s="264"/>
      <c r="AJ4" s="264"/>
      <c r="AL4" s="264"/>
      <c r="AM4" s="264"/>
      <c r="AO4" s="264"/>
      <c r="AP4" s="264"/>
      <c r="AR4" s="264"/>
      <c r="AS4" s="264"/>
      <c r="AU4" s="264"/>
      <c r="AV4" s="264"/>
      <c r="AX4" s="264"/>
      <c r="AY4" s="264"/>
      <c r="BA4" s="264"/>
      <c r="BB4" s="264"/>
      <c r="BD4" s="264"/>
      <c r="BE4" s="264"/>
      <c r="BG4" s="264"/>
      <c r="BH4" s="264"/>
      <c r="BJ4" s="264"/>
      <c r="BK4" s="264"/>
      <c r="BM4" s="264"/>
      <c r="BN4" s="264"/>
      <c r="BP4" s="264"/>
      <c r="BQ4" s="264"/>
      <c r="BS4" s="264"/>
      <c r="BT4" s="264"/>
      <c r="BV4" s="264"/>
      <c r="BW4" s="264"/>
      <c r="BY4" s="264"/>
      <c r="BZ4" s="264"/>
      <c r="CB4" s="264"/>
      <c r="CC4" s="264"/>
      <c r="CE4" s="264"/>
      <c r="CF4" s="264"/>
      <c r="CH4" s="264"/>
      <c r="CI4" s="264"/>
      <c r="CK4" s="264"/>
      <c r="CL4" s="264"/>
      <c r="CN4" s="264"/>
      <c r="CO4" s="264"/>
      <c r="CQ4" s="264"/>
      <c r="CR4" s="264"/>
      <c r="CT4" s="264"/>
      <c r="CU4" s="264"/>
      <c r="CW4" s="264"/>
      <c r="CX4" s="264"/>
      <c r="CZ4" s="264"/>
      <c r="DA4" s="264"/>
      <c r="DC4" s="264"/>
      <c r="DD4" s="264"/>
      <c r="DF4" s="264"/>
      <c r="DG4" s="264"/>
      <c r="DI4" s="264"/>
      <c r="DJ4" s="264"/>
      <c r="DL4" s="264"/>
      <c r="DM4" s="264"/>
      <c r="DO4" s="264"/>
      <c r="DP4" s="264"/>
      <c r="DR4" s="264"/>
      <c r="DS4" s="264"/>
      <c r="DU4" s="264"/>
      <c r="DV4" s="264"/>
      <c r="DX4" s="264"/>
      <c r="DY4" s="264"/>
      <c r="EA4" s="264"/>
      <c r="EB4" s="252"/>
      <c r="ED4" s="264"/>
      <c r="EE4" s="264"/>
      <c r="EG4" s="264"/>
      <c r="EH4" s="264"/>
      <c r="EJ4" s="264"/>
      <c r="EK4" s="264"/>
      <c r="EM4" s="264"/>
      <c r="EN4" s="264"/>
      <c r="EP4" s="264"/>
      <c r="EQ4" s="264"/>
      <c r="ES4" s="264"/>
      <c r="ET4" s="264"/>
      <c r="EV4" s="264"/>
      <c r="EW4" s="264"/>
      <c r="EY4" s="264"/>
      <c r="EZ4" s="264"/>
      <c r="FB4" s="264"/>
      <c r="FC4" s="264"/>
      <c r="FE4" s="264"/>
      <c r="FF4" s="264"/>
      <c r="FH4" s="264"/>
      <c r="FI4" s="264"/>
      <c r="FK4" s="264"/>
      <c r="FL4" s="264"/>
      <c r="FN4" s="264"/>
      <c r="FO4" s="264"/>
      <c r="FQ4" s="264"/>
      <c r="FR4" s="264"/>
      <c r="FT4" s="264"/>
      <c r="FU4" s="264"/>
      <c r="FW4" s="264"/>
      <c r="FX4" s="264"/>
      <c r="FZ4" s="264"/>
      <c r="GA4" s="264"/>
      <c r="GC4" s="264"/>
      <c r="GD4" s="264"/>
      <c r="GF4" s="264"/>
      <c r="GG4" s="264"/>
      <c r="GI4" s="264"/>
      <c r="GJ4" s="264"/>
      <c r="GL4" s="264"/>
      <c r="GM4" s="264"/>
      <c r="GO4" s="264"/>
      <c r="GP4" s="264"/>
      <c r="GR4" s="264"/>
      <c r="GS4" s="264"/>
      <c r="GU4" s="264"/>
      <c r="GV4" s="264"/>
      <c r="GX4" s="264"/>
      <c r="GY4" s="264"/>
      <c r="HA4" s="264"/>
      <c r="HB4" s="264"/>
      <c r="HD4" s="264"/>
      <c r="HE4" s="264"/>
      <c r="HG4" s="264"/>
      <c r="HH4" s="264"/>
      <c r="HJ4" s="264"/>
      <c r="HK4" s="264"/>
      <c r="HM4" s="264"/>
      <c r="HN4" s="264"/>
      <c r="HP4" s="264"/>
      <c r="HQ4" s="264"/>
      <c r="HS4" s="264"/>
      <c r="HT4" s="264"/>
      <c r="HV4" s="264"/>
      <c r="HW4" s="264"/>
      <c r="HY4" s="264"/>
      <c r="HZ4" s="264"/>
      <c r="IB4" s="264"/>
      <c r="IC4" s="264"/>
      <c r="IE4" s="264"/>
      <c r="IF4" s="264"/>
    </row>
    <row r="5" spans="1:240" ht="12" x14ac:dyDescent="0.25">
      <c r="A5" s="264"/>
      <c r="B5" s="330" t="s">
        <v>494</v>
      </c>
      <c r="C5" s="226" t="s">
        <v>494</v>
      </c>
      <c r="D5" s="260"/>
      <c r="E5" s="264"/>
      <c r="G5" s="265"/>
      <c r="H5" s="259"/>
      <c r="J5" s="264"/>
      <c r="K5" s="264"/>
      <c r="M5" s="264"/>
      <c r="N5" s="264"/>
      <c r="P5" s="264"/>
      <c r="Q5" s="264"/>
      <c r="S5" s="264"/>
      <c r="T5" s="264"/>
      <c r="V5" s="264"/>
      <c r="W5" s="264"/>
      <c r="Y5" s="264"/>
      <c r="Z5" s="264"/>
      <c r="AB5" s="264"/>
      <c r="AC5" s="264"/>
      <c r="AE5" s="264"/>
      <c r="AF5" s="264"/>
      <c r="AG5" s="264"/>
      <c r="AI5" s="264"/>
      <c r="AJ5" s="264"/>
      <c r="AL5" s="264"/>
      <c r="AM5" s="264"/>
      <c r="AO5" s="264"/>
      <c r="AP5" s="264"/>
      <c r="AR5" s="264"/>
      <c r="AS5" s="264"/>
      <c r="AU5" s="264"/>
      <c r="AV5" s="264"/>
      <c r="AX5" s="264"/>
      <c r="AY5" s="264"/>
      <c r="BA5" s="264"/>
      <c r="BB5" s="264"/>
      <c r="BD5" s="264"/>
      <c r="BE5" s="264"/>
      <c r="BG5" s="264"/>
      <c r="BH5" s="264"/>
      <c r="BJ5" s="264"/>
      <c r="BK5" s="264"/>
      <c r="BM5" s="264"/>
      <c r="BN5" s="264"/>
      <c r="BP5" s="264"/>
      <c r="BQ5" s="264"/>
      <c r="BS5" s="264"/>
      <c r="BT5" s="264"/>
      <c r="BV5" s="264"/>
      <c r="BW5" s="264"/>
      <c r="BY5" s="264"/>
      <c r="BZ5" s="264"/>
      <c r="CB5" s="264"/>
      <c r="CC5" s="264"/>
      <c r="CE5" s="264"/>
      <c r="CF5" s="264"/>
      <c r="CH5" s="264"/>
      <c r="CI5" s="264"/>
      <c r="CK5" s="264"/>
      <c r="CL5" s="264"/>
      <c r="CN5" s="264"/>
      <c r="CO5" s="264"/>
      <c r="CQ5" s="264"/>
      <c r="CR5" s="264"/>
      <c r="CT5" s="264"/>
      <c r="CU5" s="264"/>
      <c r="CW5" s="264"/>
      <c r="CX5" s="264"/>
      <c r="CZ5" s="264"/>
      <c r="DA5" s="264"/>
      <c r="DC5" s="264"/>
      <c r="DD5" s="264"/>
      <c r="DF5" s="264"/>
      <c r="DG5" s="264"/>
      <c r="DI5" s="264"/>
      <c r="DJ5" s="264"/>
      <c r="DL5" s="264"/>
      <c r="DM5" s="264"/>
      <c r="DO5" s="264"/>
      <c r="DP5" s="264"/>
      <c r="DR5" s="264"/>
      <c r="DS5" s="264"/>
      <c r="DU5" s="264"/>
      <c r="DV5" s="264"/>
      <c r="DX5" s="264"/>
      <c r="DY5" s="264"/>
      <c r="EA5" s="264"/>
      <c r="EB5" s="252"/>
      <c r="ED5" s="264"/>
      <c r="EE5" s="264"/>
      <c r="EG5" s="264"/>
      <c r="EH5" s="264"/>
      <c r="EJ5" s="264"/>
      <c r="EK5" s="264"/>
      <c r="EM5" s="264"/>
      <c r="EN5" s="264"/>
      <c r="EP5" s="264"/>
      <c r="EQ5" s="264"/>
      <c r="ES5" s="264"/>
      <c r="ET5" s="264"/>
      <c r="EV5" s="264"/>
      <c r="EW5" s="264"/>
      <c r="EY5" s="264"/>
      <c r="EZ5" s="264"/>
      <c r="FB5" s="264"/>
      <c r="FC5" s="264"/>
      <c r="FE5" s="264"/>
      <c r="FF5" s="264"/>
      <c r="FH5" s="264"/>
      <c r="FI5" s="264"/>
      <c r="FK5" s="264"/>
      <c r="FL5" s="264"/>
      <c r="FN5" s="264"/>
      <c r="FO5" s="264"/>
      <c r="FQ5" s="264"/>
      <c r="FR5" s="264"/>
      <c r="FT5" s="264"/>
      <c r="FU5" s="264"/>
      <c r="FW5" s="264"/>
      <c r="FX5" s="264"/>
      <c r="FZ5" s="264"/>
      <c r="GA5" s="264"/>
      <c r="GC5" s="264"/>
      <c r="GD5" s="264"/>
      <c r="GF5" s="264"/>
      <c r="GG5" s="264"/>
      <c r="GI5" s="264"/>
      <c r="GJ5" s="264"/>
      <c r="GL5" s="264"/>
      <c r="GM5" s="264"/>
      <c r="GO5" s="264"/>
      <c r="GP5" s="264"/>
      <c r="GR5" s="264"/>
      <c r="GS5" s="264"/>
      <c r="GU5" s="264"/>
      <c r="GV5" s="264"/>
      <c r="GX5" s="264"/>
      <c r="GY5" s="264"/>
      <c r="HA5" s="264"/>
      <c r="HB5" s="264"/>
      <c r="HD5" s="264"/>
      <c r="HE5" s="264"/>
      <c r="HG5" s="264"/>
      <c r="HH5" s="264"/>
      <c r="HJ5" s="264"/>
      <c r="HK5" s="264"/>
      <c r="HM5" s="264"/>
      <c r="HN5" s="264"/>
      <c r="HP5" s="264"/>
      <c r="HQ5" s="264"/>
      <c r="HS5" s="264"/>
      <c r="HT5" s="264"/>
      <c r="HV5" s="264"/>
      <c r="HW5" s="264"/>
      <c r="HY5" s="264"/>
      <c r="HZ5" s="264"/>
      <c r="IB5" s="264"/>
      <c r="IC5" s="264"/>
      <c r="IE5" s="264"/>
      <c r="IF5" s="264"/>
    </row>
    <row r="6" spans="1:240" ht="12" x14ac:dyDescent="0.25">
      <c r="A6" s="264"/>
      <c r="B6" s="330" t="s">
        <v>426</v>
      </c>
      <c r="C6" s="226" t="s">
        <v>426</v>
      </c>
      <c r="D6" s="260"/>
      <c r="E6" s="264"/>
      <c r="G6" s="265"/>
      <c r="J6" s="264"/>
      <c r="K6" s="264"/>
      <c r="M6" s="264"/>
      <c r="N6" s="264"/>
      <c r="P6" s="264"/>
      <c r="Q6" s="264"/>
      <c r="S6" s="264"/>
      <c r="T6" s="264"/>
      <c r="V6" s="264"/>
      <c r="W6" s="264"/>
      <c r="Y6" s="264"/>
      <c r="Z6" s="264"/>
      <c r="AB6" s="264"/>
      <c r="AC6" s="264"/>
      <c r="AE6" s="264"/>
      <c r="AF6" s="264"/>
      <c r="AG6" s="264"/>
      <c r="AI6" s="264"/>
      <c r="AJ6" s="264"/>
      <c r="AL6" s="264"/>
      <c r="AM6" s="264"/>
      <c r="AO6" s="264"/>
      <c r="AP6" s="264"/>
      <c r="AR6" s="264"/>
      <c r="AS6" s="264"/>
      <c r="AU6" s="264"/>
      <c r="AV6" s="264"/>
      <c r="AX6" s="264"/>
      <c r="AY6" s="264"/>
      <c r="BA6" s="264"/>
      <c r="BB6" s="264"/>
      <c r="BD6" s="264"/>
      <c r="BE6" s="264"/>
      <c r="BG6" s="264"/>
      <c r="BH6" s="264"/>
      <c r="BJ6" s="264"/>
      <c r="BK6" s="264"/>
      <c r="BM6" s="264"/>
      <c r="BN6" s="264"/>
      <c r="BP6" s="264"/>
      <c r="BQ6" s="264"/>
      <c r="BS6" s="264"/>
      <c r="BT6" s="264"/>
      <c r="BV6" s="264"/>
      <c r="BW6" s="264"/>
      <c r="BY6" s="264"/>
      <c r="BZ6" s="264"/>
      <c r="CB6" s="264"/>
      <c r="CC6" s="264"/>
      <c r="CE6" s="264"/>
      <c r="CF6" s="264"/>
      <c r="CH6" s="264"/>
      <c r="CI6" s="264"/>
      <c r="CK6" s="264"/>
      <c r="CL6" s="264"/>
      <c r="CN6" s="264"/>
      <c r="CO6" s="264"/>
      <c r="CQ6" s="264"/>
      <c r="CR6" s="264"/>
      <c r="CT6" s="264"/>
      <c r="CU6" s="264"/>
      <c r="CW6" s="264"/>
      <c r="CX6" s="264"/>
      <c r="CZ6" s="264"/>
      <c r="DA6" s="264"/>
      <c r="DC6" s="264"/>
      <c r="DD6" s="264"/>
      <c r="DF6" s="264"/>
      <c r="DG6" s="264"/>
      <c r="DI6" s="264"/>
      <c r="DJ6" s="264"/>
      <c r="DL6" s="264"/>
      <c r="DM6" s="264"/>
      <c r="DO6" s="264"/>
      <c r="DP6" s="264"/>
      <c r="DR6" s="264"/>
      <c r="DS6" s="264"/>
      <c r="DU6" s="264"/>
      <c r="DV6" s="264"/>
      <c r="DX6" s="264"/>
      <c r="DY6" s="264"/>
      <c r="EA6" s="264"/>
      <c r="EB6" s="252"/>
      <c r="ED6" s="264"/>
      <c r="EE6" s="264"/>
      <c r="EG6" s="264"/>
      <c r="EH6" s="264"/>
      <c r="EJ6" s="264"/>
      <c r="EK6" s="264"/>
      <c r="EM6" s="264"/>
      <c r="EN6" s="264"/>
      <c r="EP6" s="264"/>
      <c r="EQ6" s="264"/>
      <c r="ES6" s="264"/>
      <c r="ET6" s="264"/>
      <c r="EV6" s="264"/>
      <c r="EW6" s="264"/>
      <c r="EY6" s="264"/>
      <c r="EZ6" s="264"/>
      <c r="FB6" s="264"/>
      <c r="FC6" s="264"/>
      <c r="FE6" s="264"/>
      <c r="FF6" s="264"/>
      <c r="FH6" s="264"/>
      <c r="FI6" s="264"/>
      <c r="FK6" s="264"/>
      <c r="FL6" s="264"/>
      <c r="FN6" s="264"/>
      <c r="FO6" s="264"/>
      <c r="FQ6" s="264"/>
      <c r="FR6" s="264"/>
      <c r="FT6" s="264"/>
      <c r="FU6" s="264"/>
      <c r="FW6" s="264"/>
      <c r="FX6" s="264"/>
      <c r="FZ6" s="264"/>
      <c r="GA6" s="264"/>
      <c r="GC6" s="264"/>
      <c r="GD6" s="264"/>
      <c r="GF6" s="264"/>
      <c r="GG6" s="264"/>
      <c r="GI6" s="264"/>
      <c r="GJ6" s="264"/>
      <c r="GL6" s="264"/>
      <c r="GM6" s="264"/>
      <c r="GO6" s="264"/>
      <c r="GP6" s="264"/>
      <c r="GR6" s="264"/>
      <c r="GS6" s="264"/>
      <c r="GU6" s="264"/>
      <c r="GV6" s="264"/>
      <c r="GX6" s="264"/>
      <c r="GY6" s="264"/>
      <c r="HA6" s="264"/>
      <c r="HB6" s="264"/>
      <c r="HD6" s="264"/>
      <c r="HE6" s="264"/>
      <c r="HG6" s="264"/>
      <c r="HH6" s="264"/>
      <c r="HJ6" s="264"/>
      <c r="HK6" s="264"/>
      <c r="HM6" s="264"/>
      <c r="HN6" s="264"/>
      <c r="HP6" s="264"/>
      <c r="HQ6" s="264"/>
      <c r="HS6" s="264"/>
      <c r="HT6" s="264"/>
      <c r="HV6" s="264"/>
      <c r="HW6" s="264"/>
      <c r="HY6" s="264"/>
      <c r="HZ6" s="264"/>
      <c r="IB6" s="264"/>
      <c r="IC6" s="264"/>
      <c r="IE6" s="264"/>
      <c r="IF6" s="264"/>
    </row>
    <row r="7" spans="1:240" ht="12" x14ac:dyDescent="0.25">
      <c r="A7" s="264"/>
      <c r="B7" s="330" t="s">
        <v>618</v>
      </c>
      <c r="C7" s="226" t="s">
        <v>618</v>
      </c>
      <c r="D7" s="260"/>
      <c r="E7" s="264"/>
      <c r="G7" s="265"/>
      <c r="J7" s="264"/>
      <c r="K7" s="264"/>
      <c r="M7" s="264"/>
      <c r="N7" s="264"/>
      <c r="P7" s="264"/>
      <c r="Q7" s="264"/>
      <c r="S7" s="264"/>
      <c r="T7" s="264"/>
      <c r="V7" s="264"/>
      <c r="W7" s="264"/>
      <c r="Y7" s="264"/>
      <c r="Z7" s="264"/>
      <c r="AB7" s="264"/>
      <c r="AC7" s="264"/>
      <c r="AE7" s="264"/>
      <c r="AF7" s="264"/>
      <c r="AG7" s="264"/>
      <c r="AI7" s="264"/>
      <c r="AJ7" s="264"/>
      <c r="AL7" s="264"/>
      <c r="AM7" s="264"/>
      <c r="AO7" s="264"/>
      <c r="AP7" s="264"/>
      <c r="AR7" s="264"/>
      <c r="AS7" s="264"/>
      <c r="AU7" s="264"/>
      <c r="AV7" s="264"/>
      <c r="AX7" s="264"/>
      <c r="AY7" s="264"/>
      <c r="BA7" s="264"/>
      <c r="BB7" s="264"/>
      <c r="BD7" s="264"/>
      <c r="BE7" s="264"/>
      <c r="BG7" s="264"/>
      <c r="BH7" s="264"/>
      <c r="BJ7" s="264"/>
      <c r="BK7" s="264"/>
      <c r="BM7" s="264"/>
      <c r="BN7" s="264"/>
      <c r="BP7" s="264"/>
      <c r="BQ7" s="264"/>
      <c r="BS7" s="264"/>
      <c r="BT7" s="264"/>
      <c r="BV7" s="264"/>
      <c r="BW7" s="264"/>
      <c r="BY7" s="264"/>
      <c r="BZ7" s="264"/>
      <c r="CB7" s="264"/>
      <c r="CC7" s="264"/>
      <c r="CE7" s="264"/>
      <c r="CF7" s="264"/>
      <c r="CH7" s="264"/>
      <c r="CI7" s="264"/>
      <c r="CK7" s="264"/>
      <c r="CL7" s="264"/>
      <c r="CN7" s="264"/>
      <c r="CO7" s="264"/>
      <c r="CQ7" s="264"/>
      <c r="CR7" s="264"/>
      <c r="CT7" s="264"/>
      <c r="CU7" s="264"/>
      <c r="CW7" s="264"/>
      <c r="CX7" s="264"/>
      <c r="CZ7" s="264"/>
      <c r="DA7" s="264"/>
      <c r="DC7" s="264"/>
      <c r="DD7" s="264"/>
      <c r="DF7" s="264"/>
      <c r="DG7" s="264"/>
      <c r="DI7" s="264"/>
      <c r="DJ7" s="264"/>
      <c r="DL7" s="264"/>
      <c r="DM7" s="264"/>
      <c r="DO7" s="264"/>
      <c r="DP7" s="264"/>
      <c r="DR7" s="264"/>
      <c r="DS7" s="264"/>
      <c r="DU7" s="264"/>
      <c r="DV7" s="264"/>
      <c r="DX7" s="264"/>
      <c r="DY7" s="264"/>
      <c r="EA7" s="264"/>
      <c r="EB7" s="252"/>
      <c r="ED7" s="264"/>
      <c r="EE7" s="264"/>
      <c r="EG7" s="264"/>
      <c r="EH7" s="264"/>
      <c r="EJ7" s="264"/>
      <c r="EK7" s="264"/>
      <c r="EM7" s="264"/>
      <c r="EN7" s="264"/>
      <c r="EP7" s="264"/>
      <c r="EQ7" s="264"/>
      <c r="ES7" s="264"/>
      <c r="ET7" s="264"/>
      <c r="EV7" s="264"/>
      <c r="EW7" s="264"/>
      <c r="EY7" s="264"/>
      <c r="EZ7" s="264"/>
      <c r="FB7" s="264"/>
      <c r="FC7" s="264"/>
      <c r="FE7" s="264"/>
      <c r="FF7" s="264"/>
      <c r="FH7" s="264"/>
      <c r="FI7" s="264"/>
      <c r="FK7" s="264"/>
      <c r="FL7" s="264"/>
      <c r="FN7" s="264"/>
      <c r="FO7" s="264"/>
      <c r="FQ7" s="264"/>
      <c r="FR7" s="264"/>
      <c r="FT7" s="264"/>
      <c r="FU7" s="264"/>
      <c r="FW7" s="264"/>
      <c r="FX7" s="264"/>
      <c r="FZ7" s="264"/>
      <c r="GA7" s="264"/>
      <c r="GC7" s="264"/>
      <c r="GD7" s="264"/>
      <c r="GF7" s="264"/>
      <c r="GG7" s="264"/>
      <c r="GI7" s="264"/>
      <c r="GJ7" s="264"/>
      <c r="GL7" s="264"/>
      <c r="GM7" s="264"/>
      <c r="GO7" s="264"/>
      <c r="GP7" s="264"/>
      <c r="GR7" s="264"/>
      <c r="GS7" s="264"/>
      <c r="GU7" s="264"/>
      <c r="GV7" s="264"/>
      <c r="GX7" s="264"/>
      <c r="GY7" s="264"/>
      <c r="HA7" s="264"/>
      <c r="HB7" s="264"/>
      <c r="HD7" s="264"/>
      <c r="HE7" s="264"/>
      <c r="HG7" s="264"/>
      <c r="HH7" s="264"/>
      <c r="HJ7" s="264"/>
      <c r="HK7" s="264"/>
      <c r="HM7" s="264"/>
      <c r="HN7" s="264"/>
      <c r="HP7" s="264"/>
      <c r="HQ7" s="264"/>
      <c r="HS7" s="264"/>
      <c r="HT7" s="264"/>
      <c r="HV7" s="264"/>
      <c r="HW7" s="264"/>
      <c r="HY7" s="264"/>
      <c r="HZ7" s="264"/>
      <c r="IB7" s="264"/>
      <c r="IC7" s="264"/>
      <c r="IE7" s="264"/>
      <c r="IF7" s="264"/>
    </row>
    <row r="8" spans="1:240" ht="12" x14ac:dyDescent="0.25">
      <c r="A8" s="264"/>
      <c r="B8" s="330" t="s">
        <v>325</v>
      </c>
      <c r="C8" s="226" t="s">
        <v>325</v>
      </c>
      <c r="D8" s="260"/>
      <c r="E8" s="264"/>
      <c r="G8" s="265"/>
      <c r="J8" s="264"/>
      <c r="K8" s="264"/>
      <c r="M8" s="264"/>
      <c r="N8" s="264"/>
      <c r="P8" s="264"/>
      <c r="Q8" s="264"/>
      <c r="S8" s="264"/>
      <c r="T8" s="264"/>
      <c r="V8" s="264"/>
      <c r="W8" s="264"/>
      <c r="Y8" s="264"/>
      <c r="Z8" s="264"/>
      <c r="AB8" s="264"/>
      <c r="AC8" s="264"/>
      <c r="AE8" s="264"/>
      <c r="AF8" s="264"/>
      <c r="AG8" s="264"/>
      <c r="AI8" s="264"/>
      <c r="AJ8" s="264"/>
      <c r="AL8" s="264"/>
      <c r="AM8" s="264"/>
      <c r="AO8" s="264"/>
      <c r="AP8" s="264"/>
      <c r="AR8" s="264"/>
      <c r="AS8" s="264"/>
      <c r="AU8" s="264"/>
      <c r="AV8" s="264"/>
      <c r="AX8" s="264"/>
      <c r="AY8" s="264"/>
      <c r="BA8" s="264"/>
      <c r="BB8" s="264"/>
      <c r="BD8" s="264"/>
      <c r="BE8" s="264"/>
      <c r="BG8" s="264"/>
      <c r="BH8" s="264"/>
      <c r="BJ8" s="264"/>
      <c r="BK8" s="264"/>
      <c r="BM8" s="264"/>
      <c r="BN8" s="264"/>
      <c r="BP8" s="264"/>
      <c r="BQ8" s="264"/>
      <c r="BS8" s="264"/>
      <c r="BT8" s="264"/>
      <c r="BV8" s="264"/>
      <c r="BW8" s="264"/>
      <c r="BY8" s="264"/>
      <c r="BZ8" s="264"/>
      <c r="CB8" s="264"/>
      <c r="CC8" s="264"/>
      <c r="CE8" s="264"/>
      <c r="CF8" s="264"/>
      <c r="CH8" s="264"/>
      <c r="CI8" s="264"/>
      <c r="CK8" s="264"/>
      <c r="CL8" s="264"/>
      <c r="CN8" s="264"/>
      <c r="CO8" s="264"/>
      <c r="CQ8" s="264"/>
      <c r="CR8" s="264"/>
      <c r="CT8" s="264"/>
      <c r="CU8" s="264"/>
      <c r="CW8" s="264"/>
      <c r="CX8" s="264"/>
      <c r="CZ8" s="264"/>
      <c r="DA8" s="264"/>
      <c r="DC8" s="264"/>
      <c r="DD8" s="264"/>
      <c r="DF8" s="264"/>
      <c r="DG8" s="264"/>
      <c r="DI8" s="264"/>
      <c r="DJ8" s="264"/>
      <c r="DL8" s="264"/>
      <c r="DM8" s="264"/>
      <c r="DO8" s="264"/>
      <c r="DP8" s="264"/>
      <c r="DR8" s="264"/>
      <c r="DS8" s="264"/>
      <c r="DU8" s="264"/>
      <c r="DV8" s="264"/>
      <c r="DX8" s="264"/>
      <c r="DY8" s="264"/>
      <c r="EA8" s="264"/>
      <c r="EB8" s="252"/>
      <c r="ED8" s="264"/>
      <c r="EE8" s="264"/>
      <c r="EG8" s="264"/>
      <c r="EH8" s="264"/>
      <c r="EJ8" s="264"/>
      <c r="EK8" s="264"/>
      <c r="EM8" s="264"/>
      <c r="EN8" s="264"/>
      <c r="EP8" s="264"/>
      <c r="EQ8" s="264"/>
      <c r="ES8" s="264"/>
      <c r="ET8" s="264"/>
      <c r="EV8" s="264"/>
      <c r="EW8" s="264"/>
      <c r="EY8" s="264"/>
      <c r="EZ8" s="264"/>
      <c r="FB8" s="264"/>
      <c r="FC8" s="264"/>
      <c r="FE8" s="264"/>
      <c r="FF8" s="264"/>
      <c r="FH8" s="264"/>
      <c r="FI8" s="264"/>
      <c r="FK8" s="264"/>
      <c r="FL8" s="264"/>
      <c r="FN8" s="264"/>
      <c r="FO8" s="264"/>
      <c r="FQ8" s="264"/>
      <c r="FR8" s="264"/>
      <c r="FT8" s="264"/>
      <c r="FU8" s="264"/>
      <c r="FW8" s="264"/>
      <c r="FX8" s="264"/>
      <c r="FZ8" s="264"/>
      <c r="GA8" s="264"/>
      <c r="GC8" s="264"/>
      <c r="GD8" s="264"/>
      <c r="GF8" s="264"/>
      <c r="GG8" s="264"/>
      <c r="GI8" s="264"/>
      <c r="GJ8" s="264"/>
      <c r="GL8" s="264"/>
      <c r="GM8" s="264"/>
      <c r="GO8" s="264"/>
      <c r="GP8" s="264"/>
      <c r="GR8" s="264"/>
      <c r="GS8" s="264"/>
      <c r="GU8" s="264"/>
      <c r="GV8" s="264"/>
      <c r="GX8" s="264"/>
      <c r="GY8" s="264"/>
      <c r="HA8" s="264"/>
      <c r="HB8" s="264"/>
      <c r="HD8" s="264"/>
      <c r="HE8" s="264"/>
      <c r="HG8" s="264"/>
      <c r="HH8" s="264"/>
      <c r="HJ8" s="264"/>
      <c r="HK8" s="264"/>
      <c r="HM8" s="264"/>
      <c r="HN8" s="264"/>
      <c r="HP8" s="264"/>
      <c r="HQ8" s="264"/>
      <c r="HS8" s="264"/>
      <c r="HT8" s="264"/>
      <c r="HV8" s="264"/>
      <c r="HW8" s="264"/>
      <c r="HY8" s="264"/>
      <c r="HZ8" s="264"/>
      <c r="IB8" s="264"/>
      <c r="IC8" s="264"/>
      <c r="IE8" s="264"/>
      <c r="IF8" s="264"/>
    </row>
    <row r="9" spans="1:240" ht="12" x14ac:dyDescent="0.25">
      <c r="A9" s="264"/>
      <c r="B9" s="330" t="s">
        <v>619</v>
      </c>
      <c r="C9" s="336" t="s">
        <v>775</v>
      </c>
      <c r="D9" s="334" t="s">
        <v>523</v>
      </c>
      <c r="E9" s="264"/>
      <c r="G9" s="265"/>
      <c r="J9" s="264"/>
      <c r="K9" s="264"/>
      <c r="M9" s="264"/>
      <c r="N9" s="264"/>
      <c r="P9" s="264"/>
      <c r="Q9" s="264"/>
      <c r="S9" s="264"/>
      <c r="T9" s="264"/>
      <c r="V9" s="264"/>
      <c r="W9" s="264"/>
      <c r="Y9" s="264"/>
      <c r="Z9" s="264"/>
      <c r="AB9" s="264"/>
      <c r="AC9" s="264"/>
      <c r="AE9" s="264"/>
      <c r="AF9" s="264"/>
      <c r="AG9" s="264"/>
      <c r="AI9" s="264"/>
      <c r="AJ9" s="264"/>
      <c r="AL9" s="264"/>
      <c r="AM9" s="264"/>
      <c r="AO9" s="264"/>
      <c r="AP9" s="264"/>
      <c r="AR9" s="264"/>
      <c r="AS9" s="264"/>
      <c r="AU9" s="264"/>
      <c r="AV9" s="264"/>
      <c r="AX9" s="264"/>
      <c r="AY9" s="264"/>
      <c r="BA9" s="264"/>
      <c r="BB9" s="264"/>
      <c r="BD9" s="264"/>
      <c r="BE9" s="264"/>
      <c r="BG9" s="264"/>
      <c r="BH9" s="264"/>
      <c r="BJ9" s="264"/>
      <c r="BK9" s="264"/>
      <c r="BM9" s="264"/>
      <c r="BN9" s="264"/>
      <c r="BP9" s="264"/>
      <c r="BQ9" s="264"/>
      <c r="BS9" s="264"/>
      <c r="BT9" s="264"/>
      <c r="BV9" s="264"/>
      <c r="BW9" s="264"/>
      <c r="BY9" s="264"/>
      <c r="BZ9" s="264"/>
      <c r="CB9" s="264"/>
      <c r="CC9" s="264"/>
      <c r="CE9" s="264"/>
      <c r="CF9" s="264"/>
      <c r="CH9" s="264"/>
      <c r="CI9" s="264"/>
      <c r="CK9" s="264"/>
      <c r="CL9" s="264"/>
      <c r="CN9" s="264"/>
      <c r="CO9" s="264"/>
      <c r="CQ9" s="264"/>
      <c r="CR9" s="264"/>
      <c r="CT9" s="264"/>
      <c r="CU9" s="264"/>
      <c r="CW9" s="264"/>
      <c r="CX9" s="264"/>
      <c r="CZ9" s="264"/>
      <c r="DA9" s="264"/>
      <c r="DC9" s="264"/>
      <c r="DD9" s="264"/>
      <c r="DF9" s="264"/>
      <c r="DG9" s="264"/>
      <c r="DI9" s="264"/>
      <c r="DJ9" s="264"/>
      <c r="DL9" s="264"/>
      <c r="DM9" s="264"/>
      <c r="DO9" s="264"/>
      <c r="DP9" s="264"/>
      <c r="DR9" s="264"/>
      <c r="DS9" s="264"/>
      <c r="DU9" s="264"/>
      <c r="DV9" s="264"/>
      <c r="DX9" s="264"/>
      <c r="DY9" s="264"/>
      <c r="EA9" s="264"/>
      <c r="EB9" s="252"/>
      <c r="ED9" s="264"/>
      <c r="EE9" s="264"/>
      <c r="EG9" s="264"/>
      <c r="EH9" s="264"/>
      <c r="EJ9" s="264"/>
      <c r="EK9" s="264"/>
      <c r="EM9" s="264"/>
      <c r="EN9" s="264"/>
      <c r="EP9" s="264"/>
      <c r="EQ9" s="264"/>
      <c r="ES9" s="264"/>
      <c r="ET9" s="264"/>
      <c r="EV9" s="264"/>
      <c r="EW9" s="264"/>
      <c r="EY9" s="264"/>
      <c r="EZ9" s="264"/>
      <c r="FB9" s="264"/>
      <c r="FC9" s="264"/>
      <c r="FE9" s="264"/>
      <c r="FF9" s="264"/>
      <c r="FH9" s="264"/>
      <c r="FI9" s="264"/>
      <c r="FK9" s="264"/>
      <c r="FL9" s="264"/>
      <c r="FN9" s="264"/>
      <c r="FO9" s="264"/>
      <c r="FQ9" s="264"/>
      <c r="FR9" s="264"/>
      <c r="FT9" s="264"/>
      <c r="FU9" s="264"/>
      <c r="FW9" s="264"/>
      <c r="FX9" s="264"/>
      <c r="FZ9" s="264"/>
      <c r="GA9" s="264"/>
      <c r="GC9" s="264"/>
      <c r="GD9" s="264"/>
      <c r="GF9" s="264"/>
      <c r="GG9" s="264"/>
      <c r="GI9" s="264"/>
      <c r="GJ9" s="264"/>
      <c r="GL9" s="264"/>
      <c r="GM9" s="264"/>
      <c r="GO9" s="264"/>
      <c r="GP9" s="264"/>
      <c r="GR9" s="264"/>
      <c r="GS9" s="264"/>
      <c r="GU9" s="264"/>
      <c r="GV9" s="264"/>
      <c r="GX9" s="264"/>
      <c r="GY9" s="264"/>
      <c r="HA9" s="264"/>
      <c r="HB9" s="264"/>
      <c r="HD9" s="264"/>
      <c r="HE9" s="264"/>
      <c r="HG9" s="264"/>
      <c r="HH9" s="264"/>
      <c r="HJ9" s="264"/>
      <c r="HK9" s="264"/>
      <c r="HM9" s="264"/>
      <c r="HN9" s="264"/>
      <c r="HP9" s="264"/>
      <c r="HQ9" s="264"/>
      <c r="HS9" s="264"/>
      <c r="HT9" s="264"/>
      <c r="HV9" s="264"/>
      <c r="HW9" s="264"/>
      <c r="HY9" s="264"/>
      <c r="HZ9" s="264"/>
      <c r="IB9" s="264"/>
      <c r="IC9" s="264"/>
      <c r="IE9" s="264"/>
      <c r="IF9" s="264"/>
    </row>
    <row r="10" spans="1:240" ht="12" x14ac:dyDescent="0.25">
      <c r="A10" s="264"/>
      <c r="B10" s="330" t="s">
        <v>326</v>
      </c>
      <c r="C10" s="226" t="s">
        <v>619</v>
      </c>
      <c r="D10" s="260"/>
      <c r="E10" s="264"/>
      <c r="G10" s="265"/>
      <c r="J10" s="264"/>
      <c r="K10" s="264"/>
      <c r="M10" s="264"/>
      <c r="N10" s="264"/>
      <c r="P10" s="264"/>
      <c r="Q10" s="264"/>
      <c r="S10" s="264"/>
      <c r="T10" s="264"/>
      <c r="V10" s="264"/>
      <c r="W10" s="264"/>
      <c r="Y10" s="264"/>
      <c r="Z10" s="264"/>
      <c r="AB10" s="264"/>
      <c r="AC10" s="264"/>
      <c r="AE10" s="264"/>
      <c r="AF10" s="264"/>
      <c r="AG10" s="264"/>
      <c r="AI10" s="264"/>
      <c r="AJ10" s="264"/>
      <c r="AL10" s="264"/>
      <c r="AM10" s="264"/>
      <c r="AO10" s="264"/>
      <c r="AP10" s="264"/>
      <c r="AR10" s="264"/>
      <c r="AS10" s="264"/>
      <c r="AU10" s="264"/>
      <c r="AV10" s="264"/>
      <c r="AX10" s="264"/>
      <c r="AY10" s="264"/>
      <c r="BA10" s="264"/>
      <c r="BB10" s="264"/>
      <c r="BD10" s="264"/>
      <c r="BE10" s="264"/>
      <c r="BG10" s="264"/>
      <c r="BH10" s="264"/>
      <c r="BJ10" s="264"/>
      <c r="BK10" s="264"/>
      <c r="BM10" s="264"/>
      <c r="BN10" s="264"/>
      <c r="BP10" s="264"/>
      <c r="BQ10" s="264"/>
      <c r="BS10" s="264"/>
      <c r="BT10" s="264"/>
      <c r="BV10" s="264"/>
      <c r="BW10" s="264"/>
      <c r="BY10" s="264"/>
      <c r="BZ10" s="264"/>
      <c r="CB10" s="264"/>
      <c r="CC10" s="264"/>
      <c r="CE10" s="264"/>
      <c r="CF10" s="264"/>
      <c r="CH10" s="264"/>
      <c r="CI10" s="264"/>
      <c r="CK10" s="264"/>
      <c r="CL10" s="264"/>
      <c r="CN10" s="264"/>
      <c r="CO10" s="264"/>
      <c r="CQ10" s="264"/>
      <c r="CR10" s="264"/>
      <c r="CT10" s="264"/>
      <c r="CU10" s="264"/>
      <c r="CW10" s="264"/>
      <c r="CX10" s="264"/>
      <c r="CZ10" s="264"/>
      <c r="DA10" s="264"/>
      <c r="DC10" s="264"/>
      <c r="DD10" s="264"/>
      <c r="DF10" s="264"/>
      <c r="DG10" s="264"/>
      <c r="DI10" s="264"/>
      <c r="DJ10" s="264"/>
      <c r="DL10" s="264"/>
      <c r="DM10" s="264"/>
      <c r="DO10" s="264"/>
      <c r="DP10" s="264"/>
      <c r="DR10" s="264"/>
      <c r="DS10" s="264"/>
      <c r="DU10" s="264"/>
      <c r="DV10" s="264"/>
      <c r="DX10" s="264"/>
      <c r="DY10" s="264"/>
      <c r="EA10" s="264"/>
      <c r="EB10" s="252"/>
      <c r="ED10" s="264"/>
      <c r="EE10" s="264"/>
      <c r="EG10" s="264"/>
      <c r="EH10" s="264"/>
      <c r="EJ10" s="264"/>
      <c r="EK10" s="264"/>
      <c r="EM10" s="264"/>
      <c r="EN10" s="264"/>
      <c r="EP10" s="264"/>
      <c r="EQ10" s="264"/>
      <c r="ES10" s="264"/>
      <c r="ET10" s="264"/>
      <c r="EV10" s="264"/>
      <c r="EW10" s="264"/>
      <c r="EY10" s="264"/>
      <c r="EZ10" s="264"/>
      <c r="FB10" s="264"/>
      <c r="FC10" s="264"/>
      <c r="FE10" s="264"/>
      <c r="FF10" s="264"/>
      <c r="FH10" s="264"/>
      <c r="FI10" s="264"/>
      <c r="FK10" s="264"/>
      <c r="FL10" s="264"/>
      <c r="FN10" s="264"/>
      <c r="FO10" s="264"/>
      <c r="FQ10" s="264"/>
      <c r="FR10" s="264"/>
      <c r="FT10" s="264"/>
      <c r="FU10" s="264"/>
      <c r="FW10" s="264"/>
      <c r="FX10" s="264"/>
      <c r="FZ10" s="264"/>
      <c r="GA10" s="264"/>
      <c r="GC10" s="264"/>
      <c r="GD10" s="264"/>
      <c r="GF10" s="264"/>
      <c r="GG10" s="264"/>
      <c r="GI10" s="264"/>
      <c r="GJ10" s="264"/>
      <c r="GL10" s="264"/>
      <c r="GM10" s="264"/>
      <c r="GO10" s="264"/>
      <c r="GP10" s="264"/>
      <c r="GR10" s="264"/>
      <c r="GS10" s="264"/>
      <c r="GU10" s="264"/>
      <c r="GV10" s="264"/>
      <c r="GX10" s="264"/>
      <c r="GY10" s="264"/>
      <c r="HA10" s="264"/>
      <c r="HB10" s="264"/>
      <c r="HD10" s="264"/>
      <c r="HE10" s="264"/>
      <c r="HG10" s="264"/>
      <c r="HH10" s="264"/>
      <c r="HJ10" s="264"/>
      <c r="HK10" s="264"/>
      <c r="HM10" s="264"/>
      <c r="HN10" s="264"/>
      <c r="HP10" s="264"/>
      <c r="HQ10" s="264"/>
      <c r="HS10" s="264"/>
      <c r="HT10" s="264"/>
      <c r="HV10" s="264"/>
      <c r="HW10" s="264"/>
      <c r="HY10" s="264"/>
      <c r="HZ10" s="264"/>
      <c r="IB10" s="264"/>
      <c r="IC10" s="264"/>
      <c r="IE10" s="264"/>
      <c r="IF10" s="264"/>
    </row>
    <row r="11" spans="1:240" ht="12" x14ac:dyDescent="0.25">
      <c r="A11" s="264"/>
      <c r="B11" s="330" t="s">
        <v>495</v>
      </c>
      <c r="C11" s="226" t="s">
        <v>326</v>
      </c>
      <c r="D11" s="260"/>
      <c r="E11" s="264"/>
      <c r="G11" s="265"/>
      <c r="J11" s="264"/>
      <c r="K11" s="264"/>
      <c r="M11" s="264"/>
      <c r="N11" s="264"/>
      <c r="P11" s="264"/>
      <c r="Q11" s="264"/>
      <c r="S11" s="264"/>
      <c r="T11" s="264"/>
      <c r="V11" s="264"/>
      <c r="W11" s="264"/>
      <c r="Y11" s="264"/>
      <c r="Z11" s="264"/>
      <c r="AB11" s="264"/>
      <c r="AC11" s="264"/>
      <c r="AE11" s="264"/>
      <c r="AF11" s="264"/>
      <c r="AG11" s="264"/>
      <c r="AI11" s="264"/>
      <c r="AJ11" s="264"/>
      <c r="AL11" s="264"/>
      <c r="AM11" s="264"/>
      <c r="AO11" s="264"/>
      <c r="AP11" s="264"/>
      <c r="AR11" s="264"/>
      <c r="AS11" s="264"/>
      <c r="AU11" s="264"/>
      <c r="AV11" s="264"/>
      <c r="AX11" s="264"/>
      <c r="AY11" s="264"/>
      <c r="BA11" s="264"/>
      <c r="BB11" s="264"/>
      <c r="BD11" s="264"/>
      <c r="BE11" s="264"/>
      <c r="BG11" s="264"/>
      <c r="BH11" s="264"/>
      <c r="BJ11" s="264"/>
      <c r="BK11" s="264"/>
      <c r="BM11" s="264"/>
      <c r="BN11" s="264"/>
      <c r="BP11" s="264"/>
      <c r="BQ11" s="264"/>
      <c r="BS11" s="264"/>
      <c r="BT11" s="264"/>
      <c r="BV11" s="264"/>
      <c r="BW11" s="264"/>
      <c r="BY11" s="264"/>
      <c r="BZ11" s="264"/>
      <c r="CB11" s="264"/>
      <c r="CC11" s="264"/>
      <c r="CE11" s="264"/>
      <c r="CF11" s="264"/>
      <c r="CH11" s="264"/>
      <c r="CI11" s="264"/>
      <c r="CK11" s="264"/>
      <c r="CL11" s="264"/>
      <c r="CN11" s="264"/>
      <c r="CO11" s="264"/>
      <c r="CQ11" s="264"/>
      <c r="CR11" s="264"/>
      <c r="CT11" s="264"/>
      <c r="CU11" s="264"/>
      <c r="CW11" s="264"/>
      <c r="CX11" s="264"/>
      <c r="CZ11" s="264"/>
      <c r="DA11" s="264"/>
      <c r="DC11" s="264"/>
      <c r="DD11" s="264"/>
      <c r="DF11" s="264"/>
      <c r="DG11" s="264"/>
      <c r="DI11" s="264"/>
      <c r="DJ11" s="264"/>
      <c r="DL11" s="264"/>
      <c r="DM11" s="264"/>
      <c r="DO11" s="264"/>
      <c r="DP11" s="264"/>
      <c r="DR11" s="264"/>
      <c r="DS11" s="264"/>
      <c r="DU11" s="264"/>
      <c r="DV11" s="264"/>
      <c r="DX11" s="264"/>
      <c r="DY11" s="264"/>
      <c r="EA11" s="264"/>
      <c r="EB11" s="252"/>
      <c r="ED11" s="264"/>
      <c r="EE11" s="264"/>
      <c r="EG11" s="264"/>
      <c r="EH11" s="264"/>
      <c r="EJ11" s="264"/>
      <c r="EK11" s="264"/>
      <c r="EM11" s="264"/>
      <c r="EN11" s="264"/>
      <c r="EP11" s="264"/>
      <c r="EQ11" s="264"/>
      <c r="ES11" s="264"/>
      <c r="ET11" s="264"/>
      <c r="EV11" s="264"/>
      <c r="EW11" s="264"/>
      <c r="EY11" s="264"/>
      <c r="EZ11" s="264"/>
      <c r="FB11" s="264"/>
      <c r="FC11" s="264"/>
      <c r="FE11" s="264"/>
      <c r="FF11" s="264"/>
      <c r="FH11" s="264"/>
      <c r="FI11" s="264"/>
      <c r="FK11" s="264"/>
      <c r="FL11" s="264"/>
      <c r="FN11" s="264"/>
      <c r="FO11" s="264"/>
      <c r="FQ11" s="264"/>
      <c r="FR11" s="264"/>
      <c r="FT11" s="264"/>
      <c r="FU11" s="264"/>
      <c r="FW11" s="264"/>
      <c r="FX11" s="264"/>
      <c r="FZ11" s="264"/>
      <c r="GA11" s="264"/>
      <c r="GC11" s="264"/>
      <c r="GD11" s="264"/>
      <c r="GF11" s="264"/>
      <c r="GG11" s="264"/>
      <c r="GI11" s="264"/>
      <c r="GJ11" s="264"/>
      <c r="GL11" s="264"/>
      <c r="GM11" s="264"/>
      <c r="GO11" s="264"/>
      <c r="GP11" s="264"/>
      <c r="GR11" s="264"/>
      <c r="GS11" s="264"/>
      <c r="GU11" s="264"/>
      <c r="GV11" s="264"/>
      <c r="GX11" s="264"/>
      <c r="GY11" s="264"/>
      <c r="HA11" s="264"/>
      <c r="HB11" s="264"/>
      <c r="HD11" s="264"/>
      <c r="HE11" s="264"/>
      <c r="HG11" s="264"/>
      <c r="HH11" s="264"/>
      <c r="HJ11" s="264"/>
      <c r="HK11" s="264"/>
      <c r="HM11" s="264"/>
      <c r="HN11" s="264"/>
      <c r="HP11" s="264"/>
      <c r="HQ11" s="264"/>
      <c r="HS11" s="264"/>
      <c r="HT11" s="264"/>
      <c r="HV11" s="264"/>
      <c r="HW11" s="264"/>
      <c r="HY11" s="264"/>
      <c r="HZ11" s="264"/>
      <c r="IB11" s="264"/>
      <c r="IC11" s="264"/>
      <c r="IE11" s="264"/>
      <c r="IF11" s="264"/>
    </row>
    <row r="12" spans="1:240" ht="12" x14ac:dyDescent="0.25">
      <c r="A12" s="264"/>
      <c r="B12" s="330" t="s">
        <v>496</v>
      </c>
      <c r="C12" s="335" t="s">
        <v>622</v>
      </c>
      <c r="D12" s="334" t="s">
        <v>519</v>
      </c>
      <c r="E12" s="264"/>
      <c r="G12" s="265"/>
      <c r="J12" s="264"/>
      <c r="K12" s="264"/>
      <c r="M12" s="264"/>
      <c r="N12" s="264"/>
      <c r="P12" s="264"/>
      <c r="Q12" s="264"/>
      <c r="S12" s="264"/>
      <c r="T12" s="264"/>
      <c r="V12" s="264"/>
      <c r="W12" s="264"/>
      <c r="Y12" s="264"/>
      <c r="Z12" s="264"/>
      <c r="AB12" s="264"/>
      <c r="AC12" s="264"/>
      <c r="AE12" s="264"/>
      <c r="AF12" s="264"/>
      <c r="AG12" s="264"/>
      <c r="AI12" s="264"/>
      <c r="AJ12" s="264"/>
      <c r="AL12" s="264"/>
      <c r="AM12" s="264"/>
      <c r="AO12" s="264"/>
      <c r="AP12" s="264"/>
      <c r="AR12" s="264"/>
      <c r="AS12" s="264"/>
      <c r="AU12" s="264"/>
      <c r="AV12" s="264"/>
      <c r="AX12" s="264"/>
      <c r="AY12" s="264"/>
      <c r="BA12" s="264"/>
      <c r="BB12" s="264"/>
      <c r="BD12" s="264"/>
      <c r="BE12" s="264"/>
      <c r="BG12" s="264"/>
      <c r="BH12" s="264"/>
      <c r="BJ12" s="264"/>
      <c r="BK12" s="264"/>
      <c r="BM12" s="264"/>
      <c r="BN12" s="264"/>
      <c r="BP12" s="264"/>
      <c r="BQ12" s="264"/>
      <c r="BS12" s="264"/>
      <c r="BT12" s="264"/>
      <c r="BV12" s="264"/>
      <c r="BW12" s="264"/>
      <c r="BY12" s="264"/>
      <c r="BZ12" s="264"/>
      <c r="CB12" s="264"/>
      <c r="CC12" s="264"/>
      <c r="CE12" s="264"/>
      <c r="CF12" s="264"/>
      <c r="CH12" s="264"/>
      <c r="CI12" s="264"/>
      <c r="CK12" s="264"/>
      <c r="CL12" s="264"/>
      <c r="CN12" s="264"/>
      <c r="CO12" s="264"/>
      <c r="CQ12" s="264"/>
      <c r="CR12" s="264"/>
      <c r="CT12" s="264"/>
      <c r="CU12" s="264"/>
      <c r="CW12" s="264"/>
      <c r="CX12" s="264"/>
      <c r="CZ12" s="264"/>
      <c r="DA12" s="264"/>
      <c r="DC12" s="264"/>
      <c r="DD12" s="264"/>
      <c r="DF12" s="264"/>
      <c r="DG12" s="264"/>
      <c r="DI12" s="264"/>
      <c r="DJ12" s="264"/>
      <c r="DL12" s="264"/>
      <c r="DM12" s="264"/>
      <c r="DO12" s="264"/>
      <c r="DP12" s="264"/>
      <c r="DR12" s="264"/>
      <c r="DS12" s="264"/>
      <c r="DU12" s="264"/>
      <c r="DV12" s="264"/>
      <c r="DX12" s="264"/>
      <c r="DY12" s="264"/>
      <c r="EA12" s="264"/>
      <c r="EB12" s="252"/>
      <c r="ED12" s="264"/>
      <c r="EE12" s="264"/>
      <c r="EG12" s="264"/>
      <c r="EH12" s="264"/>
      <c r="EJ12" s="264"/>
      <c r="EK12" s="264"/>
      <c r="EM12" s="264"/>
      <c r="EN12" s="264"/>
      <c r="EP12" s="264"/>
      <c r="EQ12" s="264"/>
      <c r="ES12" s="264"/>
      <c r="ET12" s="264"/>
      <c r="EV12" s="264"/>
      <c r="EW12" s="264"/>
      <c r="EY12" s="264"/>
      <c r="EZ12" s="264"/>
      <c r="FB12" s="264"/>
      <c r="FC12" s="264"/>
      <c r="FE12" s="264"/>
      <c r="FF12" s="264"/>
      <c r="FH12" s="264"/>
      <c r="FI12" s="264"/>
      <c r="FK12" s="264"/>
      <c r="FL12" s="264"/>
      <c r="FN12" s="264"/>
      <c r="FO12" s="264"/>
      <c r="FQ12" s="264"/>
      <c r="FR12" s="264"/>
      <c r="FT12" s="264"/>
      <c r="FU12" s="264"/>
      <c r="FW12" s="264"/>
      <c r="FX12" s="264"/>
      <c r="FZ12" s="264"/>
      <c r="GA12" s="264"/>
      <c r="GC12" s="264"/>
      <c r="GD12" s="264"/>
      <c r="GF12" s="264"/>
      <c r="GG12" s="264"/>
      <c r="GI12" s="264"/>
      <c r="GJ12" s="264"/>
      <c r="GL12" s="264"/>
      <c r="GM12" s="264"/>
      <c r="GO12" s="264"/>
      <c r="GP12" s="264"/>
      <c r="GR12" s="264"/>
      <c r="GS12" s="264"/>
      <c r="GU12" s="264"/>
      <c r="GV12" s="264"/>
      <c r="GX12" s="264"/>
      <c r="GY12" s="264"/>
      <c r="HA12" s="264"/>
      <c r="HB12" s="264"/>
      <c r="HD12" s="264"/>
      <c r="HE12" s="264"/>
      <c r="HG12" s="264"/>
      <c r="HH12" s="264"/>
      <c r="HJ12" s="264"/>
      <c r="HK12" s="264"/>
      <c r="HM12" s="264"/>
      <c r="HN12" s="264"/>
      <c r="HP12" s="264"/>
      <c r="HQ12" s="264"/>
      <c r="HS12" s="264"/>
      <c r="HT12" s="264"/>
      <c r="HV12" s="264"/>
      <c r="HW12" s="264"/>
      <c r="HY12" s="264"/>
      <c r="HZ12" s="264"/>
      <c r="IB12" s="264"/>
      <c r="IC12" s="264"/>
      <c r="IE12" s="264"/>
      <c r="IF12" s="264"/>
    </row>
    <row r="13" spans="1:240" ht="12" x14ac:dyDescent="0.25">
      <c r="A13" s="264"/>
      <c r="B13" s="330" t="s">
        <v>328</v>
      </c>
      <c r="C13" s="226" t="s">
        <v>495</v>
      </c>
      <c r="D13" s="260"/>
      <c r="E13" s="264"/>
      <c r="G13" s="265"/>
      <c r="J13" s="264"/>
      <c r="K13" s="264"/>
      <c r="M13" s="264"/>
      <c r="N13" s="264"/>
      <c r="P13" s="264"/>
      <c r="Q13" s="264"/>
      <c r="S13" s="264"/>
      <c r="T13" s="264"/>
      <c r="V13" s="264"/>
      <c r="W13" s="264"/>
      <c r="Y13" s="264"/>
      <c r="Z13" s="264"/>
      <c r="AB13" s="264"/>
      <c r="AC13" s="264"/>
      <c r="AE13" s="264"/>
      <c r="AF13" s="264"/>
      <c r="AG13" s="264"/>
      <c r="AI13" s="264"/>
      <c r="AJ13" s="264"/>
      <c r="AL13" s="264"/>
      <c r="AM13" s="264"/>
      <c r="AO13" s="264"/>
      <c r="AP13" s="264"/>
      <c r="AR13" s="264"/>
      <c r="AS13" s="264"/>
      <c r="AU13" s="264"/>
      <c r="AV13" s="264"/>
      <c r="AX13" s="264"/>
      <c r="AY13" s="264"/>
      <c r="BA13" s="264"/>
      <c r="BB13" s="264"/>
      <c r="BD13" s="264"/>
      <c r="BE13" s="264"/>
      <c r="BG13" s="264"/>
      <c r="BH13" s="264"/>
      <c r="BJ13" s="264"/>
      <c r="BK13" s="264"/>
      <c r="BM13" s="264"/>
      <c r="BN13" s="264"/>
      <c r="BP13" s="264"/>
      <c r="BQ13" s="264"/>
      <c r="BS13" s="264"/>
      <c r="BT13" s="264"/>
      <c r="BV13" s="264"/>
      <c r="BW13" s="264"/>
      <c r="BY13" s="264"/>
      <c r="BZ13" s="264"/>
      <c r="CB13" s="264"/>
      <c r="CC13" s="264"/>
      <c r="CE13" s="264"/>
      <c r="CF13" s="264"/>
      <c r="CH13" s="264"/>
      <c r="CI13" s="264"/>
      <c r="CK13" s="264"/>
      <c r="CL13" s="264"/>
      <c r="CN13" s="264"/>
      <c r="CO13" s="264"/>
      <c r="CQ13" s="264"/>
      <c r="CR13" s="264"/>
      <c r="CT13" s="264"/>
      <c r="CU13" s="264"/>
      <c r="CW13" s="264"/>
      <c r="CX13" s="264"/>
      <c r="CZ13" s="264"/>
      <c r="DA13" s="264"/>
      <c r="DC13" s="264"/>
      <c r="DD13" s="264"/>
      <c r="DF13" s="264"/>
      <c r="DG13" s="264"/>
      <c r="DI13" s="264"/>
      <c r="DJ13" s="264"/>
      <c r="DL13" s="264"/>
      <c r="DM13" s="264"/>
      <c r="DO13" s="264"/>
      <c r="DP13" s="264"/>
      <c r="DR13" s="264"/>
      <c r="DS13" s="264"/>
      <c r="DU13" s="264"/>
      <c r="DV13" s="264"/>
      <c r="DX13" s="264"/>
      <c r="DY13" s="264"/>
      <c r="EA13" s="264"/>
      <c r="EB13" s="252"/>
      <c r="ED13" s="264"/>
      <c r="EE13" s="264"/>
      <c r="EG13" s="264"/>
      <c r="EH13" s="264"/>
      <c r="EJ13" s="264"/>
      <c r="EK13" s="264"/>
      <c r="EM13" s="264"/>
      <c r="EN13" s="264"/>
      <c r="EP13" s="264"/>
      <c r="EQ13" s="264"/>
      <c r="ES13" s="264"/>
      <c r="ET13" s="264"/>
      <c r="EV13" s="264"/>
      <c r="EW13" s="264"/>
      <c r="EY13" s="264"/>
      <c r="EZ13" s="264"/>
      <c r="FB13" s="264"/>
      <c r="FC13" s="264"/>
      <c r="FE13" s="264"/>
      <c r="FF13" s="264"/>
      <c r="FH13" s="264"/>
      <c r="FI13" s="264"/>
      <c r="FK13" s="264"/>
      <c r="FL13" s="264"/>
      <c r="FN13" s="264"/>
      <c r="FO13" s="264"/>
      <c r="FQ13" s="264"/>
      <c r="FR13" s="264"/>
      <c r="FT13" s="264"/>
      <c r="FU13" s="264"/>
      <c r="FW13" s="264"/>
      <c r="FX13" s="264"/>
      <c r="FZ13" s="264"/>
      <c r="GA13" s="264"/>
      <c r="GC13" s="264"/>
      <c r="GD13" s="264"/>
      <c r="GF13" s="264"/>
      <c r="GG13" s="264"/>
      <c r="GI13" s="264"/>
      <c r="GJ13" s="264"/>
      <c r="GL13" s="264"/>
      <c r="GM13" s="264"/>
      <c r="GO13" s="264"/>
      <c r="GP13" s="264"/>
      <c r="GR13" s="264"/>
      <c r="GS13" s="264"/>
      <c r="GU13" s="264"/>
      <c r="GV13" s="264"/>
      <c r="GX13" s="264"/>
      <c r="GY13" s="264"/>
      <c r="HA13" s="264"/>
      <c r="HB13" s="264"/>
      <c r="HD13" s="264"/>
      <c r="HE13" s="264"/>
      <c r="HG13" s="264"/>
      <c r="HH13" s="264"/>
      <c r="HJ13" s="264"/>
      <c r="HK13" s="264"/>
      <c r="HM13" s="264"/>
      <c r="HN13" s="264"/>
      <c r="HP13" s="264"/>
      <c r="HQ13" s="264"/>
      <c r="HS13" s="264"/>
      <c r="HT13" s="264"/>
      <c r="HV13" s="264"/>
      <c r="HW13" s="264"/>
      <c r="HY13" s="264"/>
      <c r="HZ13" s="264"/>
      <c r="IB13" s="264"/>
      <c r="IC13" s="264"/>
      <c r="IE13" s="264"/>
      <c r="IF13" s="264"/>
    </row>
    <row r="14" spans="1:240" ht="12" x14ac:dyDescent="0.25">
      <c r="A14" s="264"/>
      <c r="B14" s="330" t="s">
        <v>427</v>
      </c>
      <c r="C14" s="226" t="s">
        <v>496</v>
      </c>
      <c r="D14" s="260"/>
      <c r="E14" s="264"/>
      <c r="G14" s="265"/>
      <c r="J14" s="264"/>
      <c r="K14" s="264"/>
      <c r="M14" s="264"/>
      <c r="N14" s="264"/>
      <c r="P14" s="264"/>
      <c r="Q14" s="264"/>
      <c r="S14" s="264"/>
      <c r="T14" s="264"/>
      <c r="V14" s="264"/>
      <c r="W14" s="264"/>
      <c r="Y14" s="264"/>
      <c r="Z14" s="264"/>
      <c r="AB14" s="264"/>
      <c r="AC14" s="264"/>
      <c r="AE14" s="264"/>
      <c r="AF14" s="264"/>
      <c r="AG14" s="264"/>
      <c r="AI14" s="264"/>
      <c r="AJ14" s="264"/>
      <c r="AL14" s="264"/>
      <c r="AM14" s="264"/>
      <c r="AO14" s="264"/>
      <c r="AP14" s="264"/>
      <c r="AR14" s="264"/>
      <c r="AS14" s="264"/>
      <c r="AU14" s="264"/>
      <c r="AV14" s="264"/>
      <c r="AX14" s="264"/>
      <c r="AY14" s="264"/>
      <c r="BA14" s="264"/>
      <c r="BB14" s="264"/>
      <c r="BD14" s="264"/>
      <c r="BE14" s="264"/>
      <c r="BG14" s="264"/>
      <c r="BH14" s="264"/>
      <c r="BJ14" s="264"/>
      <c r="BK14" s="264"/>
      <c r="BM14" s="264"/>
      <c r="BN14" s="264"/>
      <c r="BP14" s="264"/>
      <c r="BQ14" s="264"/>
      <c r="BS14" s="264"/>
      <c r="BT14" s="264"/>
      <c r="BV14" s="264"/>
      <c r="BW14" s="264"/>
      <c r="BY14" s="264"/>
      <c r="BZ14" s="264"/>
      <c r="CB14" s="264"/>
      <c r="CC14" s="264"/>
      <c r="CE14" s="264"/>
      <c r="CF14" s="264"/>
      <c r="CH14" s="264"/>
      <c r="CI14" s="264"/>
      <c r="CK14" s="264"/>
      <c r="CL14" s="264"/>
      <c r="CN14" s="264"/>
      <c r="CO14" s="264"/>
      <c r="CQ14" s="264"/>
      <c r="CR14" s="264"/>
      <c r="CT14" s="264"/>
      <c r="CU14" s="264"/>
      <c r="CW14" s="264"/>
      <c r="CX14" s="264"/>
      <c r="CZ14" s="264"/>
      <c r="DA14" s="264"/>
      <c r="DC14" s="264"/>
      <c r="DD14" s="264"/>
      <c r="DF14" s="264"/>
      <c r="DG14" s="264"/>
      <c r="DI14" s="264"/>
      <c r="DJ14" s="264"/>
      <c r="DL14" s="264"/>
      <c r="DM14" s="264"/>
      <c r="DO14" s="264"/>
      <c r="DP14" s="264"/>
      <c r="DR14" s="264"/>
      <c r="DS14" s="264"/>
      <c r="DU14" s="264"/>
      <c r="DV14" s="264"/>
      <c r="DX14" s="264"/>
      <c r="DY14" s="264"/>
      <c r="EA14" s="264"/>
      <c r="EB14" s="252"/>
      <c r="ED14" s="264"/>
      <c r="EE14" s="264"/>
      <c r="EG14" s="264"/>
      <c r="EH14" s="264"/>
      <c r="EJ14" s="264"/>
      <c r="EK14" s="264"/>
      <c r="EM14" s="264"/>
      <c r="EN14" s="264"/>
      <c r="EP14" s="264"/>
      <c r="EQ14" s="264"/>
      <c r="ES14" s="264"/>
      <c r="ET14" s="264"/>
      <c r="EV14" s="264"/>
      <c r="EW14" s="264"/>
      <c r="EY14" s="264"/>
      <c r="EZ14" s="264"/>
      <c r="FB14" s="264"/>
      <c r="FC14" s="264"/>
      <c r="FE14" s="264"/>
      <c r="FF14" s="264"/>
      <c r="FH14" s="264"/>
      <c r="FI14" s="264"/>
      <c r="FK14" s="264"/>
      <c r="FL14" s="264"/>
      <c r="FN14" s="264"/>
      <c r="FO14" s="264"/>
      <c r="FQ14" s="264"/>
      <c r="FR14" s="264"/>
      <c r="FT14" s="264"/>
      <c r="FU14" s="264"/>
      <c r="FW14" s="264"/>
      <c r="FX14" s="264"/>
      <c r="FZ14" s="264"/>
      <c r="GA14" s="264"/>
      <c r="GC14" s="264"/>
      <c r="GD14" s="264"/>
      <c r="GF14" s="264"/>
      <c r="GG14" s="264"/>
      <c r="GI14" s="264"/>
      <c r="GJ14" s="264"/>
      <c r="GL14" s="264"/>
      <c r="GM14" s="264"/>
      <c r="GO14" s="264"/>
      <c r="GP14" s="264"/>
      <c r="GR14" s="264"/>
      <c r="GS14" s="264"/>
      <c r="GU14" s="264"/>
      <c r="GV14" s="264"/>
      <c r="GX14" s="264"/>
      <c r="GY14" s="264"/>
      <c r="HA14" s="264"/>
      <c r="HB14" s="264"/>
      <c r="HD14" s="264"/>
      <c r="HE14" s="264"/>
      <c r="HG14" s="264"/>
      <c r="HH14" s="264"/>
      <c r="HJ14" s="264"/>
      <c r="HK14" s="264"/>
      <c r="HM14" s="264"/>
      <c r="HN14" s="264"/>
      <c r="HP14" s="264"/>
      <c r="HQ14" s="264"/>
      <c r="HS14" s="264"/>
      <c r="HT14" s="264"/>
      <c r="HV14" s="264"/>
      <c r="HW14" s="264"/>
      <c r="HY14" s="264"/>
      <c r="HZ14" s="264"/>
      <c r="IB14" s="264"/>
      <c r="IC14" s="264"/>
      <c r="IE14" s="264"/>
      <c r="IF14" s="264"/>
    </row>
    <row r="15" spans="1:240" ht="12" x14ac:dyDescent="0.25">
      <c r="A15" s="264"/>
      <c r="B15" s="330" t="s">
        <v>489</v>
      </c>
      <c r="C15" s="226" t="s">
        <v>328</v>
      </c>
      <c r="D15" s="260"/>
      <c r="E15" s="264"/>
      <c r="G15" s="265"/>
      <c r="J15" s="264"/>
      <c r="K15" s="264"/>
      <c r="M15" s="264"/>
      <c r="N15" s="264"/>
      <c r="P15" s="264"/>
      <c r="Q15" s="264"/>
      <c r="S15" s="264"/>
      <c r="T15" s="264"/>
      <c r="V15" s="264"/>
      <c r="W15" s="264"/>
      <c r="Y15" s="264"/>
      <c r="Z15" s="264"/>
      <c r="AB15" s="264"/>
      <c r="AC15" s="264"/>
      <c r="AE15" s="264"/>
      <c r="AF15" s="264"/>
      <c r="AG15" s="264"/>
      <c r="AI15" s="264"/>
      <c r="AJ15" s="264"/>
      <c r="AL15" s="264"/>
      <c r="AM15" s="264"/>
      <c r="AO15" s="264"/>
      <c r="AP15" s="264"/>
      <c r="AR15" s="264"/>
      <c r="AS15" s="264"/>
      <c r="AU15" s="264"/>
      <c r="AV15" s="264"/>
      <c r="AX15" s="264"/>
      <c r="AY15" s="264"/>
      <c r="BA15" s="264"/>
      <c r="BB15" s="264"/>
      <c r="BD15" s="264"/>
      <c r="BE15" s="264"/>
      <c r="BG15" s="264"/>
      <c r="BH15" s="264"/>
      <c r="BJ15" s="264"/>
      <c r="BK15" s="264"/>
      <c r="BM15" s="264"/>
      <c r="BN15" s="264"/>
      <c r="BP15" s="264"/>
      <c r="BQ15" s="264"/>
      <c r="BS15" s="264"/>
      <c r="BT15" s="264"/>
      <c r="BV15" s="264"/>
      <c r="BW15" s="264"/>
      <c r="BY15" s="264"/>
      <c r="BZ15" s="264"/>
      <c r="CB15" s="264"/>
      <c r="CC15" s="264"/>
      <c r="CE15" s="264"/>
      <c r="CF15" s="264"/>
      <c r="CH15" s="264"/>
      <c r="CI15" s="264"/>
      <c r="CK15" s="264"/>
      <c r="CL15" s="264"/>
      <c r="CN15" s="264"/>
      <c r="CO15" s="264"/>
      <c r="CQ15" s="264"/>
      <c r="CR15" s="264"/>
      <c r="CT15" s="264"/>
      <c r="CU15" s="264"/>
      <c r="CW15" s="264"/>
      <c r="CX15" s="264"/>
      <c r="CZ15" s="264"/>
      <c r="DA15" s="264"/>
      <c r="DC15" s="264"/>
      <c r="DD15" s="264"/>
      <c r="DF15" s="264"/>
      <c r="DG15" s="264"/>
      <c r="DI15" s="264"/>
      <c r="DJ15" s="264"/>
      <c r="DL15" s="264"/>
      <c r="DM15" s="264"/>
      <c r="DO15" s="264"/>
      <c r="DP15" s="264"/>
      <c r="DR15" s="264"/>
      <c r="DS15" s="264"/>
      <c r="DU15" s="264"/>
      <c r="DV15" s="264"/>
      <c r="DX15" s="264"/>
      <c r="DY15" s="264"/>
      <c r="EA15" s="264"/>
      <c r="EB15" s="252"/>
      <c r="ED15" s="264"/>
      <c r="EE15" s="264"/>
      <c r="EG15" s="264"/>
      <c r="EH15" s="264"/>
      <c r="EJ15" s="264"/>
      <c r="EK15" s="264"/>
      <c r="EM15" s="264"/>
      <c r="EN15" s="264"/>
      <c r="EP15" s="264"/>
      <c r="EQ15" s="264"/>
      <c r="ES15" s="264"/>
      <c r="ET15" s="264"/>
      <c r="EV15" s="264"/>
      <c r="EW15" s="264"/>
      <c r="EY15" s="264"/>
      <c r="EZ15" s="264"/>
      <c r="FB15" s="264"/>
      <c r="FC15" s="264"/>
      <c r="FE15" s="264"/>
      <c r="FF15" s="264"/>
      <c r="FH15" s="264"/>
      <c r="FI15" s="264"/>
      <c r="FK15" s="264"/>
      <c r="FL15" s="264"/>
      <c r="FN15" s="264"/>
      <c r="FO15" s="264"/>
      <c r="FQ15" s="264"/>
      <c r="FR15" s="264"/>
      <c r="FT15" s="264"/>
      <c r="FU15" s="264"/>
      <c r="FW15" s="264"/>
      <c r="FX15" s="264"/>
      <c r="FZ15" s="264"/>
      <c r="GA15" s="264"/>
      <c r="GC15" s="264"/>
      <c r="GD15" s="264"/>
      <c r="GF15" s="264"/>
      <c r="GG15" s="264"/>
      <c r="GI15" s="264"/>
      <c r="GJ15" s="264"/>
      <c r="GL15" s="264"/>
      <c r="GM15" s="264"/>
      <c r="GO15" s="264"/>
      <c r="GP15" s="264"/>
      <c r="GR15" s="264"/>
      <c r="GS15" s="264"/>
      <c r="GU15" s="264"/>
      <c r="GV15" s="264"/>
      <c r="GX15" s="264"/>
      <c r="GY15" s="264"/>
      <c r="HA15" s="264"/>
      <c r="HB15" s="264"/>
      <c r="HD15" s="264"/>
      <c r="HE15" s="264"/>
      <c r="HG15" s="264"/>
      <c r="HH15" s="264"/>
      <c r="HJ15" s="264"/>
      <c r="HK15" s="264"/>
      <c r="HM15" s="264"/>
      <c r="HN15" s="264"/>
      <c r="HP15" s="264"/>
      <c r="HQ15" s="264"/>
      <c r="HS15" s="264"/>
      <c r="HT15" s="264"/>
      <c r="HV15" s="264"/>
      <c r="HW15" s="264"/>
      <c r="HY15" s="264"/>
      <c r="HZ15" s="264"/>
      <c r="IB15" s="264"/>
      <c r="IC15" s="264"/>
      <c r="IE15" s="264"/>
      <c r="IF15" s="264"/>
    </row>
    <row r="16" spans="1:240" ht="12" x14ac:dyDescent="0.25">
      <c r="A16" s="264"/>
      <c r="B16" s="330" t="s">
        <v>428</v>
      </c>
      <c r="C16" s="226" t="s">
        <v>427</v>
      </c>
      <c r="D16" s="260"/>
      <c r="E16" s="264"/>
      <c r="G16" s="265"/>
      <c r="J16" s="264"/>
      <c r="K16" s="264"/>
      <c r="M16" s="264"/>
      <c r="N16" s="264"/>
      <c r="P16" s="264"/>
      <c r="Q16" s="264"/>
      <c r="S16" s="264"/>
      <c r="T16" s="264"/>
      <c r="V16" s="264"/>
      <c r="W16" s="264"/>
      <c r="Y16" s="264"/>
      <c r="Z16" s="264"/>
      <c r="AB16" s="264"/>
      <c r="AC16" s="264"/>
      <c r="AE16" s="264"/>
      <c r="AF16" s="264"/>
      <c r="AG16" s="264"/>
      <c r="AI16" s="264"/>
      <c r="AJ16" s="264"/>
      <c r="AL16" s="264"/>
      <c r="AM16" s="264"/>
      <c r="AO16" s="264"/>
      <c r="AP16" s="264"/>
      <c r="AR16" s="264"/>
      <c r="AS16" s="264"/>
      <c r="AU16" s="264"/>
      <c r="AV16" s="264"/>
      <c r="AX16" s="264"/>
      <c r="AY16" s="264"/>
      <c r="BA16" s="264"/>
      <c r="BB16" s="264"/>
      <c r="BD16" s="264"/>
      <c r="BE16" s="264"/>
      <c r="BG16" s="264"/>
      <c r="BH16" s="264"/>
      <c r="BJ16" s="264"/>
      <c r="BK16" s="264"/>
      <c r="BM16" s="264"/>
      <c r="BN16" s="264"/>
      <c r="BP16" s="264"/>
      <c r="BQ16" s="264"/>
      <c r="BS16" s="264"/>
      <c r="BT16" s="264"/>
      <c r="BV16" s="264"/>
      <c r="BW16" s="264"/>
      <c r="BY16" s="264"/>
      <c r="BZ16" s="264"/>
      <c r="CB16" s="264"/>
      <c r="CC16" s="264"/>
      <c r="CE16" s="264"/>
      <c r="CF16" s="264"/>
      <c r="CH16" s="264"/>
      <c r="CI16" s="264"/>
      <c r="CK16" s="264"/>
      <c r="CL16" s="264"/>
      <c r="CN16" s="264"/>
      <c r="CO16" s="264"/>
      <c r="CQ16" s="264"/>
      <c r="CR16" s="264"/>
      <c r="CT16" s="264"/>
      <c r="CU16" s="264"/>
      <c r="CW16" s="264"/>
      <c r="CX16" s="264"/>
      <c r="CZ16" s="264"/>
      <c r="DA16" s="264"/>
      <c r="DC16" s="264"/>
      <c r="DD16" s="264"/>
      <c r="DF16" s="264"/>
      <c r="DG16" s="264"/>
      <c r="DI16" s="264"/>
      <c r="DJ16" s="264"/>
      <c r="DL16" s="264"/>
      <c r="DM16" s="264"/>
      <c r="DO16" s="264"/>
      <c r="DP16" s="264"/>
      <c r="DR16" s="264"/>
      <c r="DS16" s="264"/>
      <c r="DU16" s="264"/>
      <c r="DV16" s="264"/>
      <c r="DX16" s="264"/>
      <c r="DY16" s="264"/>
      <c r="EA16" s="264"/>
      <c r="EB16" s="252"/>
      <c r="ED16" s="264"/>
      <c r="EE16" s="264"/>
      <c r="EG16" s="264"/>
      <c r="EH16" s="264"/>
      <c r="EJ16" s="264"/>
      <c r="EK16" s="264"/>
      <c r="EM16" s="264"/>
      <c r="EN16" s="264"/>
      <c r="EP16" s="264"/>
      <c r="EQ16" s="264"/>
      <c r="ES16" s="264"/>
      <c r="ET16" s="264"/>
      <c r="EV16" s="264"/>
      <c r="EW16" s="264"/>
      <c r="EY16" s="264"/>
      <c r="EZ16" s="264"/>
      <c r="FB16" s="264"/>
      <c r="FC16" s="264"/>
      <c r="FE16" s="264"/>
      <c r="FF16" s="264"/>
      <c r="FH16" s="264"/>
      <c r="FI16" s="264"/>
      <c r="FK16" s="264"/>
      <c r="FL16" s="264"/>
      <c r="FN16" s="264"/>
      <c r="FO16" s="264"/>
      <c r="FQ16" s="264"/>
      <c r="FR16" s="264"/>
      <c r="FT16" s="264"/>
      <c r="FU16" s="264"/>
      <c r="FW16" s="264"/>
      <c r="FX16" s="264"/>
      <c r="FZ16" s="264"/>
      <c r="GA16" s="264"/>
      <c r="GC16" s="264"/>
      <c r="GD16" s="264"/>
      <c r="GF16" s="264"/>
      <c r="GG16" s="264"/>
      <c r="GI16" s="264"/>
      <c r="GJ16" s="264"/>
      <c r="GL16" s="264"/>
      <c r="GM16" s="264"/>
      <c r="GO16" s="264"/>
      <c r="GP16" s="264"/>
      <c r="GR16" s="264"/>
      <c r="GS16" s="264"/>
      <c r="GU16" s="264"/>
      <c r="GV16" s="264"/>
      <c r="GX16" s="264"/>
      <c r="GY16" s="264"/>
      <c r="HA16" s="264"/>
      <c r="HB16" s="264"/>
      <c r="HD16" s="264"/>
      <c r="HE16" s="264"/>
      <c r="HG16" s="264"/>
      <c r="HH16" s="264"/>
      <c r="HJ16" s="264"/>
      <c r="HK16" s="264"/>
      <c r="HM16" s="264"/>
      <c r="HN16" s="264"/>
      <c r="HP16" s="264"/>
      <c r="HQ16" s="264"/>
      <c r="HS16" s="264"/>
      <c r="HT16" s="264"/>
      <c r="HV16" s="264"/>
      <c r="HW16" s="264"/>
      <c r="HY16" s="264"/>
      <c r="HZ16" s="264"/>
      <c r="IB16" s="264"/>
      <c r="IC16" s="264"/>
      <c r="IE16" s="264"/>
      <c r="IF16" s="264"/>
    </row>
    <row r="17" spans="1:240" ht="12" x14ac:dyDescent="0.25">
      <c r="A17" s="264"/>
      <c r="B17" s="330" t="s">
        <v>488</v>
      </c>
      <c r="C17" s="226" t="s">
        <v>489</v>
      </c>
      <c r="D17" s="334"/>
      <c r="E17" s="264"/>
      <c r="G17" s="265"/>
      <c r="J17" s="264"/>
      <c r="K17" s="264"/>
      <c r="M17" s="264"/>
      <c r="N17" s="264"/>
      <c r="P17" s="264"/>
      <c r="Q17" s="264"/>
      <c r="S17" s="264"/>
      <c r="T17" s="264"/>
      <c r="V17" s="264"/>
      <c r="W17" s="264"/>
      <c r="Y17" s="264"/>
      <c r="Z17" s="264"/>
      <c r="AB17" s="264"/>
      <c r="AC17" s="264"/>
      <c r="AE17" s="264"/>
      <c r="AF17" s="264"/>
      <c r="AG17" s="264"/>
      <c r="AI17" s="264"/>
      <c r="AJ17" s="264"/>
      <c r="AL17" s="264"/>
      <c r="AM17" s="264"/>
      <c r="AO17" s="264"/>
      <c r="AP17" s="264"/>
      <c r="AR17" s="264"/>
      <c r="AS17" s="264"/>
      <c r="AU17" s="264"/>
      <c r="AV17" s="264"/>
      <c r="AX17" s="264"/>
      <c r="AY17" s="264"/>
      <c r="BA17" s="264"/>
      <c r="BB17" s="264"/>
      <c r="BD17" s="264"/>
      <c r="BE17" s="264"/>
      <c r="BG17" s="264"/>
      <c r="BH17" s="264"/>
      <c r="BJ17" s="264"/>
      <c r="BK17" s="264"/>
      <c r="BM17" s="264"/>
      <c r="BN17" s="264"/>
      <c r="BP17" s="264"/>
      <c r="BQ17" s="264"/>
      <c r="BS17" s="264"/>
      <c r="BT17" s="264"/>
      <c r="BV17" s="264"/>
      <c r="BW17" s="264"/>
      <c r="BY17" s="264"/>
      <c r="BZ17" s="264"/>
      <c r="CB17" s="264"/>
      <c r="CC17" s="264"/>
      <c r="CE17" s="264"/>
      <c r="CF17" s="264"/>
      <c r="CH17" s="264"/>
      <c r="CI17" s="264"/>
      <c r="CK17" s="264"/>
      <c r="CL17" s="264"/>
      <c r="CN17" s="264"/>
      <c r="CO17" s="264"/>
      <c r="CQ17" s="264"/>
      <c r="CR17" s="264"/>
      <c r="CT17" s="264"/>
      <c r="CU17" s="264"/>
      <c r="CW17" s="264"/>
      <c r="CX17" s="264"/>
      <c r="CZ17" s="264"/>
      <c r="DA17" s="264"/>
      <c r="DC17" s="264"/>
      <c r="DD17" s="264"/>
      <c r="DF17" s="264"/>
      <c r="DG17" s="264"/>
      <c r="DI17" s="264"/>
      <c r="DJ17" s="264"/>
      <c r="DL17" s="264"/>
      <c r="DM17" s="264"/>
      <c r="DO17" s="264"/>
      <c r="DP17" s="264"/>
      <c r="DR17" s="264"/>
      <c r="DS17" s="264"/>
      <c r="DU17" s="264"/>
      <c r="DV17" s="264"/>
      <c r="DX17" s="264"/>
      <c r="DY17" s="264"/>
      <c r="EA17" s="264"/>
      <c r="EB17" s="252"/>
      <c r="ED17" s="264"/>
      <c r="EE17" s="264"/>
      <c r="EG17" s="264"/>
      <c r="EH17" s="264"/>
      <c r="EJ17" s="264"/>
      <c r="EK17" s="264"/>
      <c r="EM17" s="264"/>
      <c r="EN17" s="264"/>
      <c r="EP17" s="264"/>
      <c r="EQ17" s="264"/>
      <c r="ES17" s="264"/>
      <c r="ET17" s="264"/>
      <c r="EV17" s="264"/>
      <c r="EW17" s="264"/>
      <c r="EY17" s="264"/>
      <c r="EZ17" s="264"/>
      <c r="FB17" s="264"/>
      <c r="FC17" s="264"/>
      <c r="FE17" s="264"/>
      <c r="FF17" s="264"/>
      <c r="FH17" s="264"/>
      <c r="FI17" s="264"/>
      <c r="FK17" s="264"/>
      <c r="FL17" s="264"/>
      <c r="FN17" s="264"/>
      <c r="FO17" s="264"/>
      <c r="FQ17" s="264"/>
      <c r="FR17" s="264"/>
      <c r="FT17" s="264"/>
      <c r="FU17" s="264"/>
      <c r="FW17" s="264"/>
      <c r="FX17" s="264"/>
      <c r="FZ17" s="264"/>
      <c r="GA17" s="264"/>
      <c r="GC17" s="264"/>
      <c r="GD17" s="264"/>
      <c r="GF17" s="264"/>
      <c r="GG17" s="264"/>
      <c r="GI17" s="264"/>
      <c r="GJ17" s="264"/>
      <c r="GL17" s="264"/>
      <c r="GM17" s="264"/>
      <c r="GO17" s="264"/>
      <c r="GP17" s="264"/>
      <c r="GR17" s="264"/>
      <c r="GS17" s="264"/>
      <c r="GU17" s="264"/>
      <c r="GV17" s="264"/>
      <c r="GX17" s="264"/>
      <c r="GY17" s="264"/>
      <c r="HA17" s="264"/>
      <c r="HB17" s="264"/>
      <c r="HD17" s="264"/>
      <c r="HE17" s="264"/>
      <c r="HG17" s="264"/>
      <c r="HH17" s="264"/>
      <c r="HJ17" s="264"/>
      <c r="HK17" s="264"/>
      <c r="HM17" s="264"/>
      <c r="HN17" s="264"/>
      <c r="HP17" s="264"/>
      <c r="HQ17" s="264"/>
      <c r="HS17" s="264"/>
      <c r="HT17" s="264"/>
      <c r="HV17" s="264"/>
      <c r="HW17" s="264"/>
      <c r="HY17" s="264"/>
      <c r="HZ17" s="264"/>
      <c r="IB17" s="264"/>
      <c r="IC17" s="264"/>
      <c r="IE17" s="264"/>
      <c r="IF17" s="264"/>
    </row>
    <row r="18" spans="1:240" ht="12" x14ac:dyDescent="0.25">
      <c r="A18" s="264"/>
      <c r="B18" s="330" t="s">
        <v>329</v>
      </c>
      <c r="C18" s="226" t="s">
        <v>428</v>
      </c>
      <c r="D18" s="334"/>
      <c r="E18" s="264"/>
      <c r="G18" s="265"/>
      <c r="J18" s="264"/>
      <c r="K18" s="264"/>
      <c r="M18" s="264"/>
      <c r="N18" s="264"/>
      <c r="P18" s="264"/>
      <c r="Q18" s="264"/>
      <c r="S18" s="264"/>
      <c r="T18" s="264"/>
      <c r="V18" s="264"/>
      <c r="W18" s="264"/>
      <c r="Y18" s="264"/>
      <c r="Z18" s="264"/>
      <c r="AB18" s="264"/>
      <c r="AC18" s="264"/>
      <c r="AE18" s="264"/>
      <c r="AF18" s="264"/>
      <c r="AG18" s="264"/>
      <c r="AI18" s="264"/>
      <c r="AJ18" s="264"/>
      <c r="AL18" s="264"/>
      <c r="AM18" s="264"/>
      <c r="AO18" s="264"/>
      <c r="AP18" s="264"/>
      <c r="AR18" s="264"/>
      <c r="AS18" s="264"/>
      <c r="AU18" s="264"/>
      <c r="AV18" s="264"/>
      <c r="AX18" s="264"/>
      <c r="AY18" s="264"/>
      <c r="BA18" s="264"/>
      <c r="BB18" s="264"/>
      <c r="BD18" s="264"/>
      <c r="BE18" s="264"/>
      <c r="BG18" s="264"/>
      <c r="BH18" s="264"/>
      <c r="BJ18" s="264"/>
      <c r="BK18" s="264"/>
      <c r="BM18" s="264"/>
      <c r="BN18" s="264"/>
      <c r="BP18" s="264"/>
      <c r="BQ18" s="264"/>
      <c r="BS18" s="264"/>
      <c r="BT18" s="264"/>
      <c r="BV18" s="264"/>
      <c r="BW18" s="264"/>
      <c r="BY18" s="264"/>
      <c r="BZ18" s="264"/>
      <c r="CB18" s="264"/>
      <c r="CC18" s="264"/>
      <c r="CE18" s="264"/>
      <c r="CF18" s="264"/>
      <c r="CH18" s="264"/>
      <c r="CI18" s="264"/>
      <c r="CK18" s="264"/>
      <c r="CL18" s="264"/>
      <c r="CN18" s="264"/>
      <c r="CO18" s="264"/>
      <c r="CQ18" s="264"/>
      <c r="CR18" s="264"/>
      <c r="CT18" s="264"/>
      <c r="CU18" s="264"/>
      <c r="CW18" s="264"/>
      <c r="CX18" s="264"/>
      <c r="CZ18" s="264"/>
      <c r="DA18" s="264"/>
      <c r="DC18" s="264"/>
      <c r="DD18" s="264"/>
      <c r="DF18" s="264"/>
      <c r="DG18" s="264"/>
      <c r="DI18" s="264"/>
      <c r="DJ18" s="264"/>
      <c r="DL18" s="264"/>
      <c r="DM18" s="264"/>
      <c r="DO18" s="264"/>
      <c r="DP18" s="264"/>
      <c r="DR18" s="264"/>
      <c r="DS18" s="264"/>
      <c r="DU18" s="264"/>
      <c r="DV18" s="264"/>
      <c r="DX18" s="264"/>
      <c r="DY18" s="264"/>
      <c r="EA18" s="264"/>
      <c r="EB18" s="252"/>
      <c r="ED18" s="264"/>
      <c r="EE18" s="264"/>
      <c r="EG18" s="264"/>
      <c r="EH18" s="264"/>
      <c r="EJ18" s="264"/>
      <c r="EK18" s="264"/>
      <c r="EM18" s="264"/>
      <c r="EN18" s="264"/>
      <c r="EP18" s="264"/>
      <c r="EQ18" s="264"/>
      <c r="ES18" s="264"/>
      <c r="ET18" s="264"/>
      <c r="EV18" s="264"/>
      <c r="EW18" s="264"/>
      <c r="EY18" s="264"/>
      <c r="EZ18" s="264"/>
      <c r="FB18" s="264"/>
      <c r="FC18" s="264"/>
      <c r="FE18" s="264"/>
      <c r="FF18" s="264"/>
      <c r="FH18" s="264"/>
      <c r="FI18" s="264"/>
      <c r="FK18" s="264"/>
      <c r="FL18" s="264"/>
      <c r="FN18" s="264"/>
      <c r="FO18" s="264"/>
      <c r="FQ18" s="264"/>
      <c r="FR18" s="264"/>
      <c r="FT18" s="264"/>
      <c r="FU18" s="264"/>
      <c r="FW18" s="264"/>
      <c r="FX18" s="264"/>
      <c r="FZ18" s="264"/>
      <c r="GA18" s="264"/>
      <c r="GC18" s="264"/>
      <c r="GD18" s="264"/>
      <c r="GF18" s="264"/>
      <c r="GG18" s="264"/>
      <c r="GI18" s="264"/>
      <c r="GJ18" s="264"/>
      <c r="GL18" s="264"/>
      <c r="GM18" s="264"/>
      <c r="GO18" s="264"/>
      <c r="GP18" s="264"/>
      <c r="GR18" s="264"/>
      <c r="GS18" s="264"/>
      <c r="GU18" s="264"/>
      <c r="GV18" s="264"/>
      <c r="GX18" s="264"/>
      <c r="GY18" s="264"/>
      <c r="HA18" s="264"/>
      <c r="HB18" s="264"/>
      <c r="HD18" s="264"/>
      <c r="HE18" s="264"/>
      <c r="HG18" s="264"/>
      <c r="HH18" s="264"/>
      <c r="HJ18" s="264"/>
      <c r="HK18" s="264"/>
      <c r="HM18" s="264"/>
      <c r="HN18" s="264"/>
      <c r="HP18" s="264"/>
      <c r="HQ18" s="264"/>
      <c r="HS18" s="264"/>
      <c r="HT18" s="264"/>
      <c r="HV18" s="264"/>
      <c r="HW18" s="264"/>
      <c r="HY18" s="264"/>
      <c r="HZ18" s="264"/>
      <c r="IB18" s="264"/>
      <c r="IC18" s="264"/>
      <c r="IE18" s="264"/>
      <c r="IF18" s="264"/>
    </row>
    <row r="19" spans="1:240" ht="12" x14ac:dyDescent="0.25">
      <c r="A19" s="264"/>
      <c r="B19" s="330" t="s">
        <v>506</v>
      </c>
      <c r="C19" s="226" t="s">
        <v>488</v>
      </c>
      <c r="D19" s="260"/>
      <c r="E19" s="264"/>
      <c r="G19" s="265"/>
      <c r="J19" s="264"/>
      <c r="K19" s="264"/>
      <c r="M19" s="264"/>
      <c r="N19" s="264"/>
      <c r="P19" s="264"/>
      <c r="Q19" s="264"/>
      <c r="S19" s="264"/>
      <c r="T19" s="264"/>
      <c r="V19" s="264"/>
      <c r="W19" s="264"/>
      <c r="Y19" s="264"/>
      <c r="Z19" s="264"/>
      <c r="AB19" s="264"/>
      <c r="AC19" s="264"/>
      <c r="AE19" s="264"/>
      <c r="AF19" s="264"/>
      <c r="AG19" s="264"/>
      <c r="AI19" s="264"/>
      <c r="AJ19" s="264"/>
      <c r="AL19" s="264"/>
      <c r="AM19" s="264"/>
      <c r="AO19" s="264"/>
      <c r="AP19" s="264"/>
      <c r="AR19" s="264"/>
      <c r="AS19" s="264"/>
      <c r="AU19" s="264"/>
      <c r="AV19" s="264"/>
      <c r="AX19" s="264"/>
      <c r="AY19" s="264"/>
      <c r="BA19" s="264"/>
      <c r="BB19" s="264"/>
      <c r="BD19" s="264"/>
      <c r="BE19" s="264"/>
      <c r="BG19" s="264"/>
      <c r="BH19" s="264"/>
      <c r="BJ19" s="264"/>
      <c r="BK19" s="264"/>
      <c r="BM19" s="264"/>
      <c r="BN19" s="264"/>
      <c r="BP19" s="264"/>
      <c r="BQ19" s="264"/>
      <c r="BS19" s="264"/>
      <c r="BT19" s="264"/>
      <c r="BV19" s="264"/>
      <c r="BW19" s="264"/>
      <c r="BY19" s="264"/>
      <c r="BZ19" s="264"/>
      <c r="CB19" s="264"/>
      <c r="CC19" s="264"/>
      <c r="CE19" s="264"/>
      <c r="CF19" s="264"/>
      <c r="CH19" s="264"/>
      <c r="CI19" s="264"/>
      <c r="CK19" s="264"/>
      <c r="CL19" s="264"/>
      <c r="CN19" s="264"/>
      <c r="CO19" s="264"/>
      <c r="CQ19" s="264"/>
      <c r="CR19" s="264"/>
      <c r="CT19" s="264"/>
      <c r="CU19" s="264"/>
      <c r="CW19" s="264"/>
      <c r="CX19" s="264"/>
      <c r="CZ19" s="264"/>
      <c r="DA19" s="264"/>
      <c r="DC19" s="264"/>
      <c r="DD19" s="264"/>
      <c r="DF19" s="264"/>
      <c r="DG19" s="264"/>
      <c r="DI19" s="264"/>
      <c r="DJ19" s="264"/>
      <c r="DL19" s="264"/>
      <c r="DM19" s="264"/>
      <c r="DO19" s="264"/>
      <c r="DP19" s="264"/>
      <c r="DR19" s="264"/>
      <c r="DS19" s="264"/>
      <c r="DU19" s="264"/>
      <c r="DV19" s="264"/>
      <c r="DX19" s="264"/>
      <c r="DY19" s="264"/>
      <c r="EA19" s="264"/>
      <c r="EB19" s="252"/>
      <c r="ED19" s="264"/>
      <c r="EE19" s="264"/>
      <c r="EG19" s="264"/>
      <c r="EH19" s="264"/>
      <c r="EJ19" s="264"/>
      <c r="EK19" s="264"/>
      <c r="EM19" s="264"/>
      <c r="EN19" s="264"/>
      <c r="EP19" s="264"/>
      <c r="EQ19" s="264"/>
      <c r="ES19" s="264"/>
      <c r="ET19" s="264"/>
      <c r="EV19" s="264"/>
      <c r="EW19" s="264"/>
      <c r="EY19" s="264"/>
      <c r="EZ19" s="264"/>
      <c r="FB19" s="264"/>
      <c r="FC19" s="264"/>
      <c r="FE19" s="264"/>
      <c r="FF19" s="264"/>
      <c r="FH19" s="264"/>
      <c r="FI19" s="264"/>
      <c r="FK19" s="264"/>
      <c r="FL19" s="264"/>
      <c r="FN19" s="264"/>
      <c r="FO19" s="264"/>
      <c r="FQ19" s="264"/>
      <c r="FR19" s="264"/>
      <c r="FT19" s="264"/>
      <c r="FU19" s="264"/>
      <c r="FW19" s="264"/>
      <c r="FX19" s="264"/>
      <c r="FZ19" s="264"/>
      <c r="GA19" s="264"/>
      <c r="GC19" s="264"/>
      <c r="GD19" s="264"/>
      <c r="GF19" s="264"/>
      <c r="GG19" s="264"/>
      <c r="GI19" s="264"/>
      <c r="GJ19" s="264"/>
      <c r="GL19" s="264"/>
      <c r="GM19" s="264"/>
      <c r="GO19" s="264"/>
      <c r="GP19" s="264"/>
      <c r="GR19" s="264"/>
      <c r="GS19" s="264"/>
      <c r="GU19" s="264"/>
      <c r="GV19" s="264"/>
      <c r="GX19" s="264"/>
      <c r="GY19" s="264"/>
      <c r="HA19" s="264"/>
      <c r="HB19" s="264"/>
      <c r="HD19" s="264"/>
      <c r="HE19" s="264"/>
      <c r="HG19" s="264"/>
      <c r="HH19" s="264"/>
      <c r="HJ19" s="264"/>
      <c r="HK19" s="264"/>
      <c r="HM19" s="264"/>
      <c r="HN19" s="264"/>
      <c r="HP19" s="264"/>
      <c r="HQ19" s="264"/>
      <c r="HS19" s="264"/>
      <c r="HT19" s="264"/>
      <c r="HV19" s="264"/>
      <c r="HW19" s="264"/>
      <c r="HY19" s="264"/>
      <c r="HZ19" s="264"/>
      <c r="IB19" s="264"/>
      <c r="IC19" s="264"/>
      <c r="IE19" s="264"/>
      <c r="IF19" s="264"/>
    </row>
    <row r="20" spans="1:240" ht="12" x14ac:dyDescent="0.25">
      <c r="A20" s="264"/>
      <c r="B20" s="330" t="s">
        <v>430</v>
      </c>
      <c r="C20" s="226" t="s">
        <v>329</v>
      </c>
      <c r="D20" s="260"/>
      <c r="E20" s="264"/>
      <c r="G20" s="265"/>
      <c r="J20" s="264"/>
      <c r="K20" s="264"/>
      <c r="M20" s="264"/>
      <c r="N20" s="264"/>
      <c r="P20" s="264"/>
      <c r="Q20" s="264"/>
      <c r="S20" s="264"/>
      <c r="T20" s="264"/>
      <c r="V20" s="264"/>
      <c r="W20" s="264"/>
      <c r="Y20" s="264"/>
      <c r="Z20" s="264"/>
      <c r="AB20" s="264"/>
      <c r="AC20" s="264"/>
      <c r="AE20" s="264"/>
      <c r="AF20" s="264"/>
      <c r="AG20" s="264"/>
      <c r="AI20" s="264"/>
      <c r="AJ20" s="264"/>
      <c r="AL20" s="264"/>
      <c r="AM20" s="264"/>
      <c r="AO20" s="264"/>
      <c r="AP20" s="264"/>
      <c r="AR20" s="264"/>
      <c r="AS20" s="264"/>
      <c r="AU20" s="264"/>
      <c r="AV20" s="264"/>
      <c r="AX20" s="264"/>
      <c r="AY20" s="264"/>
      <c r="BA20" s="264"/>
      <c r="BB20" s="264"/>
      <c r="BD20" s="264"/>
      <c r="BE20" s="264"/>
      <c r="BG20" s="264"/>
      <c r="BH20" s="264"/>
      <c r="BJ20" s="264"/>
      <c r="BK20" s="264"/>
      <c r="BM20" s="264"/>
      <c r="BN20" s="264"/>
      <c r="BP20" s="264"/>
      <c r="BQ20" s="264"/>
      <c r="BS20" s="264"/>
      <c r="BT20" s="264"/>
      <c r="BV20" s="264"/>
      <c r="BW20" s="264"/>
      <c r="BY20" s="264"/>
      <c r="BZ20" s="264"/>
      <c r="CB20" s="264"/>
      <c r="CC20" s="264"/>
      <c r="CE20" s="264"/>
      <c r="CF20" s="264"/>
      <c r="CH20" s="264"/>
      <c r="CI20" s="264"/>
      <c r="CK20" s="264"/>
      <c r="CL20" s="264"/>
      <c r="CN20" s="264"/>
      <c r="CO20" s="264"/>
      <c r="CQ20" s="264"/>
      <c r="CR20" s="264"/>
      <c r="CT20" s="264"/>
      <c r="CU20" s="264"/>
      <c r="CW20" s="264"/>
      <c r="CX20" s="264"/>
      <c r="CZ20" s="264"/>
      <c r="DA20" s="264"/>
      <c r="DC20" s="264"/>
      <c r="DD20" s="264"/>
      <c r="DF20" s="264"/>
      <c r="DG20" s="264"/>
      <c r="DI20" s="264"/>
      <c r="DJ20" s="264"/>
      <c r="DL20" s="264"/>
      <c r="DM20" s="264"/>
      <c r="DO20" s="264"/>
      <c r="DP20" s="264"/>
      <c r="DR20" s="264"/>
      <c r="DS20" s="264"/>
      <c r="DU20" s="264"/>
      <c r="DV20" s="264"/>
      <c r="DX20" s="264"/>
      <c r="DY20" s="264"/>
      <c r="EA20" s="264"/>
      <c r="EB20" s="252"/>
      <c r="ED20" s="264"/>
      <c r="EE20" s="264"/>
      <c r="EG20" s="264"/>
      <c r="EH20" s="264"/>
      <c r="EJ20" s="264"/>
      <c r="EK20" s="264"/>
      <c r="EM20" s="264"/>
      <c r="EN20" s="264"/>
      <c r="EP20" s="264"/>
      <c r="EQ20" s="264"/>
      <c r="ES20" s="264"/>
      <c r="ET20" s="264"/>
      <c r="EV20" s="264"/>
      <c r="EW20" s="264"/>
      <c r="EY20" s="264"/>
      <c r="EZ20" s="264"/>
      <c r="FB20" s="264"/>
      <c r="FC20" s="264"/>
      <c r="FE20" s="264"/>
      <c r="FF20" s="264"/>
      <c r="FH20" s="264"/>
      <c r="FI20" s="264"/>
      <c r="FK20" s="264"/>
      <c r="FL20" s="264"/>
      <c r="FN20" s="264"/>
      <c r="FO20" s="264"/>
      <c r="FQ20" s="264"/>
      <c r="FR20" s="264"/>
      <c r="FT20" s="264"/>
      <c r="FU20" s="264"/>
      <c r="FW20" s="264"/>
      <c r="FX20" s="264"/>
      <c r="FZ20" s="264"/>
      <c r="GA20" s="264"/>
      <c r="GC20" s="264"/>
      <c r="GD20" s="264"/>
      <c r="GF20" s="264"/>
      <c r="GG20" s="264"/>
      <c r="GI20" s="264"/>
      <c r="GJ20" s="264"/>
      <c r="GL20" s="264"/>
      <c r="GM20" s="264"/>
      <c r="GO20" s="264"/>
      <c r="GP20" s="264"/>
      <c r="GR20" s="264"/>
      <c r="GS20" s="264"/>
      <c r="GU20" s="264"/>
      <c r="GV20" s="264"/>
      <c r="GX20" s="264"/>
      <c r="GY20" s="264"/>
      <c r="HA20" s="264"/>
      <c r="HB20" s="264"/>
      <c r="HD20" s="264"/>
      <c r="HE20" s="264"/>
      <c r="HG20" s="264"/>
      <c r="HH20" s="264"/>
      <c r="HJ20" s="264"/>
      <c r="HK20" s="264"/>
      <c r="HM20" s="264"/>
      <c r="HN20" s="264"/>
      <c r="HP20" s="264"/>
      <c r="HQ20" s="264"/>
      <c r="HS20" s="264"/>
      <c r="HT20" s="264"/>
      <c r="HV20" s="264"/>
      <c r="HW20" s="264"/>
      <c r="HY20" s="264"/>
      <c r="HZ20" s="264"/>
      <c r="IB20" s="264"/>
      <c r="IC20" s="264"/>
      <c r="IE20" s="264"/>
      <c r="IF20" s="264"/>
    </row>
    <row r="21" spans="1:240" ht="12" x14ac:dyDescent="0.25">
      <c r="A21" s="264"/>
      <c r="B21" s="330" t="s">
        <v>596</v>
      </c>
      <c r="C21" s="335" t="s">
        <v>429</v>
      </c>
      <c r="D21" s="32" t="s">
        <v>625</v>
      </c>
      <c r="E21" s="264"/>
      <c r="G21" s="265"/>
      <c r="J21" s="264"/>
      <c r="K21" s="264"/>
      <c r="M21" s="264"/>
      <c r="N21" s="264"/>
      <c r="P21" s="264"/>
      <c r="Q21" s="264"/>
      <c r="S21" s="264"/>
      <c r="T21" s="264"/>
      <c r="V21" s="264"/>
      <c r="W21" s="264"/>
      <c r="Y21" s="264"/>
      <c r="Z21" s="264"/>
      <c r="AB21" s="264"/>
      <c r="AC21" s="264"/>
      <c r="AE21" s="264"/>
      <c r="AF21" s="264"/>
      <c r="AG21" s="264"/>
      <c r="AI21" s="264"/>
      <c r="AJ21" s="264"/>
      <c r="AL21" s="264"/>
      <c r="AM21" s="264"/>
      <c r="AO21" s="264"/>
      <c r="AP21" s="264"/>
      <c r="AR21" s="264"/>
      <c r="AS21" s="264"/>
      <c r="AU21" s="264"/>
      <c r="AV21" s="264"/>
      <c r="AX21" s="264"/>
      <c r="AY21" s="264"/>
      <c r="BA21" s="264"/>
      <c r="BB21" s="264"/>
      <c r="BD21" s="264"/>
      <c r="BE21" s="264"/>
      <c r="BG21" s="264"/>
      <c r="BH21" s="264"/>
      <c r="BJ21" s="264"/>
      <c r="BK21" s="264"/>
      <c r="BM21" s="264"/>
      <c r="BN21" s="264"/>
      <c r="BP21" s="264"/>
      <c r="BQ21" s="264"/>
      <c r="BS21" s="264"/>
      <c r="BT21" s="264"/>
      <c r="BV21" s="264"/>
      <c r="BW21" s="264"/>
      <c r="BY21" s="264"/>
      <c r="BZ21" s="264"/>
      <c r="CB21" s="264"/>
      <c r="CC21" s="264"/>
      <c r="CE21" s="264"/>
      <c r="CF21" s="264"/>
      <c r="CH21" s="264"/>
      <c r="CI21" s="264"/>
      <c r="CK21" s="264"/>
      <c r="CL21" s="264"/>
      <c r="CN21" s="264"/>
      <c r="CO21" s="264"/>
      <c r="CQ21" s="264"/>
      <c r="CR21" s="264"/>
      <c r="CT21" s="264"/>
      <c r="CU21" s="264"/>
      <c r="CW21" s="264"/>
      <c r="CX21" s="264"/>
      <c r="CZ21" s="264"/>
      <c r="DA21" s="264"/>
      <c r="DC21" s="264"/>
      <c r="DD21" s="264"/>
      <c r="DF21" s="264"/>
      <c r="DG21" s="264"/>
      <c r="DI21" s="264"/>
      <c r="DJ21" s="264"/>
      <c r="DL21" s="264"/>
      <c r="DM21" s="264"/>
      <c r="DO21" s="264"/>
      <c r="DP21" s="264"/>
      <c r="DR21" s="264"/>
      <c r="DS21" s="264"/>
      <c r="DU21" s="264"/>
      <c r="DV21" s="264"/>
      <c r="DX21" s="264"/>
      <c r="DY21" s="264"/>
      <c r="EA21" s="264"/>
      <c r="EB21" s="252"/>
      <c r="ED21" s="264"/>
      <c r="EE21" s="264"/>
      <c r="EG21" s="264"/>
      <c r="EH21" s="264"/>
      <c r="EJ21" s="264"/>
      <c r="EK21" s="264"/>
      <c r="EM21" s="264"/>
      <c r="EN21" s="264"/>
      <c r="EP21" s="264"/>
      <c r="EQ21" s="264"/>
      <c r="ES21" s="264"/>
      <c r="ET21" s="264"/>
      <c r="EV21" s="264"/>
      <c r="EW21" s="264"/>
      <c r="EY21" s="264"/>
      <c r="EZ21" s="264"/>
      <c r="FB21" s="264"/>
      <c r="FC21" s="264"/>
      <c r="FE21" s="264"/>
      <c r="FF21" s="264"/>
      <c r="FH21" s="264"/>
      <c r="FI21" s="264"/>
      <c r="FK21" s="264"/>
      <c r="FL21" s="264"/>
      <c r="FN21" s="264"/>
      <c r="FO21" s="264"/>
      <c r="FQ21" s="264"/>
      <c r="FR21" s="264"/>
      <c r="FT21" s="264"/>
      <c r="FU21" s="264"/>
      <c r="FW21" s="264"/>
      <c r="FX21" s="264"/>
      <c r="FZ21" s="264"/>
      <c r="GA21" s="264"/>
      <c r="GC21" s="264"/>
      <c r="GD21" s="264"/>
      <c r="GF21" s="264"/>
      <c r="GG21" s="264"/>
      <c r="GI21" s="264"/>
      <c r="GJ21" s="264"/>
      <c r="GL21" s="264"/>
      <c r="GM21" s="264"/>
      <c r="GO21" s="264"/>
      <c r="GP21" s="264"/>
      <c r="GR21" s="264"/>
      <c r="GS21" s="264"/>
      <c r="GU21" s="264"/>
      <c r="GV21" s="264"/>
      <c r="GX21" s="264"/>
      <c r="GY21" s="264"/>
      <c r="HA21" s="264"/>
      <c r="HB21" s="264"/>
      <c r="HD21" s="264"/>
      <c r="HE21" s="264"/>
      <c r="HG21" s="264"/>
      <c r="HH21" s="264"/>
      <c r="HJ21" s="264"/>
      <c r="HK21" s="264"/>
      <c r="HM21" s="264"/>
      <c r="HN21" s="264"/>
      <c r="HP21" s="264"/>
      <c r="HQ21" s="264"/>
      <c r="HS21" s="264"/>
      <c r="HT21" s="264"/>
      <c r="HV21" s="264"/>
      <c r="HW21" s="264"/>
      <c r="HY21" s="264"/>
      <c r="HZ21" s="264"/>
      <c r="IB21" s="264"/>
      <c r="IC21" s="264"/>
      <c r="IE21" s="264"/>
      <c r="IF21" s="264"/>
    </row>
    <row r="22" spans="1:240" ht="12" x14ac:dyDescent="0.25">
      <c r="A22" s="264"/>
      <c r="B22" s="330" t="s">
        <v>431</v>
      </c>
      <c r="C22" s="335" t="s">
        <v>520</v>
      </c>
      <c r="D22" s="334" t="s">
        <v>519</v>
      </c>
      <c r="E22" s="264"/>
      <c r="G22" s="265"/>
      <c r="J22" s="264"/>
      <c r="K22" s="264"/>
      <c r="M22" s="264"/>
      <c r="N22" s="264"/>
      <c r="P22" s="264"/>
      <c r="Q22" s="264"/>
      <c r="S22" s="264"/>
      <c r="T22" s="264"/>
      <c r="V22" s="264"/>
      <c r="W22" s="264"/>
      <c r="Y22" s="264"/>
      <c r="Z22" s="264"/>
      <c r="AB22" s="264"/>
      <c r="AC22" s="264"/>
      <c r="AE22" s="264"/>
      <c r="AF22" s="264"/>
      <c r="AG22" s="264"/>
      <c r="AI22" s="264"/>
      <c r="AJ22" s="264"/>
      <c r="AL22" s="264"/>
      <c r="AM22" s="264"/>
      <c r="AO22" s="264"/>
      <c r="AP22" s="264"/>
      <c r="AR22" s="264"/>
      <c r="AS22" s="264"/>
      <c r="AU22" s="264"/>
      <c r="AV22" s="264"/>
      <c r="AX22" s="264"/>
      <c r="AY22" s="264"/>
      <c r="BA22" s="264"/>
      <c r="BB22" s="264"/>
      <c r="BD22" s="264"/>
      <c r="BE22" s="264"/>
      <c r="BG22" s="264"/>
      <c r="BH22" s="264"/>
      <c r="BJ22" s="264"/>
      <c r="BK22" s="264"/>
      <c r="BM22" s="264"/>
      <c r="BN22" s="264"/>
      <c r="BP22" s="264"/>
      <c r="BQ22" s="264"/>
      <c r="BS22" s="264"/>
      <c r="BT22" s="264"/>
      <c r="BV22" s="264"/>
      <c r="BW22" s="264"/>
      <c r="BY22" s="264"/>
      <c r="BZ22" s="264"/>
      <c r="CB22" s="264"/>
      <c r="CC22" s="264"/>
      <c r="CE22" s="264"/>
      <c r="CF22" s="264"/>
      <c r="CH22" s="264"/>
      <c r="CI22" s="264"/>
      <c r="CK22" s="264"/>
      <c r="CL22" s="264"/>
      <c r="CN22" s="264"/>
      <c r="CO22" s="264"/>
      <c r="CQ22" s="264"/>
      <c r="CR22" s="264"/>
      <c r="CT22" s="264"/>
      <c r="CU22" s="264"/>
      <c r="CW22" s="264"/>
      <c r="CX22" s="264"/>
      <c r="CZ22" s="264"/>
      <c r="DA22" s="264"/>
      <c r="DC22" s="264"/>
      <c r="DD22" s="264"/>
      <c r="DF22" s="264"/>
      <c r="DG22" s="264"/>
      <c r="DI22" s="264"/>
      <c r="DJ22" s="264"/>
      <c r="DL22" s="264"/>
      <c r="DM22" s="264"/>
      <c r="DO22" s="264"/>
      <c r="DP22" s="264"/>
      <c r="DR22" s="264"/>
      <c r="DS22" s="264"/>
      <c r="DU22" s="264"/>
      <c r="DV22" s="264"/>
      <c r="DX22" s="264"/>
      <c r="DY22" s="264"/>
      <c r="EA22" s="264"/>
      <c r="EB22" s="252"/>
      <c r="ED22" s="264"/>
      <c r="EE22" s="264"/>
      <c r="EG22" s="264"/>
      <c r="EH22" s="264"/>
      <c r="EJ22" s="264"/>
      <c r="EK22" s="264"/>
      <c r="EM22" s="264"/>
      <c r="EN22" s="264"/>
      <c r="EP22" s="264"/>
      <c r="EQ22" s="264"/>
      <c r="ES22" s="264"/>
      <c r="ET22" s="264"/>
      <c r="EV22" s="264"/>
      <c r="EW22" s="264"/>
      <c r="EY22" s="264"/>
      <c r="EZ22" s="264"/>
      <c r="FB22" s="264"/>
      <c r="FC22" s="264"/>
      <c r="FE22" s="264"/>
      <c r="FF22" s="264"/>
      <c r="FH22" s="264"/>
      <c r="FI22" s="264"/>
      <c r="FK22" s="264"/>
      <c r="FL22" s="264"/>
      <c r="FN22" s="264"/>
      <c r="FO22" s="264"/>
      <c r="FQ22" s="264"/>
      <c r="FR22" s="264"/>
      <c r="FT22" s="264"/>
      <c r="FU22" s="264"/>
      <c r="FW22" s="264"/>
      <c r="FX22" s="264"/>
      <c r="FZ22" s="264"/>
      <c r="GA22" s="264"/>
      <c r="GC22" s="264"/>
      <c r="GD22" s="264"/>
      <c r="GF22" s="264"/>
      <c r="GG22" s="264"/>
      <c r="GI22" s="264"/>
      <c r="GJ22" s="264"/>
      <c r="GL22" s="264"/>
      <c r="GM22" s="264"/>
      <c r="GO22" s="264"/>
      <c r="GP22" s="264"/>
      <c r="GR22" s="264"/>
      <c r="GS22" s="264"/>
      <c r="GU22" s="264"/>
      <c r="GV22" s="264"/>
      <c r="GX22" s="264"/>
      <c r="GY22" s="264"/>
      <c r="HA22" s="264"/>
      <c r="HB22" s="264"/>
      <c r="HD22" s="264"/>
      <c r="HE22" s="264"/>
      <c r="HG22" s="264"/>
      <c r="HH22" s="264"/>
      <c r="HJ22" s="264"/>
      <c r="HK22" s="264"/>
      <c r="HM22" s="264"/>
      <c r="HN22" s="264"/>
      <c r="HP22" s="264"/>
      <c r="HQ22" s="264"/>
      <c r="HS22" s="264"/>
      <c r="HT22" s="264"/>
      <c r="HV22" s="264"/>
      <c r="HW22" s="264"/>
      <c r="HY22" s="264"/>
      <c r="HZ22" s="264"/>
      <c r="IB22" s="264"/>
      <c r="IC22" s="264"/>
      <c r="IE22" s="264"/>
      <c r="IF22" s="264"/>
    </row>
    <row r="23" spans="1:240" ht="12" x14ac:dyDescent="0.25">
      <c r="B23" s="330" t="s">
        <v>432</v>
      </c>
      <c r="C23" s="226" t="s">
        <v>506</v>
      </c>
      <c r="D23" s="260"/>
      <c r="E23" s="264"/>
      <c r="G23" s="265"/>
      <c r="J23" s="264"/>
      <c r="K23" s="264"/>
      <c r="M23" s="264"/>
      <c r="N23" s="264"/>
      <c r="P23" s="264"/>
      <c r="Q23" s="264"/>
      <c r="S23" s="264"/>
      <c r="T23" s="264"/>
      <c r="V23" s="264"/>
      <c r="W23" s="264"/>
      <c r="Y23" s="264"/>
      <c r="Z23" s="264"/>
      <c r="AB23" s="264"/>
      <c r="AC23" s="264"/>
      <c r="AE23" s="264"/>
      <c r="AF23" s="264"/>
      <c r="AG23" s="264"/>
      <c r="AI23" s="264"/>
      <c r="AJ23" s="264"/>
      <c r="AL23" s="264"/>
      <c r="AM23" s="264"/>
      <c r="AO23" s="264"/>
      <c r="AP23" s="264"/>
      <c r="AR23" s="264"/>
      <c r="AS23" s="264"/>
      <c r="AU23" s="264"/>
      <c r="AV23" s="264"/>
      <c r="AX23" s="264"/>
      <c r="AY23" s="264"/>
      <c r="BA23" s="264"/>
      <c r="BB23" s="264"/>
      <c r="BD23" s="264"/>
      <c r="BE23" s="264"/>
      <c r="BG23" s="264"/>
      <c r="BH23" s="264"/>
      <c r="BJ23" s="264"/>
      <c r="BK23" s="264"/>
      <c r="BM23" s="264"/>
      <c r="BN23" s="264"/>
      <c r="BP23" s="264"/>
      <c r="BQ23" s="264"/>
      <c r="BS23" s="264"/>
      <c r="BT23" s="264"/>
      <c r="BV23" s="264"/>
      <c r="BW23" s="264"/>
      <c r="BY23" s="264"/>
      <c r="BZ23" s="264"/>
      <c r="CB23" s="264"/>
      <c r="CC23" s="264"/>
      <c r="CE23" s="264"/>
      <c r="CF23" s="264"/>
      <c r="CH23" s="264"/>
      <c r="CI23" s="264"/>
      <c r="CK23" s="264"/>
      <c r="CL23" s="264"/>
      <c r="CN23" s="264"/>
      <c r="CO23" s="264"/>
      <c r="CQ23" s="264"/>
      <c r="CR23" s="264"/>
      <c r="CT23" s="264"/>
      <c r="CU23" s="264"/>
      <c r="CW23" s="264"/>
      <c r="CX23" s="264"/>
      <c r="CZ23" s="264"/>
      <c r="DA23" s="264"/>
      <c r="DC23" s="264"/>
      <c r="DD23" s="264"/>
      <c r="DF23" s="264"/>
      <c r="DG23" s="264"/>
      <c r="DI23" s="264"/>
      <c r="DJ23" s="264"/>
      <c r="DL23" s="264"/>
      <c r="DM23" s="264"/>
      <c r="DO23" s="264"/>
      <c r="DP23" s="264"/>
      <c r="DR23" s="264"/>
      <c r="DS23" s="264"/>
      <c r="DU23" s="264"/>
      <c r="DV23" s="264"/>
      <c r="DX23" s="264"/>
      <c r="DY23" s="264"/>
      <c r="EA23" s="264"/>
      <c r="EB23" s="252"/>
      <c r="ED23" s="264"/>
      <c r="EE23" s="264"/>
      <c r="EG23" s="264"/>
      <c r="EH23" s="264"/>
      <c r="EJ23" s="264"/>
      <c r="EK23" s="264"/>
      <c r="EM23" s="264"/>
      <c r="EN23" s="264"/>
      <c r="EP23" s="264"/>
      <c r="EQ23" s="264"/>
      <c r="ES23" s="264"/>
      <c r="ET23" s="264"/>
      <c r="EV23" s="264"/>
      <c r="EW23" s="264"/>
      <c r="EY23" s="264"/>
      <c r="EZ23" s="264"/>
      <c r="FB23" s="264"/>
      <c r="FC23" s="264"/>
      <c r="FE23" s="264"/>
      <c r="FF23" s="264"/>
      <c r="FH23" s="264"/>
      <c r="FI23" s="264"/>
      <c r="FK23" s="264"/>
      <c r="FL23" s="264"/>
      <c r="FN23" s="264"/>
      <c r="FO23" s="264"/>
      <c r="FQ23" s="264"/>
      <c r="FR23" s="264"/>
      <c r="FT23" s="264"/>
      <c r="FU23" s="264"/>
      <c r="FW23" s="264"/>
      <c r="FX23" s="264"/>
      <c r="FZ23" s="264"/>
      <c r="GA23" s="264"/>
      <c r="GC23" s="264"/>
      <c r="GD23" s="264"/>
      <c r="GF23" s="264"/>
      <c r="GG23" s="264"/>
      <c r="GI23" s="264"/>
      <c r="GJ23" s="264"/>
      <c r="GL23" s="264"/>
      <c r="GM23" s="264"/>
      <c r="GO23" s="264"/>
      <c r="GP23" s="264"/>
      <c r="GR23" s="264"/>
      <c r="GS23" s="264"/>
      <c r="GU23" s="264"/>
      <c r="GV23" s="264"/>
      <c r="GX23" s="264"/>
      <c r="GY23" s="264"/>
      <c r="HA23" s="264"/>
      <c r="HB23" s="264"/>
      <c r="HD23" s="264"/>
      <c r="HE23" s="264"/>
      <c r="HG23" s="264"/>
      <c r="HH23" s="264"/>
      <c r="HJ23" s="264"/>
      <c r="HK23" s="264"/>
      <c r="HM23" s="264"/>
      <c r="HN23" s="264"/>
      <c r="HP23" s="264"/>
      <c r="HQ23" s="264"/>
      <c r="HS23" s="264"/>
      <c r="HT23" s="264"/>
      <c r="HV23" s="264"/>
      <c r="HW23" s="264"/>
      <c r="HY23" s="264"/>
      <c r="HZ23" s="264"/>
      <c r="IB23" s="264"/>
      <c r="IC23" s="264"/>
      <c r="IE23" s="264"/>
      <c r="IF23" s="264"/>
    </row>
    <row r="24" spans="1:240" ht="12" x14ac:dyDescent="0.25">
      <c r="A24" s="264"/>
      <c r="B24" s="330" t="s">
        <v>433</v>
      </c>
      <c r="C24" s="226" t="s">
        <v>430</v>
      </c>
      <c r="D24" s="260"/>
      <c r="E24" s="264"/>
      <c r="G24" s="265"/>
      <c r="J24" s="264"/>
      <c r="K24" s="264"/>
      <c r="M24" s="264"/>
      <c r="N24" s="264"/>
      <c r="P24" s="264"/>
      <c r="Q24" s="264"/>
      <c r="S24" s="264"/>
      <c r="T24" s="264"/>
      <c r="V24" s="264"/>
      <c r="W24" s="264"/>
      <c r="Y24" s="264"/>
      <c r="Z24" s="264"/>
      <c r="AB24" s="264"/>
      <c r="AC24" s="264"/>
      <c r="AE24" s="264"/>
      <c r="AF24" s="264"/>
      <c r="AG24" s="264"/>
      <c r="AI24" s="264"/>
      <c r="AJ24" s="264"/>
      <c r="AL24" s="264"/>
      <c r="AM24" s="264"/>
      <c r="AO24" s="264"/>
      <c r="AP24" s="264"/>
      <c r="AR24" s="264"/>
      <c r="AS24" s="264"/>
      <c r="AU24" s="264"/>
      <c r="AV24" s="264"/>
      <c r="AX24" s="264"/>
      <c r="AY24" s="264"/>
      <c r="BA24" s="264"/>
      <c r="BB24" s="264"/>
      <c r="BD24" s="264"/>
      <c r="BE24" s="264"/>
      <c r="BG24" s="264"/>
      <c r="BH24" s="264"/>
      <c r="BJ24" s="264"/>
      <c r="BK24" s="264"/>
      <c r="BM24" s="264"/>
      <c r="BN24" s="264"/>
      <c r="BP24" s="264"/>
      <c r="BQ24" s="264"/>
      <c r="BS24" s="264"/>
      <c r="BT24" s="264"/>
      <c r="BV24" s="264"/>
      <c r="BW24" s="264"/>
      <c r="BY24" s="264"/>
      <c r="BZ24" s="264"/>
      <c r="CB24" s="264"/>
      <c r="CC24" s="264"/>
      <c r="CE24" s="264"/>
      <c r="CF24" s="264"/>
      <c r="CH24" s="264"/>
      <c r="CI24" s="264"/>
      <c r="CK24" s="264"/>
      <c r="CL24" s="264"/>
      <c r="CN24" s="264"/>
      <c r="CO24" s="264"/>
      <c r="CQ24" s="264"/>
      <c r="CR24" s="264"/>
      <c r="CT24" s="264"/>
      <c r="CU24" s="264"/>
      <c r="CW24" s="264"/>
      <c r="CX24" s="264"/>
      <c r="CZ24" s="264"/>
      <c r="DA24" s="264"/>
      <c r="DC24" s="264"/>
      <c r="DD24" s="264"/>
      <c r="DF24" s="264"/>
      <c r="DG24" s="264"/>
      <c r="DI24" s="264"/>
      <c r="DJ24" s="264"/>
      <c r="DL24" s="264"/>
      <c r="DM24" s="264"/>
      <c r="DO24" s="264"/>
      <c r="DP24" s="264"/>
      <c r="DR24" s="264"/>
      <c r="DS24" s="264"/>
      <c r="DU24" s="264"/>
      <c r="DV24" s="264"/>
      <c r="DX24" s="264"/>
      <c r="DY24" s="264"/>
      <c r="EA24" s="264"/>
      <c r="EB24" s="252"/>
      <c r="ED24" s="264"/>
      <c r="EE24" s="264"/>
      <c r="EG24" s="264"/>
      <c r="EH24" s="264"/>
      <c r="EJ24" s="264"/>
      <c r="EK24" s="264"/>
      <c r="EM24" s="264"/>
      <c r="EN24" s="264"/>
      <c r="EP24" s="264"/>
      <c r="EQ24" s="264"/>
      <c r="ES24" s="264"/>
      <c r="ET24" s="264"/>
      <c r="EV24" s="264"/>
      <c r="EW24" s="264"/>
      <c r="EY24" s="264"/>
      <c r="EZ24" s="264"/>
      <c r="FB24" s="264"/>
      <c r="FC24" s="264"/>
      <c r="FE24" s="264"/>
      <c r="FF24" s="264"/>
      <c r="FH24" s="264"/>
      <c r="FI24" s="264"/>
      <c r="FK24" s="264"/>
      <c r="FL24" s="264"/>
      <c r="FN24" s="264"/>
      <c r="FO24" s="264"/>
      <c r="FQ24" s="264"/>
      <c r="FR24" s="264"/>
      <c r="FT24" s="264"/>
      <c r="FU24" s="264"/>
      <c r="FW24" s="264"/>
      <c r="FX24" s="264"/>
      <c r="FZ24" s="264"/>
      <c r="GA24" s="264"/>
      <c r="GC24" s="264"/>
      <c r="GD24" s="264"/>
      <c r="GF24" s="264"/>
      <c r="GG24" s="264"/>
      <c r="GI24" s="264"/>
      <c r="GJ24" s="264"/>
      <c r="GL24" s="264"/>
      <c r="GM24" s="264"/>
      <c r="GO24" s="264"/>
      <c r="GP24" s="264"/>
      <c r="GR24" s="264"/>
      <c r="GS24" s="264"/>
      <c r="GU24" s="264"/>
      <c r="GV24" s="264"/>
      <c r="GX24" s="264"/>
      <c r="GY24" s="264"/>
      <c r="HA24" s="264"/>
      <c r="HB24" s="264"/>
      <c r="HD24" s="264"/>
      <c r="HE24" s="264"/>
      <c r="HG24" s="264"/>
      <c r="HH24" s="264"/>
      <c r="HJ24" s="264"/>
      <c r="HK24" s="264"/>
      <c r="HM24" s="264"/>
      <c r="HN24" s="264"/>
      <c r="HP24" s="264"/>
      <c r="HQ24" s="264"/>
      <c r="HS24" s="264"/>
      <c r="HT24" s="264"/>
      <c r="HV24" s="264"/>
      <c r="HW24" s="264"/>
      <c r="HY24" s="264"/>
      <c r="HZ24" s="264"/>
      <c r="IB24" s="264"/>
      <c r="IC24" s="264"/>
      <c r="IE24" s="264"/>
      <c r="IF24" s="264"/>
    </row>
    <row r="25" spans="1:240" ht="12" x14ac:dyDescent="0.25">
      <c r="A25" s="264"/>
      <c r="B25" s="330" t="s">
        <v>620</v>
      </c>
      <c r="C25" s="403" t="s">
        <v>521</v>
      </c>
      <c r="D25" s="334" t="s">
        <v>626</v>
      </c>
      <c r="E25" s="264"/>
      <c r="G25" s="265"/>
      <c r="J25" s="264"/>
      <c r="K25" s="264"/>
      <c r="M25" s="264"/>
      <c r="N25" s="264"/>
      <c r="P25" s="264"/>
      <c r="Q25" s="264"/>
      <c r="S25" s="264"/>
      <c r="T25" s="264"/>
      <c r="V25" s="264"/>
      <c r="W25" s="264"/>
      <c r="Y25" s="264"/>
      <c r="Z25" s="264"/>
      <c r="AB25" s="264"/>
      <c r="AC25" s="264"/>
      <c r="AE25" s="264"/>
      <c r="AF25" s="264"/>
      <c r="AG25" s="264"/>
      <c r="AI25" s="264"/>
      <c r="AJ25" s="264"/>
      <c r="AL25" s="264"/>
      <c r="AM25" s="264"/>
      <c r="AO25" s="264"/>
      <c r="AP25" s="264"/>
      <c r="AR25" s="264"/>
      <c r="AS25" s="264"/>
      <c r="AU25" s="264"/>
      <c r="AV25" s="264"/>
      <c r="AX25" s="264"/>
      <c r="AY25" s="264"/>
      <c r="BA25" s="264"/>
      <c r="BB25" s="264"/>
      <c r="BD25" s="264"/>
      <c r="BE25" s="264"/>
      <c r="BG25" s="264"/>
      <c r="BH25" s="264"/>
      <c r="BJ25" s="264"/>
      <c r="BK25" s="264"/>
      <c r="BM25" s="264"/>
      <c r="BN25" s="264"/>
      <c r="BP25" s="264"/>
      <c r="BQ25" s="264"/>
      <c r="BS25" s="264"/>
      <c r="BT25" s="264"/>
      <c r="BV25" s="264"/>
      <c r="BW25" s="264"/>
      <c r="BY25" s="264"/>
      <c r="BZ25" s="264"/>
      <c r="CB25" s="264"/>
      <c r="CC25" s="264"/>
      <c r="CE25" s="264"/>
      <c r="CF25" s="264"/>
      <c r="CH25" s="264"/>
      <c r="CI25" s="264"/>
      <c r="CK25" s="264"/>
      <c r="CL25" s="264"/>
      <c r="CN25" s="264"/>
      <c r="CO25" s="264"/>
      <c r="CQ25" s="264"/>
      <c r="CR25" s="264"/>
      <c r="CT25" s="264"/>
      <c r="CU25" s="264"/>
      <c r="CW25" s="264"/>
      <c r="CX25" s="264"/>
      <c r="CZ25" s="264"/>
      <c r="DA25" s="264"/>
      <c r="DC25" s="264"/>
      <c r="DD25" s="264"/>
      <c r="DF25" s="264"/>
      <c r="DG25" s="264"/>
      <c r="DI25" s="264"/>
      <c r="DJ25" s="264"/>
      <c r="DL25" s="264"/>
      <c r="DM25" s="264"/>
      <c r="DO25" s="264"/>
      <c r="DP25" s="264"/>
      <c r="DR25" s="264"/>
      <c r="DS25" s="264"/>
      <c r="DU25" s="264"/>
      <c r="DV25" s="264"/>
      <c r="DX25" s="264"/>
      <c r="DY25" s="264"/>
      <c r="EA25" s="264"/>
      <c r="EB25" s="252"/>
      <c r="ED25" s="264"/>
      <c r="EE25" s="264"/>
      <c r="EG25" s="264"/>
      <c r="EH25" s="264"/>
      <c r="EJ25" s="264"/>
      <c r="EK25" s="264"/>
      <c r="EM25" s="264"/>
      <c r="EN25" s="264"/>
      <c r="EP25" s="264"/>
      <c r="EQ25" s="264"/>
      <c r="ES25" s="264"/>
      <c r="ET25" s="264"/>
      <c r="EV25" s="264"/>
      <c r="EW25" s="264"/>
      <c r="EY25" s="264"/>
      <c r="EZ25" s="264"/>
      <c r="FB25" s="264"/>
      <c r="FC25" s="264"/>
      <c r="FE25" s="264"/>
      <c r="FF25" s="264"/>
      <c r="FH25" s="264"/>
      <c r="FI25" s="264"/>
      <c r="FK25" s="264"/>
      <c r="FL25" s="264"/>
      <c r="FN25" s="264"/>
      <c r="FO25" s="264"/>
      <c r="FQ25" s="264"/>
      <c r="FR25" s="264"/>
      <c r="FT25" s="264"/>
      <c r="FU25" s="264"/>
      <c r="FW25" s="264"/>
      <c r="FX25" s="264"/>
      <c r="FZ25" s="264"/>
      <c r="GA25" s="264"/>
      <c r="GC25" s="264"/>
      <c r="GD25" s="264"/>
      <c r="GF25" s="264"/>
      <c r="GG25" s="264"/>
      <c r="GI25" s="264"/>
      <c r="GJ25" s="264"/>
      <c r="GL25" s="264"/>
      <c r="GM25" s="264"/>
      <c r="GO25" s="264"/>
      <c r="GP25" s="264"/>
      <c r="GR25" s="264"/>
      <c r="GS25" s="264"/>
      <c r="GU25" s="264"/>
      <c r="GV25" s="264"/>
      <c r="GX25" s="264"/>
      <c r="GY25" s="264"/>
      <c r="HA25" s="264"/>
      <c r="HB25" s="264"/>
      <c r="HD25" s="264"/>
      <c r="HE25" s="264"/>
      <c r="HG25" s="264"/>
      <c r="HH25" s="264"/>
      <c r="HJ25" s="264"/>
      <c r="HK25" s="264"/>
      <c r="HM25" s="264"/>
      <c r="HN25" s="264"/>
      <c r="HP25" s="264"/>
      <c r="HQ25" s="264"/>
      <c r="HS25" s="264"/>
      <c r="HT25" s="264"/>
      <c r="HV25" s="264"/>
      <c r="HW25" s="264"/>
      <c r="HY25" s="264"/>
      <c r="HZ25" s="264"/>
      <c r="IB25" s="264"/>
      <c r="IC25" s="264"/>
      <c r="IE25" s="264"/>
      <c r="IF25" s="264"/>
    </row>
    <row r="26" spans="1:240" ht="12" x14ac:dyDescent="0.25">
      <c r="A26" s="264"/>
      <c r="B26" s="330" t="s">
        <v>499</v>
      </c>
      <c r="C26" s="226" t="s">
        <v>596</v>
      </c>
      <c r="D26" s="260"/>
      <c r="E26" s="264"/>
      <c r="G26" s="265"/>
      <c r="J26" s="264"/>
      <c r="K26" s="264"/>
      <c r="M26" s="264"/>
      <c r="N26" s="264"/>
      <c r="P26" s="264"/>
      <c r="Q26" s="264"/>
      <c r="S26" s="264"/>
      <c r="T26" s="264"/>
      <c r="V26" s="264"/>
      <c r="W26" s="264"/>
      <c r="Y26" s="264"/>
      <c r="Z26" s="264"/>
      <c r="AB26" s="264"/>
      <c r="AC26" s="264"/>
      <c r="AE26" s="264"/>
      <c r="AF26" s="264"/>
      <c r="AG26" s="264"/>
      <c r="AI26" s="264"/>
      <c r="AJ26" s="264"/>
      <c r="AL26" s="264"/>
      <c r="AM26" s="264"/>
      <c r="AO26" s="264"/>
      <c r="AP26" s="264"/>
      <c r="AR26" s="264"/>
      <c r="AS26" s="264"/>
      <c r="AU26" s="264"/>
      <c r="AV26" s="264"/>
      <c r="AX26" s="264"/>
      <c r="AY26" s="264"/>
      <c r="BA26" s="264"/>
      <c r="BB26" s="264"/>
      <c r="BD26" s="264"/>
      <c r="BE26" s="264"/>
      <c r="BG26" s="264"/>
      <c r="BH26" s="264"/>
      <c r="BJ26" s="264"/>
      <c r="BK26" s="264"/>
      <c r="BM26" s="264"/>
      <c r="BN26" s="264"/>
      <c r="BP26" s="264"/>
      <c r="BQ26" s="264"/>
      <c r="BS26" s="264"/>
      <c r="BT26" s="264"/>
      <c r="BV26" s="264"/>
      <c r="BW26" s="264"/>
      <c r="BY26" s="264"/>
      <c r="BZ26" s="264"/>
      <c r="CB26" s="264"/>
      <c r="CC26" s="264"/>
      <c r="CE26" s="264"/>
      <c r="CF26" s="264"/>
      <c r="CH26" s="264"/>
      <c r="CI26" s="264"/>
      <c r="CK26" s="264"/>
      <c r="CL26" s="264"/>
      <c r="CN26" s="264"/>
      <c r="CO26" s="264"/>
      <c r="CQ26" s="264"/>
      <c r="CR26" s="264"/>
      <c r="CT26" s="264"/>
      <c r="CU26" s="264"/>
      <c r="CW26" s="264"/>
      <c r="CX26" s="264"/>
      <c r="CZ26" s="264"/>
      <c r="DA26" s="264"/>
      <c r="DC26" s="264"/>
      <c r="DD26" s="264"/>
      <c r="DF26" s="264"/>
      <c r="DG26" s="264"/>
      <c r="DI26" s="264"/>
      <c r="DJ26" s="264"/>
      <c r="DL26" s="264"/>
      <c r="DM26" s="264"/>
      <c r="DO26" s="264"/>
      <c r="DP26" s="264"/>
      <c r="DR26" s="264"/>
      <c r="DS26" s="264"/>
      <c r="DU26" s="264"/>
      <c r="DV26" s="264"/>
      <c r="DX26" s="264"/>
      <c r="DY26" s="264"/>
      <c r="EA26" s="264"/>
      <c r="EB26" s="252"/>
      <c r="ED26" s="264"/>
      <c r="EE26" s="264"/>
      <c r="EG26" s="264"/>
      <c r="EH26" s="264"/>
      <c r="EJ26" s="264"/>
      <c r="EK26" s="264"/>
      <c r="EM26" s="264"/>
      <c r="EN26" s="264"/>
      <c r="EP26" s="264"/>
      <c r="EQ26" s="264"/>
      <c r="ES26" s="264"/>
      <c r="ET26" s="264"/>
      <c r="EV26" s="264"/>
      <c r="EW26" s="264"/>
      <c r="EY26" s="264"/>
      <c r="EZ26" s="264"/>
      <c r="FB26" s="264"/>
      <c r="FC26" s="264"/>
      <c r="FE26" s="264"/>
      <c r="FF26" s="264"/>
      <c r="FH26" s="264"/>
      <c r="FI26" s="264"/>
      <c r="FK26" s="264"/>
      <c r="FL26" s="264"/>
      <c r="FN26" s="264"/>
      <c r="FO26" s="264"/>
      <c r="FQ26" s="264"/>
      <c r="FR26" s="264"/>
      <c r="FT26" s="264"/>
      <c r="FU26" s="264"/>
      <c r="FW26" s="264"/>
      <c r="FX26" s="264"/>
      <c r="FZ26" s="264"/>
      <c r="GA26" s="264"/>
      <c r="GC26" s="264"/>
      <c r="GD26" s="264"/>
      <c r="GF26" s="264"/>
      <c r="GG26" s="264"/>
      <c r="GI26" s="264"/>
      <c r="GJ26" s="264"/>
      <c r="GL26" s="264"/>
      <c r="GM26" s="264"/>
      <c r="GO26" s="264"/>
      <c r="GP26" s="264"/>
      <c r="GR26" s="264"/>
      <c r="GS26" s="264"/>
      <c r="GU26" s="264"/>
      <c r="GV26" s="264"/>
      <c r="GX26" s="264"/>
      <c r="GY26" s="264"/>
      <c r="HA26" s="264"/>
      <c r="HB26" s="264"/>
      <c r="HD26" s="264"/>
      <c r="HE26" s="264"/>
      <c r="HG26" s="264"/>
      <c r="HH26" s="264"/>
      <c r="HJ26" s="264"/>
      <c r="HK26" s="264"/>
      <c r="HM26" s="264"/>
      <c r="HN26" s="264"/>
      <c r="HP26" s="264"/>
      <c r="HQ26" s="264"/>
      <c r="HS26" s="264"/>
      <c r="HT26" s="264"/>
      <c r="HV26" s="264"/>
      <c r="HW26" s="264"/>
      <c r="HY26" s="264"/>
      <c r="HZ26" s="264"/>
      <c r="IB26" s="264"/>
      <c r="IC26" s="264"/>
      <c r="IE26" s="264"/>
      <c r="IF26" s="264"/>
    </row>
    <row r="27" spans="1:240" ht="12" x14ac:dyDescent="0.25">
      <c r="A27" s="264"/>
      <c r="B27" s="330" t="s">
        <v>434</v>
      </c>
      <c r="C27" s="336" t="s">
        <v>623</v>
      </c>
      <c r="D27" s="334" t="s">
        <v>523</v>
      </c>
      <c r="E27" s="264"/>
      <c r="G27" s="265"/>
      <c r="J27" s="264"/>
      <c r="K27" s="264"/>
      <c r="M27" s="264"/>
      <c r="N27" s="264"/>
      <c r="P27" s="264"/>
      <c r="Q27" s="264"/>
      <c r="S27" s="264"/>
      <c r="T27" s="264"/>
      <c r="V27" s="264"/>
      <c r="W27" s="264"/>
      <c r="Y27" s="264"/>
      <c r="Z27" s="264"/>
      <c r="AB27" s="264"/>
      <c r="AC27" s="264"/>
      <c r="AE27" s="264"/>
      <c r="AF27" s="264"/>
      <c r="AG27" s="264"/>
      <c r="AI27" s="264"/>
      <c r="AJ27" s="264"/>
      <c r="AL27" s="264"/>
      <c r="AM27" s="264"/>
      <c r="AO27" s="264"/>
      <c r="AP27" s="264"/>
      <c r="AR27" s="264"/>
      <c r="AS27" s="264"/>
      <c r="AU27" s="264"/>
      <c r="AV27" s="264"/>
      <c r="AX27" s="264"/>
      <c r="AY27" s="264"/>
      <c r="BA27" s="264"/>
      <c r="BB27" s="264"/>
      <c r="BD27" s="264"/>
      <c r="BE27" s="264"/>
      <c r="BG27" s="264"/>
      <c r="BH27" s="264"/>
      <c r="BJ27" s="264"/>
      <c r="BK27" s="264"/>
      <c r="BM27" s="264"/>
      <c r="BN27" s="264"/>
      <c r="BP27" s="264"/>
      <c r="BQ27" s="264"/>
      <c r="BS27" s="264"/>
      <c r="BT27" s="264"/>
      <c r="BV27" s="264"/>
      <c r="BW27" s="264"/>
      <c r="BY27" s="264"/>
      <c r="BZ27" s="264"/>
      <c r="CB27" s="264"/>
      <c r="CC27" s="264"/>
      <c r="CE27" s="264"/>
      <c r="CF27" s="264"/>
      <c r="CH27" s="264"/>
      <c r="CI27" s="264"/>
      <c r="CK27" s="264"/>
      <c r="CL27" s="264"/>
      <c r="CN27" s="264"/>
      <c r="CO27" s="264"/>
      <c r="CQ27" s="264"/>
      <c r="CR27" s="264"/>
      <c r="CT27" s="264"/>
      <c r="CU27" s="264"/>
      <c r="CW27" s="264"/>
      <c r="CX27" s="264"/>
      <c r="CZ27" s="264"/>
      <c r="DA27" s="264"/>
      <c r="DC27" s="264"/>
      <c r="DD27" s="264"/>
      <c r="DF27" s="264"/>
      <c r="DG27" s="264"/>
      <c r="DI27" s="264"/>
      <c r="DJ27" s="264"/>
      <c r="DL27" s="264"/>
      <c r="DM27" s="264"/>
      <c r="DO27" s="264"/>
      <c r="DP27" s="264"/>
      <c r="DR27" s="264"/>
      <c r="DS27" s="264"/>
      <c r="DU27" s="264"/>
      <c r="DV27" s="264"/>
      <c r="DX27" s="264"/>
      <c r="DY27" s="264"/>
      <c r="EA27" s="264"/>
      <c r="EB27" s="252"/>
      <c r="ED27" s="264"/>
      <c r="EE27" s="264"/>
      <c r="EG27" s="264"/>
      <c r="EH27" s="264"/>
      <c r="EJ27" s="264"/>
      <c r="EK27" s="264"/>
      <c r="EM27" s="264"/>
      <c r="EN27" s="264"/>
      <c r="EP27" s="264"/>
      <c r="EQ27" s="264"/>
      <c r="ES27" s="264"/>
      <c r="ET27" s="264"/>
      <c r="EV27" s="264"/>
      <c r="EW27" s="264"/>
      <c r="EY27" s="264"/>
      <c r="EZ27" s="264"/>
      <c r="FB27" s="264"/>
      <c r="FC27" s="264"/>
      <c r="FE27" s="264"/>
      <c r="FF27" s="264"/>
      <c r="FH27" s="264"/>
      <c r="FI27" s="264"/>
      <c r="FK27" s="264"/>
      <c r="FL27" s="264"/>
      <c r="FN27" s="264"/>
      <c r="FO27" s="264"/>
      <c r="FQ27" s="264"/>
      <c r="FR27" s="264"/>
      <c r="FT27" s="264"/>
      <c r="FU27" s="264"/>
      <c r="FW27" s="264"/>
      <c r="FX27" s="264"/>
      <c r="FZ27" s="264"/>
      <c r="GA27" s="264"/>
      <c r="GC27" s="264"/>
      <c r="GD27" s="264"/>
      <c r="GF27" s="264"/>
      <c r="GG27" s="264"/>
      <c r="GI27" s="264"/>
      <c r="GJ27" s="264"/>
      <c r="GL27" s="264"/>
      <c r="GM27" s="264"/>
      <c r="GO27" s="264"/>
      <c r="GP27" s="264"/>
      <c r="GR27" s="264"/>
      <c r="GS27" s="264"/>
      <c r="GU27" s="264"/>
      <c r="GV27" s="264"/>
      <c r="GX27" s="264"/>
      <c r="GY27" s="264"/>
      <c r="HA27" s="264"/>
      <c r="HB27" s="264"/>
      <c r="HD27" s="264"/>
      <c r="HE27" s="264"/>
      <c r="HG27" s="264"/>
      <c r="HH27" s="264"/>
      <c r="HJ27" s="264"/>
      <c r="HK27" s="264"/>
      <c r="HM27" s="264"/>
      <c r="HN27" s="264"/>
      <c r="HP27" s="264"/>
      <c r="HQ27" s="264"/>
      <c r="HS27" s="264"/>
      <c r="HT27" s="264"/>
      <c r="HV27" s="264"/>
      <c r="HW27" s="264"/>
      <c r="HY27" s="264"/>
      <c r="HZ27" s="264"/>
      <c r="IB27" s="264"/>
      <c r="IC27" s="264"/>
      <c r="IE27" s="264"/>
      <c r="IF27" s="264"/>
    </row>
    <row r="28" spans="1:240" ht="12" x14ac:dyDescent="0.25">
      <c r="A28" s="264"/>
      <c r="B28" s="330" t="s">
        <v>501</v>
      </c>
      <c r="C28" s="226" t="s">
        <v>431</v>
      </c>
      <c r="D28" s="260"/>
      <c r="E28" s="264"/>
      <c r="G28" s="265"/>
      <c r="J28" s="264"/>
      <c r="K28" s="264"/>
      <c r="M28" s="264"/>
      <c r="N28" s="264"/>
      <c r="P28" s="264"/>
      <c r="Q28" s="264"/>
      <c r="S28" s="264"/>
      <c r="T28" s="264"/>
      <c r="V28" s="264"/>
      <c r="W28" s="264"/>
      <c r="Y28" s="264"/>
      <c r="Z28" s="264"/>
      <c r="AB28" s="264"/>
      <c r="AC28" s="264"/>
      <c r="AE28" s="264"/>
      <c r="AF28" s="264"/>
      <c r="AG28" s="264"/>
      <c r="AI28" s="264"/>
      <c r="AJ28" s="264"/>
      <c r="AL28" s="264"/>
      <c r="AM28" s="264"/>
      <c r="AO28" s="264"/>
      <c r="AP28" s="264"/>
      <c r="AR28" s="264"/>
      <c r="AS28" s="264"/>
      <c r="AU28" s="264"/>
      <c r="AV28" s="264"/>
      <c r="AX28" s="264"/>
      <c r="AY28" s="264"/>
      <c r="BA28" s="264"/>
      <c r="BB28" s="264"/>
      <c r="BD28" s="264"/>
      <c r="BE28" s="264"/>
      <c r="BG28" s="264"/>
      <c r="BH28" s="264"/>
      <c r="BJ28" s="264"/>
      <c r="BK28" s="264"/>
      <c r="BM28" s="264"/>
      <c r="BN28" s="264"/>
      <c r="BP28" s="264"/>
      <c r="BQ28" s="264"/>
      <c r="BS28" s="264"/>
      <c r="BT28" s="264"/>
      <c r="BV28" s="264"/>
      <c r="BW28" s="264"/>
      <c r="BY28" s="264"/>
      <c r="BZ28" s="264"/>
      <c r="CB28" s="264"/>
      <c r="CC28" s="264"/>
      <c r="CE28" s="264"/>
      <c r="CF28" s="264"/>
      <c r="CH28" s="264"/>
      <c r="CI28" s="264"/>
      <c r="CK28" s="264"/>
      <c r="CL28" s="264"/>
      <c r="CN28" s="264"/>
      <c r="CO28" s="264"/>
      <c r="CQ28" s="264"/>
      <c r="CR28" s="264"/>
      <c r="CT28" s="264"/>
      <c r="CU28" s="264"/>
      <c r="CW28" s="264"/>
      <c r="CX28" s="264"/>
      <c r="CZ28" s="264"/>
      <c r="DA28" s="264"/>
      <c r="DC28" s="264"/>
      <c r="DD28" s="264"/>
      <c r="DF28" s="264"/>
      <c r="DG28" s="264"/>
      <c r="DI28" s="264"/>
      <c r="DJ28" s="264"/>
      <c r="DL28" s="264"/>
      <c r="DM28" s="264"/>
      <c r="DO28" s="264"/>
      <c r="DP28" s="264"/>
      <c r="DR28" s="264"/>
      <c r="DS28" s="264"/>
      <c r="DU28" s="264"/>
      <c r="DV28" s="264"/>
      <c r="DX28" s="264"/>
      <c r="DY28" s="264"/>
      <c r="EA28" s="264"/>
      <c r="EB28" s="252"/>
      <c r="ED28" s="264"/>
      <c r="EE28" s="264"/>
      <c r="EG28" s="264"/>
      <c r="EH28" s="264"/>
      <c r="EJ28" s="264"/>
      <c r="EK28" s="264"/>
      <c r="EM28" s="264"/>
      <c r="EN28" s="264"/>
      <c r="EP28" s="264"/>
      <c r="EQ28" s="264"/>
      <c r="ES28" s="264"/>
      <c r="ET28" s="264"/>
      <c r="EV28" s="264"/>
      <c r="EW28" s="264"/>
      <c r="EY28" s="264"/>
      <c r="EZ28" s="264"/>
      <c r="FB28" s="264"/>
      <c r="FC28" s="264"/>
      <c r="FE28" s="264"/>
      <c r="FF28" s="264"/>
      <c r="FH28" s="264"/>
      <c r="FI28" s="264"/>
      <c r="FK28" s="264"/>
      <c r="FL28" s="264"/>
      <c r="FN28" s="264"/>
      <c r="FO28" s="264"/>
      <c r="FQ28" s="264"/>
      <c r="FR28" s="264"/>
      <c r="FT28" s="264"/>
      <c r="FU28" s="264"/>
      <c r="FW28" s="264"/>
      <c r="FX28" s="264"/>
      <c r="FZ28" s="264"/>
      <c r="GA28" s="264"/>
      <c r="GC28" s="264"/>
      <c r="GD28" s="264"/>
      <c r="GF28" s="264"/>
      <c r="GG28" s="264"/>
      <c r="GI28" s="264"/>
      <c r="GJ28" s="264"/>
      <c r="GL28" s="264"/>
      <c r="GM28" s="264"/>
      <c r="GO28" s="264"/>
      <c r="GP28" s="264"/>
      <c r="GR28" s="264"/>
      <c r="GS28" s="264"/>
      <c r="GU28" s="264"/>
      <c r="GV28" s="264"/>
      <c r="GX28" s="264"/>
      <c r="GY28" s="264"/>
      <c r="HA28" s="264"/>
      <c r="HB28" s="264"/>
      <c r="HD28" s="264"/>
      <c r="HE28" s="264"/>
      <c r="HG28" s="264"/>
      <c r="HH28" s="264"/>
      <c r="HJ28" s="264"/>
      <c r="HK28" s="264"/>
      <c r="HM28" s="264"/>
      <c r="HN28" s="264"/>
      <c r="HP28" s="264"/>
      <c r="HQ28" s="264"/>
      <c r="HS28" s="264"/>
      <c r="HT28" s="264"/>
      <c r="HV28" s="264"/>
      <c r="HW28" s="264"/>
      <c r="HY28" s="264"/>
      <c r="HZ28" s="264"/>
      <c r="IB28" s="264"/>
      <c r="IC28" s="264"/>
      <c r="IE28" s="264"/>
      <c r="IF28" s="264"/>
    </row>
    <row r="29" spans="1:240" ht="12" x14ac:dyDescent="0.25">
      <c r="A29" s="264"/>
      <c r="B29" s="330" t="s">
        <v>435</v>
      </c>
      <c r="C29" s="335" t="s">
        <v>497</v>
      </c>
      <c r="D29" s="334" t="s">
        <v>519</v>
      </c>
      <c r="E29" s="264"/>
      <c r="G29" s="265"/>
      <c r="J29" s="264"/>
      <c r="K29" s="264"/>
      <c r="M29" s="264"/>
      <c r="N29" s="264"/>
      <c r="P29" s="264"/>
      <c r="Q29" s="264"/>
      <c r="S29" s="264"/>
      <c r="T29" s="264"/>
      <c r="V29" s="264"/>
      <c r="W29" s="264"/>
      <c r="Y29" s="264"/>
      <c r="Z29" s="264"/>
      <c r="AB29" s="264"/>
      <c r="AC29" s="264"/>
      <c r="AE29" s="264"/>
      <c r="AF29" s="264"/>
      <c r="AG29" s="264"/>
      <c r="AI29" s="264"/>
      <c r="AJ29" s="264"/>
      <c r="AL29" s="264"/>
      <c r="AM29" s="264"/>
      <c r="AO29" s="264"/>
      <c r="AP29" s="264"/>
      <c r="AR29" s="264"/>
      <c r="AS29" s="264"/>
      <c r="AU29" s="264"/>
      <c r="AV29" s="264"/>
      <c r="AX29" s="264"/>
      <c r="AY29" s="264"/>
      <c r="BA29" s="264"/>
      <c r="BB29" s="264"/>
      <c r="BD29" s="264"/>
      <c r="BE29" s="264"/>
      <c r="BG29" s="264"/>
      <c r="BH29" s="264"/>
      <c r="BJ29" s="264"/>
      <c r="BK29" s="264"/>
      <c r="BM29" s="264"/>
      <c r="BN29" s="264"/>
      <c r="BP29" s="264"/>
      <c r="BQ29" s="264"/>
      <c r="BS29" s="264"/>
      <c r="BT29" s="264"/>
      <c r="BV29" s="264"/>
      <c r="BW29" s="264"/>
      <c r="BY29" s="264"/>
      <c r="BZ29" s="264"/>
      <c r="CB29" s="264"/>
      <c r="CC29" s="264"/>
      <c r="CE29" s="264"/>
      <c r="CF29" s="264"/>
      <c r="CH29" s="264"/>
      <c r="CI29" s="264"/>
      <c r="CK29" s="264"/>
      <c r="CL29" s="264"/>
      <c r="CN29" s="264"/>
      <c r="CO29" s="264"/>
      <c r="CQ29" s="264"/>
      <c r="CR29" s="264"/>
      <c r="CT29" s="264"/>
      <c r="CU29" s="264"/>
      <c r="CW29" s="264"/>
      <c r="CX29" s="264"/>
      <c r="CZ29" s="264"/>
      <c r="DA29" s="264"/>
      <c r="DC29" s="264"/>
      <c r="DD29" s="264"/>
      <c r="DF29" s="264"/>
      <c r="DG29" s="264"/>
      <c r="DI29" s="264"/>
      <c r="DJ29" s="264"/>
      <c r="DL29" s="264"/>
      <c r="DM29" s="264"/>
      <c r="DO29" s="264"/>
      <c r="DP29" s="264"/>
      <c r="DR29" s="264"/>
      <c r="DS29" s="264"/>
      <c r="DU29" s="264"/>
      <c r="DV29" s="264"/>
      <c r="DX29" s="264"/>
      <c r="DY29" s="264"/>
      <c r="EA29" s="264"/>
      <c r="EB29" s="252"/>
      <c r="ED29" s="264"/>
      <c r="EE29" s="264"/>
      <c r="EG29" s="264"/>
      <c r="EH29" s="264"/>
      <c r="EJ29" s="264"/>
      <c r="EK29" s="264"/>
      <c r="EM29" s="264"/>
      <c r="EN29" s="264"/>
      <c r="EP29" s="264"/>
      <c r="EQ29" s="264"/>
      <c r="ES29" s="264"/>
      <c r="ET29" s="264"/>
      <c r="EV29" s="264"/>
      <c r="EW29" s="264"/>
      <c r="EY29" s="264"/>
      <c r="EZ29" s="264"/>
      <c r="FB29" s="264"/>
      <c r="FC29" s="264"/>
      <c r="FE29" s="264"/>
      <c r="FF29" s="264"/>
      <c r="FH29" s="264"/>
      <c r="FI29" s="264"/>
      <c r="FK29" s="264"/>
      <c r="FL29" s="264"/>
      <c r="FN29" s="264"/>
      <c r="FO29" s="264"/>
      <c r="FQ29" s="264"/>
      <c r="FR29" s="264"/>
      <c r="FT29" s="264"/>
      <c r="FU29" s="264"/>
      <c r="FW29" s="264"/>
      <c r="FX29" s="264"/>
      <c r="FZ29" s="264"/>
      <c r="GA29" s="264"/>
      <c r="GC29" s="264"/>
      <c r="GD29" s="264"/>
      <c r="GF29" s="264"/>
      <c r="GG29" s="264"/>
      <c r="GI29" s="264"/>
      <c r="GJ29" s="264"/>
      <c r="GL29" s="264"/>
      <c r="GM29" s="264"/>
      <c r="GO29" s="264"/>
      <c r="GP29" s="264"/>
      <c r="GR29" s="264"/>
      <c r="GS29" s="264"/>
      <c r="GU29" s="264"/>
      <c r="GV29" s="264"/>
      <c r="GX29" s="264"/>
      <c r="GY29" s="264"/>
      <c r="HA29" s="264"/>
      <c r="HB29" s="264"/>
      <c r="HD29" s="264"/>
      <c r="HE29" s="264"/>
      <c r="HG29" s="264"/>
      <c r="HH29" s="264"/>
      <c r="HJ29" s="264"/>
      <c r="HK29" s="264"/>
      <c r="HM29" s="264"/>
      <c r="HN29" s="264"/>
      <c r="HP29" s="264"/>
      <c r="HQ29" s="264"/>
      <c r="HS29" s="264"/>
      <c r="HT29" s="264"/>
      <c r="HV29" s="264"/>
      <c r="HW29" s="264"/>
      <c r="HY29" s="264"/>
      <c r="HZ29" s="264"/>
      <c r="IB29" s="264"/>
      <c r="IC29" s="264"/>
      <c r="IE29" s="264"/>
      <c r="IF29" s="264"/>
    </row>
    <row r="30" spans="1:240" ht="12" x14ac:dyDescent="0.25">
      <c r="A30" s="264"/>
      <c r="B30" s="330" t="s">
        <v>436</v>
      </c>
      <c r="C30" s="226" t="s">
        <v>432</v>
      </c>
      <c r="D30" s="260"/>
      <c r="E30" s="264"/>
      <c r="G30" s="265"/>
      <c r="J30" s="264"/>
      <c r="K30" s="264"/>
      <c r="M30" s="264"/>
      <c r="N30" s="264"/>
      <c r="P30" s="264"/>
      <c r="Q30" s="264"/>
      <c r="S30" s="264"/>
      <c r="T30" s="264"/>
      <c r="V30" s="264"/>
      <c r="W30" s="264"/>
      <c r="Y30" s="264"/>
      <c r="Z30" s="264"/>
      <c r="AB30" s="264"/>
      <c r="AC30" s="264"/>
      <c r="AE30" s="264"/>
      <c r="AF30" s="264"/>
      <c r="AG30" s="264"/>
      <c r="AI30" s="264"/>
      <c r="AJ30" s="264"/>
      <c r="AL30" s="264"/>
      <c r="AM30" s="264"/>
      <c r="AO30" s="264"/>
      <c r="AP30" s="264"/>
      <c r="AR30" s="264"/>
      <c r="AS30" s="264"/>
      <c r="AU30" s="264"/>
      <c r="AV30" s="264"/>
      <c r="AX30" s="264"/>
      <c r="AY30" s="264"/>
      <c r="BA30" s="264"/>
      <c r="BB30" s="264"/>
      <c r="BD30" s="264"/>
      <c r="BE30" s="264"/>
      <c r="BG30" s="264"/>
      <c r="BH30" s="264"/>
      <c r="BJ30" s="264"/>
      <c r="BK30" s="264"/>
      <c r="BM30" s="264"/>
      <c r="BN30" s="264"/>
      <c r="BP30" s="264"/>
      <c r="BQ30" s="264"/>
      <c r="BS30" s="264"/>
      <c r="BT30" s="264"/>
      <c r="BV30" s="264"/>
      <c r="BW30" s="264"/>
      <c r="BY30" s="264"/>
      <c r="BZ30" s="264"/>
      <c r="CB30" s="264"/>
      <c r="CC30" s="264"/>
      <c r="CE30" s="264"/>
      <c r="CF30" s="264"/>
      <c r="CH30" s="264"/>
      <c r="CI30" s="264"/>
      <c r="CK30" s="264"/>
      <c r="CL30" s="264"/>
      <c r="CN30" s="264"/>
      <c r="CO30" s="264"/>
      <c r="CQ30" s="264"/>
      <c r="CR30" s="264"/>
      <c r="CT30" s="264"/>
      <c r="CU30" s="264"/>
      <c r="CW30" s="264"/>
      <c r="CX30" s="264"/>
      <c r="CZ30" s="264"/>
      <c r="DA30" s="264"/>
      <c r="DC30" s="264"/>
      <c r="DD30" s="264"/>
      <c r="DF30" s="264"/>
      <c r="DG30" s="264"/>
      <c r="DI30" s="264"/>
      <c r="DJ30" s="264"/>
      <c r="DL30" s="264"/>
      <c r="DM30" s="264"/>
      <c r="DO30" s="264"/>
      <c r="DP30" s="264"/>
      <c r="DR30" s="264"/>
      <c r="DS30" s="264"/>
      <c r="DU30" s="264"/>
      <c r="DV30" s="264"/>
      <c r="DX30" s="264"/>
      <c r="DY30" s="264"/>
      <c r="EA30" s="264"/>
      <c r="EB30" s="252"/>
      <c r="ED30" s="264"/>
      <c r="EE30" s="264"/>
      <c r="EG30" s="264"/>
      <c r="EH30" s="264"/>
      <c r="EJ30" s="264"/>
      <c r="EK30" s="264"/>
      <c r="EM30" s="264"/>
      <c r="EN30" s="264"/>
      <c r="EP30" s="264"/>
      <c r="EQ30" s="264"/>
      <c r="ES30" s="264"/>
      <c r="ET30" s="264"/>
      <c r="EV30" s="264"/>
      <c r="EW30" s="264"/>
      <c r="EY30" s="264"/>
      <c r="EZ30" s="264"/>
      <c r="FB30" s="264"/>
      <c r="FC30" s="264"/>
      <c r="FE30" s="264"/>
      <c r="FF30" s="264"/>
      <c r="FH30" s="264"/>
      <c r="FI30" s="264"/>
      <c r="FK30" s="264"/>
      <c r="FL30" s="264"/>
      <c r="FN30" s="264"/>
      <c r="FO30" s="264"/>
      <c r="FQ30" s="264"/>
      <c r="FR30" s="264"/>
      <c r="FT30" s="264"/>
      <c r="FU30" s="264"/>
      <c r="FW30" s="264"/>
      <c r="FX30" s="264"/>
      <c r="FZ30" s="264"/>
      <c r="GA30" s="264"/>
      <c r="GC30" s="264"/>
      <c r="GD30" s="264"/>
      <c r="GF30" s="264"/>
      <c r="GG30" s="264"/>
      <c r="GI30" s="264"/>
      <c r="GJ30" s="264"/>
      <c r="GL30" s="264"/>
      <c r="GM30" s="264"/>
      <c r="GO30" s="264"/>
      <c r="GP30" s="264"/>
      <c r="GR30" s="264"/>
      <c r="GS30" s="264"/>
      <c r="GU30" s="264"/>
      <c r="GV30" s="264"/>
      <c r="GX30" s="264"/>
      <c r="GY30" s="264"/>
      <c r="HA30" s="264"/>
      <c r="HB30" s="264"/>
      <c r="HD30" s="264"/>
      <c r="HE30" s="264"/>
      <c r="HG30" s="264"/>
      <c r="HH30" s="264"/>
      <c r="HJ30" s="264"/>
      <c r="HK30" s="264"/>
      <c r="HM30" s="264"/>
      <c r="HN30" s="264"/>
      <c r="HP30" s="264"/>
      <c r="HQ30" s="264"/>
      <c r="HS30" s="264"/>
      <c r="HT30" s="264"/>
      <c r="HV30" s="264"/>
      <c r="HW30" s="264"/>
      <c r="HY30" s="264"/>
      <c r="HZ30" s="264"/>
      <c r="IB30" s="264"/>
      <c r="IC30" s="264"/>
      <c r="IE30" s="264"/>
      <c r="IF30" s="264"/>
    </row>
    <row r="31" spans="1:240" ht="12" x14ac:dyDescent="0.25">
      <c r="A31" s="264"/>
      <c r="B31" s="330" t="s">
        <v>437</v>
      </c>
      <c r="C31" s="226" t="s">
        <v>433</v>
      </c>
      <c r="D31" s="260"/>
      <c r="E31" s="264"/>
      <c r="G31" s="265"/>
      <c r="J31" s="264"/>
      <c r="K31" s="264"/>
      <c r="M31" s="264"/>
      <c r="N31" s="264"/>
      <c r="P31" s="264"/>
      <c r="Q31" s="264"/>
      <c r="S31" s="264"/>
      <c r="T31" s="264"/>
      <c r="V31" s="264"/>
      <c r="W31" s="264"/>
      <c r="Y31" s="264"/>
      <c r="Z31" s="264"/>
      <c r="AB31" s="264"/>
      <c r="AC31" s="264"/>
      <c r="AE31" s="264"/>
      <c r="AF31" s="264"/>
      <c r="AG31" s="264"/>
      <c r="AI31" s="264"/>
      <c r="AJ31" s="264"/>
      <c r="AL31" s="264"/>
      <c r="AM31" s="264"/>
      <c r="AO31" s="264"/>
      <c r="AP31" s="264"/>
      <c r="AR31" s="264"/>
      <c r="AS31" s="264"/>
      <c r="AU31" s="264"/>
      <c r="AV31" s="264"/>
      <c r="AX31" s="264"/>
      <c r="AY31" s="264"/>
      <c r="BA31" s="264"/>
      <c r="BB31" s="264"/>
      <c r="BD31" s="264"/>
      <c r="BE31" s="264"/>
      <c r="BG31" s="264"/>
      <c r="BH31" s="264"/>
      <c r="BJ31" s="264"/>
      <c r="BK31" s="264"/>
      <c r="BM31" s="264"/>
      <c r="BN31" s="264"/>
      <c r="BP31" s="264"/>
      <c r="BQ31" s="264"/>
      <c r="BS31" s="264"/>
      <c r="BT31" s="264"/>
      <c r="BV31" s="264"/>
      <c r="BW31" s="264"/>
      <c r="BY31" s="264"/>
      <c r="BZ31" s="264"/>
      <c r="CB31" s="264"/>
      <c r="CC31" s="264"/>
      <c r="CE31" s="264"/>
      <c r="CF31" s="264"/>
      <c r="CH31" s="264"/>
      <c r="CI31" s="264"/>
      <c r="CK31" s="264"/>
      <c r="CL31" s="264"/>
      <c r="CN31" s="264"/>
      <c r="CO31" s="264"/>
      <c r="CQ31" s="264"/>
      <c r="CR31" s="264"/>
      <c r="CT31" s="264"/>
      <c r="CU31" s="264"/>
      <c r="CW31" s="264"/>
      <c r="CX31" s="264"/>
      <c r="CZ31" s="264"/>
      <c r="DA31" s="264"/>
      <c r="DC31" s="264"/>
      <c r="DD31" s="264"/>
      <c r="DF31" s="264"/>
      <c r="DG31" s="264"/>
      <c r="DI31" s="264"/>
      <c r="DJ31" s="264"/>
      <c r="DL31" s="264"/>
      <c r="DM31" s="264"/>
      <c r="DO31" s="264"/>
      <c r="DP31" s="264"/>
      <c r="DR31" s="264"/>
      <c r="DS31" s="264"/>
      <c r="DU31" s="264"/>
      <c r="DV31" s="264"/>
      <c r="DX31" s="264"/>
      <c r="DY31" s="264"/>
      <c r="EA31" s="264"/>
      <c r="EB31" s="252"/>
      <c r="ED31" s="264"/>
      <c r="EE31" s="264"/>
      <c r="EG31" s="264"/>
      <c r="EH31" s="264"/>
      <c r="EJ31" s="264"/>
      <c r="EK31" s="264"/>
      <c r="EM31" s="264"/>
      <c r="EN31" s="264"/>
      <c r="EP31" s="264"/>
      <c r="EQ31" s="264"/>
      <c r="ES31" s="264"/>
      <c r="ET31" s="264"/>
      <c r="EV31" s="264"/>
      <c r="EW31" s="264"/>
      <c r="EY31" s="264"/>
      <c r="EZ31" s="264"/>
      <c r="FB31" s="264"/>
      <c r="FC31" s="264"/>
      <c r="FE31" s="264"/>
      <c r="FF31" s="264"/>
      <c r="FH31" s="264"/>
      <c r="FI31" s="264"/>
      <c r="FK31" s="264"/>
      <c r="FL31" s="264"/>
      <c r="FN31" s="264"/>
      <c r="FO31" s="264"/>
      <c r="FQ31" s="264"/>
      <c r="FR31" s="264"/>
      <c r="FT31" s="264"/>
      <c r="FU31" s="264"/>
      <c r="FW31" s="264"/>
      <c r="FX31" s="264"/>
      <c r="FZ31" s="264"/>
      <c r="GA31" s="264"/>
      <c r="GC31" s="264"/>
      <c r="GD31" s="264"/>
      <c r="GF31" s="264"/>
      <c r="GG31" s="264"/>
      <c r="GI31" s="264"/>
      <c r="GJ31" s="264"/>
      <c r="GL31" s="264"/>
      <c r="GM31" s="264"/>
      <c r="GO31" s="264"/>
      <c r="GP31" s="264"/>
      <c r="GR31" s="264"/>
      <c r="GS31" s="264"/>
      <c r="GU31" s="264"/>
      <c r="GV31" s="264"/>
      <c r="GX31" s="264"/>
      <c r="GY31" s="264"/>
      <c r="HA31" s="264"/>
      <c r="HB31" s="264"/>
      <c r="HD31" s="264"/>
      <c r="HE31" s="264"/>
      <c r="HG31" s="264"/>
      <c r="HH31" s="264"/>
      <c r="HJ31" s="264"/>
      <c r="HK31" s="264"/>
      <c r="HM31" s="264"/>
      <c r="HN31" s="264"/>
      <c r="HP31" s="264"/>
      <c r="HQ31" s="264"/>
      <c r="HS31" s="264"/>
      <c r="HT31" s="264"/>
      <c r="HV31" s="264"/>
      <c r="HW31" s="264"/>
      <c r="HY31" s="264"/>
      <c r="HZ31" s="264"/>
      <c r="IB31" s="264"/>
      <c r="IC31" s="264"/>
      <c r="IE31" s="264"/>
      <c r="IF31" s="264"/>
    </row>
    <row r="32" spans="1:240" ht="12" x14ac:dyDescent="0.25">
      <c r="A32" s="264"/>
      <c r="B32" s="330" t="s">
        <v>438</v>
      </c>
      <c r="C32" s="226" t="s">
        <v>620</v>
      </c>
      <c r="D32" s="260"/>
      <c r="E32" s="264"/>
      <c r="G32" s="265"/>
      <c r="J32" s="264"/>
      <c r="K32" s="264"/>
      <c r="M32" s="264"/>
      <c r="N32" s="264"/>
      <c r="P32" s="264"/>
      <c r="Q32" s="264"/>
      <c r="S32" s="264"/>
      <c r="T32" s="264"/>
      <c r="V32" s="264"/>
      <c r="W32" s="264"/>
      <c r="Y32" s="264"/>
      <c r="Z32" s="264"/>
      <c r="AB32" s="264"/>
      <c r="AC32" s="264"/>
      <c r="AE32" s="264"/>
      <c r="AF32" s="264"/>
      <c r="AG32" s="264"/>
      <c r="AI32" s="264"/>
      <c r="AJ32" s="264"/>
      <c r="AL32" s="264"/>
      <c r="AM32" s="264"/>
      <c r="AO32" s="264"/>
      <c r="AP32" s="264"/>
      <c r="AR32" s="264"/>
      <c r="AS32" s="264"/>
      <c r="AU32" s="264"/>
      <c r="AV32" s="264"/>
      <c r="AX32" s="264"/>
      <c r="AY32" s="264"/>
      <c r="BA32" s="264"/>
      <c r="BB32" s="264"/>
      <c r="BD32" s="264"/>
      <c r="BE32" s="264"/>
      <c r="BG32" s="264"/>
      <c r="BH32" s="264"/>
      <c r="BJ32" s="264"/>
      <c r="BK32" s="264"/>
      <c r="BM32" s="264"/>
      <c r="BN32" s="264"/>
      <c r="BP32" s="264"/>
      <c r="BQ32" s="264"/>
      <c r="BS32" s="264"/>
      <c r="BT32" s="264"/>
      <c r="BV32" s="264"/>
      <c r="BW32" s="264"/>
      <c r="BY32" s="264"/>
      <c r="BZ32" s="264"/>
      <c r="CB32" s="264"/>
      <c r="CC32" s="264"/>
      <c r="CE32" s="264"/>
      <c r="CF32" s="264"/>
      <c r="CH32" s="264"/>
      <c r="CI32" s="264"/>
      <c r="CK32" s="264"/>
      <c r="CL32" s="264"/>
      <c r="CN32" s="264"/>
      <c r="CO32" s="264"/>
      <c r="CQ32" s="264"/>
      <c r="CR32" s="264"/>
      <c r="CT32" s="264"/>
      <c r="CU32" s="264"/>
      <c r="CW32" s="264"/>
      <c r="CX32" s="264"/>
      <c r="CZ32" s="264"/>
      <c r="DA32" s="264"/>
      <c r="DC32" s="264"/>
      <c r="DD32" s="264"/>
      <c r="DF32" s="264"/>
      <c r="DG32" s="264"/>
      <c r="DI32" s="264"/>
      <c r="DJ32" s="264"/>
      <c r="DL32" s="264"/>
      <c r="DM32" s="264"/>
      <c r="DO32" s="264"/>
      <c r="DP32" s="264"/>
      <c r="DR32" s="264"/>
      <c r="DS32" s="264"/>
      <c r="DU32" s="264"/>
      <c r="DV32" s="264"/>
      <c r="DX32" s="264"/>
      <c r="DY32" s="264"/>
      <c r="EA32" s="264"/>
      <c r="EB32" s="252"/>
      <c r="ED32" s="264"/>
      <c r="EE32" s="264"/>
      <c r="EG32" s="264"/>
      <c r="EH32" s="264"/>
      <c r="EJ32" s="264"/>
      <c r="EK32" s="264"/>
      <c r="EM32" s="264"/>
      <c r="EN32" s="264"/>
      <c r="EP32" s="264"/>
      <c r="EQ32" s="264"/>
      <c r="ES32" s="264"/>
      <c r="ET32" s="264"/>
      <c r="EV32" s="264"/>
      <c r="EW32" s="264"/>
      <c r="EY32" s="264"/>
      <c r="EZ32" s="264"/>
      <c r="FB32" s="264"/>
      <c r="FC32" s="264"/>
      <c r="FE32" s="264"/>
      <c r="FF32" s="264"/>
      <c r="FH32" s="264"/>
      <c r="FI32" s="264"/>
      <c r="FK32" s="264"/>
      <c r="FL32" s="264"/>
      <c r="FN32" s="264"/>
      <c r="FO32" s="264"/>
      <c r="FQ32" s="264"/>
      <c r="FR32" s="264"/>
      <c r="FT32" s="264"/>
      <c r="FU32" s="264"/>
      <c r="FW32" s="264"/>
      <c r="FX32" s="264"/>
      <c r="FZ32" s="264"/>
      <c r="GA32" s="264"/>
      <c r="GC32" s="264"/>
      <c r="GD32" s="264"/>
      <c r="GF32" s="264"/>
      <c r="GG32" s="264"/>
      <c r="GI32" s="264"/>
      <c r="GJ32" s="264"/>
      <c r="GL32" s="264"/>
      <c r="GM32" s="264"/>
      <c r="GO32" s="264"/>
      <c r="GP32" s="264"/>
      <c r="GR32" s="264"/>
      <c r="GS32" s="264"/>
      <c r="GU32" s="264"/>
      <c r="GV32" s="264"/>
      <c r="GX32" s="264"/>
      <c r="GY32" s="264"/>
      <c r="HA32" s="264"/>
      <c r="HB32" s="264"/>
      <c r="HD32" s="264"/>
      <c r="HE32" s="264"/>
      <c r="HG32" s="264"/>
      <c r="HH32" s="264"/>
      <c r="HJ32" s="264"/>
      <c r="HK32" s="264"/>
      <c r="HM32" s="264"/>
      <c r="HN32" s="264"/>
      <c r="HP32" s="264"/>
      <c r="HQ32" s="264"/>
      <c r="HS32" s="264"/>
      <c r="HT32" s="264"/>
      <c r="HV32" s="264"/>
      <c r="HW32" s="264"/>
      <c r="HY32" s="264"/>
      <c r="HZ32" s="264"/>
      <c r="IB32" s="264"/>
      <c r="IC32" s="264"/>
      <c r="IE32" s="264"/>
      <c r="IF32" s="264"/>
    </row>
    <row r="33" spans="1:240" ht="12" x14ac:dyDescent="0.25">
      <c r="A33" s="264"/>
      <c r="B33" s="330" t="s">
        <v>500</v>
      </c>
      <c r="C33" s="226" t="s">
        <v>499</v>
      </c>
      <c r="D33" s="260"/>
      <c r="E33" s="264"/>
      <c r="G33" s="265"/>
      <c r="J33" s="264"/>
      <c r="K33" s="264"/>
      <c r="M33" s="264"/>
      <c r="N33" s="264"/>
      <c r="P33" s="264"/>
      <c r="Q33" s="264"/>
      <c r="S33" s="264"/>
      <c r="T33" s="264"/>
      <c r="V33" s="264"/>
      <c r="W33" s="264"/>
      <c r="Y33" s="264"/>
      <c r="Z33" s="264"/>
      <c r="AB33" s="264"/>
      <c r="AC33" s="264"/>
      <c r="AE33" s="264"/>
      <c r="AF33" s="264"/>
      <c r="AG33" s="264"/>
      <c r="AI33" s="264"/>
      <c r="AJ33" s="264"/>
      <c r="AL33" s="264"/>
      <c r="AM33" s="264"/>
      <c r="AO33" s="264"/>
      <c r="AP33" s="264"/>
      <c r="AR33" s="264"/>
      <c r="AS33" s="264"/>
      <c r="AU33" s="264"/>
      <c r="AV33" s="264"/>
      <c r="AX33" s="264"/>
      <c r="AY33" s="264"/>
      <c r="BA33" s="264"/>
      <c r="BB33" s="264"/>
      <c r="BD33" s="264"/>
      <c r="BE33" s="264"/>
      <c r="BG33" s="264"/>
      <c r="BH33" s="264"/>
      <c r="BJ33" s="264"/>
      <c r="BK33" s="264"/>
      <c r="BM33" s="264"/>
      <c r="BN33" s="264"/>
      <c r="BP33" s="264"/>
      <c r="BQ33" s="264"/>
      <c r="BS33" s="264"/>
      <c r="BT33" s="264"/>
      <c r="BV33" s="264"/>
      <c r="BW33" s="264"/>
      <c r="BY33" s="264"/>
      <c r="BZ33" s="264"/>
      <c r="CB33" s="264"/>
      <c r="CC33" s="264"/>
      <c r="CE33" s="264"/>
      <c r="CF33" s="264"/>
      <c r="CH33" s="264"/>
      <c r="CI33" s="264"/>
      <c r="CK33" s="264"/>
      <c r="CL33" s="264"/>
      <c r="CN33" s="264"/>
      <c r="CO33" s="264"/>
      <c r="CQ33" s="264"/>
      <c r="CR33" s="264"/>
      <c r="CT33" s="264"/>
      <c r="CU33" s="264"/>
      <c r="CW33" s="264"/>
      <c r="CX33" s="264"/>
      <c r="CZ33" s="264"/>
      <c r="DA33" s="264"/>
      <c r="DC33" s="264"/>
      <c r="DD33" s="264"/>
      <c r="DF33" s="264"/>
      <c r="DG33" s="264"/>
      <c r="DI33" s="264"/>
      <c r="DJ33" s="264"/>
      <c r="DL33" s="264"/>
      <c r="DM33" s="264"/>
      <c r="DO33" s="264"/>
      <c r="DP33" s="264"/>
      <c r="DR33" s="264"/>
      <c r="DS33" s="264"/>
      <c r="DU33" s="264"/>
      <c r="DV33" s="264"/>
      <c r="DX33" s="264"/>
      <c r="DY33" s="264"/>
      <c r="EA33" s="264"/>
      <c r="EB33" s="252"/>
      <c r="ED33" s="264"/>
      <c r="EE33" s="264"/>
      <c r="EG33" s="264"/>
      <c r="EH33" s="264"/>
      <c r="EJ33" s="264"/>
      <c r="EK33" s="264"/>
      <c r="EM33" s="264"/>
      <c r="EN33" s="264"/>
      <c r="EP33" s="264"/>
      <c r="EQ33" s="264"/>
      <c r="ES33" s="264"/>
      <c r="ET33" s="264"/>
      <c r="EV33" s="264"/>
      <c r="EW33" s="264"/>
      <c r="EY33" s="264"/>
      <c r="EZ33" s="264"/>
      <c r="FB33" s="264"/>
      <c r="FC33" s="264"/>
      <c r="FE33" s="264"/>
      <c r="FF33" s="264"/>
      <c r="FH33" s="264"/>
      <c r="FI33" s="264"/>
      <c r="FK33" s="264"/>
      <c r="FL33" s="264"/>
      <c r="FN33" s="264"/>
      <c r="FO33" s="264"/>
      <c r="FQ33" s="264"/>
      <c r="FR33" s="264"/>
      <c r="FT33" s="264"/>
      <c r="FU33" s="264"/>
      <c r="FW33" s="264"/>
      <c r="FX33" s="264"/>
      <c r="FZ33" s="264"/>
      <c r="GA33" s="264"/>
      <c r="GC33" s="264"/>
      <c r="GD33" s="264"/>
      <c r="GF33" s="264"/>
      <c r="GG33" s="264"/>
      <c r="GI33" s="264"/>
      <c r="GJ33" s="264"/>
      <c r="GL33" s="264"/>
      <c r="GM33" s="264"/>
      <c r="GO33" s="264"/>
      <c r="GP33" s="264"/>
      <c r="GR33" s="264"/>
      <c r="GS33" s="264"/>
      <c r="GU33" s="264"/>
      <c r="GV33" s="264"/>
      <c r="GX33" s="264"/>
      <c r="GY33" s="264"/>
      <c r="HA33" s="264"/>
      <c r="HB33" s="264"/>
      <c r="HD33" s="264"/>
      <c r="HE33" s="264"/>
      <c r="HG33" s="264"/>
      <c r="HH33" s="264"/>
      <c r="HJ33" s="264"/>
      <c r="HK33" s="264"/>
      <c r="HM33" s="264"/>
      <c r="HN33" s="264"/>
      <c r="HP33" s="264"/>
      <c r="HQ33" s="264"/>
      <c r="HS33" s="264"/>
      <c r="HT33" s="264"/>
      <c r="HV33" s="264"/>
      <c r="HW33" s="264"/>
      <c r="HY33" s="264"/>
      <c r="HZ33" s="264"/>
      <c r="IB33" s="264"/>
      <c r="IC33" s="264"/>
      <c r="IE33" s="264"/>
      <c r="IF33" s="264"/>
    </row>
    <row r="34" spans="1:240" ht="12" x14ac:dyDescent="0.25">
      <c r="A34" s="264"/>
      <c r="B34" s="330" t="s">
        <v>439</v>
      </c>
      <c r="C34" s="336" t="s">
        <v>624</v>
      </c>
      <c r="D34" s="334" t="s">
        <v>523</v>
      </c>
      <c r="E34" s="264"/>
      <c r="G34" s="265"/>
      <c r="J34" s="264"/>
      <c r="K34" s="264"/>
      <c r="M34" s="264"/>
      <c r="N34" s="264"/>
      <c r="P34" s="264"/>
      <c r="Q34" s="264"/>
      <c r="S34" s="264"/>
      <c r="T34" s="264"/>
      <c r="V34" s="264"/>
      <c r="W34" s="264"/>
      <c r="Y34" s="264"/>
      <c r="Z34" s="264"/>
      <c r="AB34" s="264"/>
      <c r="AC34" s="264"/>
      <c r="AE34" s="264"/>
      <c r="AF34" s="264"/>
      <c r="AG34" s="264"/>
      <c r="AI34" s="264"/>
      <c r="AJ34" s="264"/>
      <c r="AL34" s="264"/>
      <c r="AM34" s="264"/>
      <c r="AO34" s="264"/>
      <c r="AP34" s="264"/>
      <c r="AR34" s="264"/>
      <c r="AS34" s="264"/>
      <c r="AU34" s="264"/>
      <c r="AV34" s="264"/>
      <c r="AX34" s="264"/>
      <c r="AY34" s="264"/>
      <c r="BA34" s="264"/>
      <c r="BB34" s="264"/>
      <c r="BD34" s="264"/>
      <c r="BE34" s="264"/>
      <c r="BG34" s="264"/>
      <c r="BH34" s="264"/>
      <c r="BJ34" s="264"/>
      <c r="BK34" s="264"/>
      <c r="BM34" s="264"/>
      <c r="BN34" s="264"/>
      <c r="BP34" s="264"/>
      <c r="BQ34" s="264"/>
      <c r="BS34" s="264"/>
      <c r="BT34" s="264"/>
      <c r="BV34" s="264"/>
      <c r="BW34" s="264"/>
      <c r="BY34" s="264"/>
      <c r="BZ34" s="264"/>
      <c r="CB34" s="264"/>
      <c r="CC34" s="264"/>
      <c r="CE34" s="264"/>
      <c r="CF34" s="264"/>
      <c r="CH34" s="264"/>
      <c r="CI34" s="264"/>
      <c r="CK34" s="264"/>
      <c r="CL34" s="264"/>
      <c r="CN34" s="264"/>
      <c r="CO34" s="264"/>
      <c r="CQ34" s="264"/>
      <c r="CR34" s="264"/>
      <c r="CT34" s="264"/>
      <c r="CU34" s="264"/>
      <c r="CW34" s="264"/>
      <c r="CX34" s="264"/>
      <c r="CZ34" s="264"/>
      <c r="DA34" s="264"/>
      <c r="DC34" s="264"/>
      <c r="DD34" s="264"/>
      <c r="DF34" s="264"/>
      <c r="DG34" s="264"/>
      <c r="DI34" s="264"/>
      <c r="DJ34" s="264"/>
      <c r="DL34" s="264"/>
      <c r="DM34" s="264"/>
      <c r="DO34" s="264"/>
      <c r="DP34" s="264"/>
      <c r="DR34" s="264"/>
      <c r="DS34" s="264"/>
      <c r="DU34" s="264"/>
      <c r="DV34" s="264"/>
      <c r="DX34" s="264"/>
      <c r="DY34" s="264"/>
      <c r="EA34" s="264"/>
      <c r="EB34" s="252"/>
      <c r="ED34" s="264"/>
      <c r="EE34" s="264"/>
      <c r="EG34" s="264"/>
      <c r="EH34" s="264"/>
      <c r="EJ34" s="264"/>
      <c r="EK34" s="264"/>
      <c r="EM34" s="264"/>
      <c r="EN34" s="264"/>
      <c r="EP34" s="264"/>
      <c r="EQ34" s="264"/>
      <c r="ES34" s="264"/>
      <c r="ET34" s="264"/>
      <c r="EV34" s="264"/>
      <c r="EW34" s="264"/>
      <c r="EY34" s="264"/>
      <c r="EZ34" s="264"/>
      <c r="FB34" s="264"/>
      <c r="FC34" s="264"/>
      <c r="FE34" s="264"/>
      <c r="FF34" s="264"/>
      <c r="FH34" s="264"/>
      <c r="FI34" s="264"/>
      <c r="FK34" s="264"/>
      <c r="FL34" s="264"/>
      <c r="FN34" s="264"/>
      <c r="FO34" s="264"/>
      <c r="FQ34" s="264"/>
      <c r="FR34" s="264"/>
      <c r="FT34" s="264"/>
      <c r="FU34" s="264"/>
      <c r="FW34" s="264"/>
      <c r="FX34" s="264"/>
      <c r="FZ34" s="264"/>
      <c r="GA34" s="264"/>
      <c r="GC34" s="264"/>
      <c r="GD34" s="264"/>
      <c r="GF34" s="264"/>
      <c r="GG34" s="264"/>
      <c r="GI34" s="264"/>
      <c r="GJ34" s="264"/>
      <c r="GL34" s="264"/>
      <c r="GM34" s="264"/>
      <c r="GO34" s="264"/>
      <c r="GP34" s="264"/>
      <c r="GR34" s="264"/>
      <c r="GS34" s="264"/>
      <c r="GU34" s="264"/>
      <c r="GV34" s="264"/>
      <c r="GX34" s="264"/>
      <c r="GY34" s="264"/>
      <c r="HA34" s="264"/>
      <c r="HB34" s="264"/>
      <c r="HD34" s="264"/>
      <c r="HE34" s="264"/>
      <c r="HG34" s="264"/>
      <c r="HH34" s="264"/>
      <c r="HJ34" s="264"/>
      <c r="HK34" s="264"/>
      <c r="HM34" s="264"/>
      <c r="HN34" s="264"/>
      <c r="HP34" s="264"/>
      <c r="HQ34" s="264"/>
      <c r="HS34" s="264"/>
      <c r="HT34" s="264"/>
      <c r="HV34" s="264"/>
      <c r="HW34" s="264"/>
      <c r="HY34" s="264"/>
      <c r="HZ34" s="264"/>
      <c r="IB34" s="264"/>
      <c r="IC34" s="264"/>
      <c r="IE34" s="264"/>
      <c r="IF34" s="264"/>
    </row>
    <row r="35" spans="1:240" ht="12" x14ac:dyDescent="0.25">
      <c r="A35" s="264"/>
      <c r="B35" s="330" t="s">
        <v>498</v>
      </c>
      <c r="C35" s="226" t="s">
        <v>434</v>
      </c>
      <c r="D35" s="260"/>
      <c r="E35" s="264"/>
      <c r="G35" s="265"/>
      <c r="J35" s="264"/>
      <c r="K35" s="264"/>
      <c r="M35" s="264"/>
      <c r="N35" s="264"/>
      <c r="P35" s="264"/>
      <c r="Q35" s="264"/>
      <c r="S35" s="264"/>
      <c r="T35" s="264"/>
      <c r="V35" s="264"/>
      <c r="W35" s="264"/>
      <c r="Y35" s="264"/>
      <c r="Z35" s="264"/>
      <c r="AB35" s="264"/>
      <c r="AC35" s="264"/>
      <c r="AE35" s="264"/>
      <c r="AF35" s="264"/>
      <c r="AG35" s="264"/>
      <c r="AI35" s="264"/>
      <c r="AJ35" s="264"/>
      <c r="AL35" s="264"/>
      <c r="AM35" s="264"/>
      <c r="AO35" s="264"/>
      <c r="AP35" s="264"/>
      <c r="AR35" s="264"/>
      <c r="AS35" s="264"/>
      <c r="AU35" s="264"/>
      <c r="AV35" s="264"/>
      <c r="AX35" s="264"/>
      <c r="AY35" s="264"/>
      <c r="BA35" s="264"/>
      <c r="BB35" s="264"/>
      <c r="BD35" s="264"/>
      <c r="BE35" s="264"/>
      <c r="BG35" s="264"/>
      <c r="BH35" s="264"/>
      <c r="BJ35" s="264"/>
      <c r="BK35" s="264"/>
      <c r="BM35" s="264"/>
      <c r="BN35" s="264"/>
      <c r="BP35" s="264"/>
      <c r="BQ35" s="264"/>
      <c r="BS35" s="264"/>
      <c r="BT35" s="264"/>
      <c r="BV35" s="264"/>
      <c r="BW35" s="264"/>
      <c r="BY35" s="264"/>
      <c r="BZ35" s="264"/>
      <c r="CB35" s="264"/>
      <c r="CC35" s="264"/>
      <c r="CE35" s="264"/>
      <c r="CF35" s="264"/>
      <c r="CH35" s="264"/>
      <c r="CI35" s="264"/>
      <c r="CK35" s="264"/>
      <c r="CL35" s="264"/>
      <c r="CN35" s="264"/>
      <c r="CO35" s="264"/>
      <c r="CQ35" s="264"/>
      <c r="CR35" s="264"/>
      <c r="CT35" s="264"/>
      <c r="CU35" s="264"/>
      <c r="CW35" s="264"/>
      <c r="CX35" s="264"/>
      <c r="CZ35" s="264"/>
      <c r="DA35" s="264"/>
      <c r="DC35" s="264"/>
      <c r="DD35" s="264"/>
      <c r="DF35" s="264"/>
      <c r="DG35" s="264"/>
      <c r="DI35" s="264"/>
      <c r="DJ35" s="264"/>
      <c r="DL35" s="264"/>
      <c r="DM35" s="264"/>
      <c r="DO35" s="264"/>
      <c r="DP35" s="264"/>
      <c r="DR35" s="264"/>
      <c r="DS35" s="264"/>
      <c r="DU35" s="264"/>
      <c r="DV35" s="264"/>
      <c r="DX35" s="264"/>
      <c r="DY35" s="264"/>
      <c r="EA35" s="264"/>
      <c r="EB35" s="252"/>
      <c r="ED35" s="264"/>
      <c r="EE35" s="264"/>
      <c r="EG35" s="264"/>
      <c r="EH35" s="264"/>
      <c r="EJ35" s="264"/>
      <c r="EK35" s="264"/>
      <c r="EM35" s="264"/>
      <c r="EN35" s="264"/>
      <c r="EP35" s="264"/>
      <c r="EQ35" s="264"/>
      <c r="ES35" s="264"/>
      <c r="ET35" s="264"/>
      <c r="EV35" s="264"/>
      <c r="EW35" s="264"/>
      <c r="EY35" s="264"/>
      <c r="EZ35" s="264"/>
      <c r="FB35" s="264"/>
      <c r="FC35" s="264"/>
      <c r="FE35" s="264"/>
      <c r="FF35" s="264"/>
      <c r="FH35" s="264"/>
      <c r="FI35" s="264"/>
      <c r="FK35" s="264"/>
      <c r="FL35" s="264"/>
      <c r="FN35" s="264"/>
      <c r="FO35" s="264"/>
      <c r="FQ35" s="264"/>
      <c r="FR35" s="264"/>
      <c r="FT35" s="264"/>
      <c r="FU35" s="264"/>
      <c r="FW35" s="264"/>
      <c r="FX35" s="264"/>
      <c r="FZ35" s="264"/>
      <c r="GA35" s="264"/>
      <c r="GC35" s="264"/>
      <c r="GD35" s="264"/>
      <c r="GF35" s="264"/>
      <c r="GG35" s="264"/>
      <c r="GI35" s="264"/>
      <c r="GJ35" s="264"/>
      <c r="GL35" s="264"/>
      <c r="GM35" s="264"/>
      <c r="GO35" s="264"/>
      <c r="GP35" s="264"/>
      <c r="GR35" s="264"/>
      <c r="GS35" s="264"/>
      <c r="GU35" s="264"/>
      <c r="GV35" s="264"/>
      <c r="GX35" s="264"/>
      <c r="GY35" s="264"/>
      <c r="HA35" s="264"/>
      <c r="HB35" s="264"/>
      <c r="HD35" s="264"/>
      <c r="HE35" s="264"/>
      <c r="HG35" s="264"/>
      <c r="HH35" s="264"/>
      <c r="HJ35" s="264"/>
      <c r="HK35" s="264"/>
      <c r="HM35" s="264"/>
      <c r="HN35" s="264"/>
      <c r="HP35" s="264"/>
      <c r="HQ35" s="264"/>
      <c r="HS35" s="264"/>
      <c r="HT35" s="264"/>
      <c r="HV35" s="264"/>
      <c r="HW35" s="264"/>
      <c r="HY35" s="264"/>
      <c r="HZ35" s="264"/>
      <c r="IB35" s="264"/>
      <c r="IC35" s="264"/>
      <c r="IE35" s="264"/>
      <c r="IF35" s="264"/>
    </row>
    <row r="36" spans="1:240" ht="12" x14ac:dyDescent="0.25">
      <c r="A36" s="264"/>
      <c r="B36" s="330" t="s">
        <v>480</v>
      </c>
      <c r="C36" s="226" t="s">
        <v>501</v>
      </c>
      <c r="D36" s="260"/>
      <c r="E36" s="264"/>
      <c r="G36" s="265"/>
      <c r="J36" s="264"/>
      <c r="K36" s="264"/>
      <c r="M36" s="264"/>
      <c r="N36" s="264"/>
      <c r="P36" s="264"/>
      <c r="Q36" s="264"/>
      <c r="S36" s="264"/>
      <c r="T36" s="264"/>
      <c r="V36" s="264"/>
      <c r="W36" s="264"/>
      <c r="Y36" s="264"/>
      <c r="Z36" s="264"/>
      <c r="AB36" s="264"/>
      <c r="AC36" s="264"/>
      <c r="AE36" s="264"/>
      <c r="AF36" s="264"/>
      <c r="AG36" s="264"/>
      <c r="AI36" s="264"/>
      <c r="AJ36" s="264"/>
      <c r="AL36" s="264"/>
      <c r="AM36" s="264"/>
      <c r="AO36" s="264"/>
      <c r="AP36" s="264"/>
      <c r="AR36" s="264"/>
      <c r="AS36" s="264"/>
      <c r="AU36" s="264"/>
      <c r="AV36" s="264"/>
      <c r="AX36" s="264"/>
      <c r="AY36" s="264"/>
      <c r="BA36" s="264"/>
      <c r="BB36" s="264"/>
      <c r="BD36" s="264"/>
      <c r="BE36" s="264"/>
      <c r="BG36" s="264"/>
      <c r="BH36" s="264"/>
      <c r="BJ36" s="264"/>
      <c r="BK36" s="264"/>
      <c r="BM36" s="264"/>
      <c r="BN36" s="264"/>
      <c r="BP36" s="264"/>
      <c r="BQ36" s="264"/>
      <c r="BS36" s="264"/>
      <c r="BT36" s="264"/>
      <c r="BV36" s="264"/>
      <c r="BW36" s="264"/>
      <c r="BY36" s="264"/>
      <c r="BZ36" s="264"/>
      <c r="CB36" s="264"/>
      <c r="CC36" s="264"/>
      <c r="CE36" s="264"/>
      <c r="CF36" s="264"/>
      <c r="CH36" s="264"/>
      <c r="CI36" s="264"/>
      <c r="CK36" s="264"/>
      <c r="CL36" s="264"/>
      <c r="CN36" s="264"/>
      <c r="CO36" s="264"/>
      <c r="CQ36" s="264"/>
      <c r="CR36" s="264"/>
      <c r="CT36" s="264"/>
      <c r="CU36" s="264"/>
      <c r="CW36" s="264"/>
      <c r="CX36" s="264"/>
      <c r="CZ36" s="264"/>
      <c r="DA36" s="264"/>
      <c r="DC36" s="264"/>
      <c r="DD36" s="264"/>
      <c r="DF36" s="264"/>
      <c r="DG36" s="264"/>
      <c r="DI36" s="264"/>
      <c r="DJ36" s="264"/>
      <c r="DL36" s="264"/>
      <c r="DM36" s="264"/>
      <c r="DO36" s="264"/>
      <c r="DP36" s="264"/>
      <c r="DR36" s="264"/>
      <c r="DS36" s="264"/>
      <c r="DU36" s="264"/>
      <c r="DV36" s="264"/>
      <c r="DX36" s="264"/>
      <c r="DY36" s="264"/>
      <c r="EA36" s="264"/>
      <c r="EB36" s="252"/>
      <c r="ED36" s="264"/>
      <c r="EE36" s="264"/>
      <c r="EG36" s="264"/>
      <c r="EH36" s="264"/>
      <c r="EJ36" s="264"/>
      <c r="EK36" s="264"/>
      <c r="EM36" s="264"/>
      <c r="EN36" s="264"/>
      <c r="EP36" s="264"/>
      <c r="EQ36" s="264"/>
      <c r="ES36" s="264"/>
      <c r="ET36" s="264"/>
      <c r="EV36" s="264"/>
      <c r="EW36" s="264"/>
      <c r="EY36" s="264"/>
      <c r="EZ36" s="264"/>
      <c r="FB36" s="264"/>
      <c r="FC36" s="264"/>
      <c r="FE36" s="264"/>
      <c r="FF36" s="264"/>
      <c r="FH36" s="264"/>
      <c r="FI36" s="264"/>
      <c r="FK36" s="264"/>
      <c r="FL36" s="264"/>
      <c r="FN36" s="264"/>
      <c r="FO36" s="264"/>
      <c r="FQ36" s="264"/>
      <c r="FR36" s="264"/>
      <c r="FT36" s="264"/>
      <c r="FU36" s="264"/>
      <c r="FW36" s="264"/>
      <c r="FX36" s="264"/>
      <c r="FZ36" s="264"/>
      <c r="GA36" s="264"/>
      <c r="GC36" s="264"/>
      <c r="GD36" s="264"/>
      <c r="GF36" s="264"/>
      <c r="GG36" s="264"/>
      <c r="GI36" s="264"/>
      <c r="GJ36" s="264"/>
      <c r="GL36" s="264"/>
      <c r="GM36" s="264"/>
      <c r="GO36" s="264"/>
      <c r="GP36" s="264"/>
      <c r="GR36" s="264"/>
      <c r="GS36" s="264"/>
      <c r="GU36" s="264"/>
      <c r="GV36" s="264"/>
      <c r="GX36" s="264"/>
      <c r="GY36" s="264"/>
      <c r="HA36" s="264"/>
      <c r="HB36" s="264"/>
      <c r="HD36" s="264"/>
      <c r="HE36" s="264"/>
      <c r="HG36" s="264"/>
      <c r="HH36" s="264"/>
      <c r="HJ36" s="264"/>
      <c r="HK36" s="264"/>
      <c r="HM36" s="264"/>
      <c r="HN36" s="264"/>
      <c r="HP36" s="264"/>
      <c r="HQ36" s="264"/>
      <c r="HS36" s="264"/>
      <c r="HT36" s="264"/>
      <c r="HV36" s="264"/>
      <c r="HW36" s="264"/>
      <c r="HY36" s="264"/>
      <c r="HZ36" s="264"/>
      <c r="IB36" s="264"/>
      <c r="IC36" s="264"/>
      <c r="IE36" s="264"/>
      <c r="IF36" s="264"/>
    </row>
    <row r="37" spans="1:240" ht="12" x14ac:dyDescent="0.25">
      <c r="A37" s="264"/>
      <c r="B37" s="330" t="s">
        <v>503</v>
      </c>
      <c r="C37" s="226" t="s">
        <v>435</v>
      </c>
      <c r="D37" s="334"/>
      <c r="E37" s="264"/>
      <c r="G37" s="265"/>
      <c r="J37" s="264"/>
      <c r="K37" s="264"/>
      <c r="M37" s="264"/>
      <c r="N37" s="264"/>
      <c r="P37" s="264"/>
      <c r="Q37" s="264"/>
      <c r="S37" s="264"/>
      <c r="T37" s="264"/>
      <c r="V37" s="264"/>
      <c r="W37" s="264"/>
      <c r="Y37" s="264"/>
      <c r="Z37" s="264"/>
      <c r="AB37" s="264"/>
      <c r="AC37" s="264"/>
      <c r="AE37" s="264"/>
      <c r="AF37" s="264"/>
      <c r="AG37" s="264"/>
      <c r="AI37" s="264"/>
      <c r="AJ37" s="264"/>
      <c r="AL37" s="264"/>
      <c r="AM37" s="264"/>
      <c r="AO37" s="264"/>
      <c r="AP37" s="264"/>
      <c r="AR37" s="264"/>
      <c r="AS37" s="264"/>
      <c r="AU37" s="264"/>
      <c r="AV37" s="264"/>
      <c r="AX37" s="264"/>
      <c r="AY37" s="264"/>
      <c r="BA37" s="264"/>
      <c r="BB37" s="264"/>
      <c r="BD37" s="264"/>
      <c r="BE37" s="264"/>
      <c r="BG37" s="264"/>
      <c r="BH37" s="264"/>
      <c r="BJ37" s="264"/>
      <c r="BK37" s="264"/>
      <c r="BM37" s="264"/>
      <c r="BN37" s="264"/>
      <c r="BP37" s="264"/>
      <c r="BQ37" s="264"/>
      <c r="BS37" s="264"/>
      <c r="BT37" s="264"/>
      <c r="BV37" s="264"/>
      <c r="BW37" s="264"/>
      <c r="BY37" s="264"/>
      <c r="BZ37" s="264"/>
      <c r="CB37" s="264"/>
      <c r="CC37" s="264"/>
      <c r="CE37" s="264"/>
      <c r="CF37" s="264"/>
      <c r="CH37" s="264"/>
      <c r="CI37" s="264"/>
      <c r="CK37" s="264"/>
      <c r="CL37" s="264"/>
      <c r="CN37" s="264"/>
      <c r="CO37" s="264"/>
      <c r="CQ37" s="264"/>
      <c r="CR37" s="264"/>
      <c r="CT37" s="264"/>
      <c r="CU37" s="264"/>
      <c r="CW37" s="264"/>
      <c r="CX37" s="264"/>
      <c r="CZ37" s="264"/>
      <c r="DA37" s="264"/>
      <c r="DC37" s="264"/>
      <c r="DD37" s="264"/>
      <c r="DF37" s="264"/>
      <c r="DG37" s="264"/>
      <c r="DI37" s="264"/>
      <c r="DJ37" s="264"/>
      <c r="DL37" s="264"/>
      <c r="DM37" s="264"/>
      <c r="DO37" s="264"/>
      <c r="DP37" s="264"/>
      <c r="DR37" s="264"/>
      <c r="DS37" s="264"/>
      <c r="DU37" s="264"/>
      <c r="DV37" s="264"/>
      <c r="DX37" s="264"/>
      <c r="DY37" s="264"/>
      <c r="EA37" s="264"/>
      <c r="EB37" s="252"/>
      <c r="ED37" s="264"/>
      <c r="EE37" s="264"/>
      <c r="EG37" s="264"/>
      <c r="EH37" s="264"/>
      <c r="EJ37" s="264"/>
      <c r="EK37" s="264"/>
      <c r="EM37" s="264"/>
      <c r="EN37" s="264"/>
      <c r="EP37" s="264"/>
      <c r="EQ37" s="264"/>
      <c r="ES37" s="264"/>
      <c r="ET37" s="264"/>
      <c r="EV37" s="264"/>
      <c r="EW37" s="264"/>
      <c r="EY37" s="264"/>
      <c r="EZ37" s="264"/>
      <c r="FB37" s="264"/>
      <c r="FC37" s="264"/>
      <c r="FE37" s="264"/>
      <c r="FF37" s="264"/>
      <c r="FH37" s="264"/>
      <c r="FI37" s="264"/>
      <c r="FK37" s="264"/>
      <c r="FL37" s="264"/>
      <c r="FN37" s="264"/>
      <c r="FO37" s="264"/>
      <c r="FQ37" s="264"/>
      <c r="FR37" s="264"/>
      <c r="FT37" s="264"/>
      <c r="FU37" s="264"/>
      <c r="FW37" s="264"/>
      <c r="FX37" s="264"/>
      <c r="FZ37" s="264"/>
      <c r="GA37" s="264"/>
      <c r="GC37" s="264"/>
      <c r="GD37" s="264"/>
      <c r="GF37" s="264"/>
      <c r="GG37" s="264"/>
      <c r="GI37" s="264"/>
      <c r="GJ37" s="264"/>
      <c r="GL37" s="264"/>
      <c r="GM37" s="264"/>
      <c r="GO37" s="264"/>
      <c r="GP37" s="264"/>
      <c r="GR37" s="264"/>
      <c r="GS37" s="264"/>
      <c r="GU37" s="264"/>
      <c r="GV37" s="264"/>
      <c r="GX37" s="264"/>
      <c r="GY37" s="264"/>
      <c r="HA37" s="264"/>
      <c r="HB37" s="264"/>
      <c r="HD37" s="264"/>
      <c r="HE37" s="264"/>
      <c r="HG37" s="264"/>
      <c r="HH37" s="264"/>
      <c r="HJ37" s="264"/>
      <c r="HK37" s="264"/>
      <c r="HM37" s="264"/>
      <c r="HN37" s="264"/>
      <c r="HP37" s="264"/>
      <c r="HQ37" s="264"/>
      <c r="HS37" s="264"/>
      <c r="HT37" s="264"/>
      <c r="HV37" s="264"/>
      <c r="HW37" s="264"/>
      <c r="HY37" s="264"/>
      <c r="HZ37" s="264"/>
      <c r="IB37" s="264"/>
      <c r="IC37" s="264"/>
      <c r="IE37" s="264"/>
      <c r="IF37" s="264"/>
    </row>
    <row r="38" spans="1:240" ht="12" x14ac:dyDescent="0.25">
      <c r="A38" s="264"/>
      <c r="B38" s="330" t="s">
        <v>440</v>
      </c>
      <c r="C38" s="226" t="s">
        <v>436</v>
      </c>
      <c r="D38" s="334"/>
      <c r="E38" s="264"/>
      <c r="G38" s="265"/>
      <c r="J38" s="264"/>
      <c r="K38" s="264"/>
      <c r="M38" s="264"/>
      <c r="N38" s="264"/>
      <c r="P38" s="264"/>
      <c r="Q38" s="264"/>
      <c r="S38" s="264"/>
      <c r="T38" s="264"/>
      <c r="V38" s="264"/>
      <c r="W38" s="264"/>
      <c r="Y38" s="264"/>
      <c r="Z38" s="264"/>
      <c r="AB38" s="264"/>
      <c r="AC38" s="264"/>
      <c r="AE38" s="264"/>
      <c r="AF38" s="264"/>
      <c r="AG38" s="264"/>
      <c r="AI38" s="264"/>
      <c r="AJ38" s="264"/>
      <c r="AL38" s="264"/>
      <c r="AM38" s="264"/>
      <c r="AO38" s="264"/>
      <c r="AP38" s="264"/>
      <c r="AR38" s="264"/>
      <c r="AS38" s="264"/>
      <c r="AU38" s="264"/>
      <c r="AV38" s="264"/>
      <c r="AX38" s="264"/>
      <c r="AY38" s="264"/>
      <c r="BA38" s="264"/>
      <c r="BB38" s="264"/>
      <c r="BD38" s="264"/>
      <c r="BE38" s="264"/>
      <c r="BG38" s="264"/>
      <c r="BH38" s="264"/>
      <c r="BJ38" s="264"/>
      <c r="BK38" s="264"/>
      <c r="BM38" s="264"/>
      <c r="BN38" s="264"/>
      <c r="BP38" s="264"/>
      <c r="BQ38" s="264"/>
      <c r="BS38" s="264"/>
      <c r="BT38" s="264"/>
      <c r="BV38" s="264"/>
      <c r="BW38" s="264"/>
      <c r="BY38" s="264"/>
      <c r="BZ38" s="264"/>
      <c r="CB38" s="264"/>
      <c r="CC38" s="264"/>
      <c r="CE38" s="264"/>
      <c r="CF38" s="264"/>
      <c r="CH38" s="264"/>
      <c r="CI38" s="264"/>
      <c r="CK38" s="264"/>
      <c r="CL38" s="264"/>
      <c r="CN38" s="264"/>
      <c r="CO38" s="264"/>
      <c r="CQ38" s="264"/>
      <c r="CR38" s="264"/>
      <c r="CT38" s="264"/>
      <c r="CU38" s="264"/>
      <c r="CW38" s="264"/>
      <c r="CX38" s="264"/>
      <c r="CZ38" s="264"/>
      <c r="DA38" s="264"/>
      <c r="DC38" s="264"/>
      <c r="DD38" s="264"/>
      <c r="DF38" s="264"/>
      <c r="DG38" s="264"/>
      <c r="DI38" s="264"/>
      <c r="DJ38" s="264"/>
      <c r="DL38" s="264"/>
      <c r="DM38" s="264"/>
      <c r="DO38" s="264"/>
      <c r="DP38" s="264"/>
      <c r="DR38" s="264"/>
      <c r="DS38" s="264"/>
      <c r="DU38" s="264"/>
      <c r="DV38" s="264"/>
      <c r="DX38" s="264"/>
      <c r="DY38" s="264"/>
      <c r="EA38" s="264"/>
      <c r="EB38" s="252"/>
      <c r="ED38" s="264"/>
      <c r="EE38" s="264"/>
      <c r="EG38" s="264"/>
      <c r="EH38" s="264"/>
      <c r="EJ38" s="264"/>
      <c r="EK38" s="264"/>
      <c r="EM38" s="264"/>
      <c r="EN38" s="264"/>
      <c r="EP38" s="264"/>
      <c r="EQ38" s="264"/>
      <c r="ES38" s="264"/>
      <c r="ET38" s="264"/>
      <c r="EV38" s="264"/>
      <c r="EW38" s="264"/>
      <c r="EY38" s="264"/>
      <c r="EZ38" s="264"/>
      <c r="FB38" s="264"/>
      <c r="FC38" s="264"/>
      <c r="FE38" s="264"/>
      <c r="FF38" s="264"/>
      <c r="FH38" s="264"/>
      <c r="FI38" s="264"/>
      <c r="FK38" s="264"/>
      <c r="FL38" s="264"/>
      <c r="FN38" s="264"/>
      <c r="FO38" s="264"/>
      <c r="FQ38" s="264"/>
      <c r="FR38" s="264"/>
      <c r="FT38" s="264"/>
      <c r="FU38" s="264"/>
      <c r="FW38" s="264"/>
      <c r="FX38" s="264"/>
      <c r="FZ38" s="264"/>
      <c r="GA38" s="264"/>
      <c r="GC38" s="264"/>
      <c r="GD38" s="264"/>
      <c r="GF38" s="264"/>
      <c r="GG38" s="264"/>
      <c r="GI38" s="264"/>
      <c r="GJ38" s="264"/>
      <c r="GL38" s="264"/>
      <c r="GM38" s="264"/>
      <c r="GO38" s="264"/>
      <c r="GP38" s="264"/>
      <c r="GR38" s="264"/>
      <c r="GS38" s="264"/>
      <c r="GU38" s="264"/>
      <c r="GV38" s="264"/>
      <c r="GX38" s="264"/>
      <c r="GY38" s="264"/>
      <c r="HA38" s="264"/>
      <c r="HB38" s="264"/>
      <c r="HD38" s="264"/>
      <c r="HE38" s="264"/>
      <c r="HG38" s="264"/>
      <c r="HH38" s="264"/>
      <c r="HJ38" s="264"/>
      <c r="HK38" s="264"/>
      <c r="HM38" s="264"/>
      <c r="HN38" s="264"/>
      <c r="HP38" s="264"/>
      <c r="HQ38" s="264"/>
      <c r="HS38" s="264"/>
      <c r="HT38" s="264"/>
      <c r="HV38" s="264"/>
      <c r="HW38" s="264"/>
      <c r="HY38" s="264"/>
      <c r="HZ38" s="264"/>
      <c r="IB38" s="264"/>
      <c r="IC38" s="264"/>
      <c r="IE38" s="264"/>
      <c r="IF38" s="264"/>
    </row>
    <row r="39" spans="1:240" ht="12" x14ac:dyDescent="0.25">
      <c r="A39" s="264"/>
      <c r="B39" s="330" t="s">
        <v>505</v>
      </c>
      <c r="C39" s="226" t="s">
        <v>437</v>
      </c>
      <c r="D39" s="334"/>
      <c r="E39" s="264"/>
      <c r="G39" s="265"/>
      <c r="J39" s="264"/>
      <c r="K39" s="264"/>
      <c r="M39" s="264"/>
      <c r="N39" s="264"/>
      <c r="P39" s="264"/>
      <c r="Q39" s="264"/>
      <c r="S39" s="264"/>
      <c r="T39" s="264"/>
      <c r="V39" s="264"/>
      <c r="W39" s="264"/>
      <c r="Y39" s="264"/>
      <c r="Z39" s="264"/>
      <c r="AB39" s="264"/>
      <c r="AC39" s="264"/>
      <c r="AE39" s="264"/>
      <c r="AF39" s="264"/>
      <c r="AG39" s="264"/>
      <c r="AI39" s="264"/>
      <c r="AJ39" s="264"/>
      <c r="AL39" s="264"/>
      <c r="AM39" s="264"/>
      <c r="AO39" s="264"/>
      <c r="AP39" s="264"/>
      <c r="AR39" s="264"/>
      <c r="AS39" s="264"/>
      <c r="AU39" s="264"/>
      <c r="AV39" s="264"/>
      <c r="AX39" s="264"/>
      <c r="AY39" s="264"/>
      <c r="BA39" s="264"/>
      <c r="BB39" s="264"/>
      <c r="BD39" s="264"/>
      <c r="BE39" s="264"/>
      <c r="BG39" s="264"/>
      <c r="BH39" s="264"/>
      <c r="BJ39" s="264"/>
      <c r="BK39" s="264"/>
      <c r="BM39" s="264"/>
      <c r="BN39" s="264"/>
      <c r="BP39" s="264"/>
      <c r="BQ39" s="264"/>
      <c r="BS39" s="264"/>
      <c r="BT39" s="264"/>
      <c r="BV39" s="264"/>
      <c r="BW39" s="264"/>
      <c r="BY39" s="264"/>
      <c r="BZ39" s="264"/>
      <c r="CB39" s="264"/>
      <c r="CC39" s="264"/>
      <c r="CE39" s="264"/>
      <c r="CF39" s="264"/>
      <c r="CH39" s="264"/>
      <c r="CI39" s="264"/>
      <c r="CK39" s="264"/>
      <c r="CL39" s="264"/>
      <c r="CN39" s="264"/>
      <c r="CO39" s="264"/>
      <c r="CQ39" s="264"/>
      <c r="CR39" s="264"/>
      <c r="CT39" s="264"/>
      <c r="CU39" s="264"/>
      <c r="CW39" s="264"/>
      <c r="CX39" s="264"/>
      <c r="CZ39" s="264"/>
      <c r="DA39" s="264"/>
      <c r="DC39" s="264"/>
      <c r="DD39" s="264"/>
      <c r="DF39" s="264"/>
      <c r="DG39" s="264"/>
      <c r="DI39" s="264"/>
      <c r="DJ39" s="264"/>
      <c r="DL39" s="264"/>
      <c r="DM39" s="264"/>
      <c r="DO39" s="264"/>
      <c r="DP39" s="264"/>
      <c r="DR39" s="264"/>
      <c r="DS39" s="264"/>
      <c r="DU39" s="264"/>
      <c r="DV39" s="264"/>
      <c r="DX39" s="264"/>
      <c r="DY39" s="264"/>
      <c r="EA39" s="264"/>
      <c r="EB39" s="252"/>
      <c r="ED39" s="264"/>
      <c r="EE39" s="264"/>
      <c r="EG39" s="264"/>
      <c r="EH39" s="264"/>
      <c r="EJ39" s="264"/>
      <c r="EK39" s="264"/>
      <c r="EM39" s="264"/>
      <c r="EN39" s="264"/>
      <c r="EP39" s="264"/>
      <c r="EQ39" s="264"/>
      <c r="ES39" s="264"/>
      <c r="ET39" s="264"/>
      <c r="EV39" s="264"/>
      <c r="EW39" s="264"/>
      <c r="EY39" s="264"/>
      <c r="EZ39" s="264"/>
      <c r="FB39" s="264"/>
      <c r="FC39" s="264"/>
      <c r="FE39" s="264"/>
      <c r="FF39" s="264"/>
      <c r="FH39" s="264"/>
      <c r="FI39" s="264"/>
      <c r="FK39" s="264"/>
      <c r="FL39" s="264"/>
      <c r="FN39" s="264"/>
      <c r="FO39" s="264"/>
      <c r="FQ39" s="264"/>
      <c r="FR39" s="264"/>
      <c r="FT39" s="264"/>
      <c r="FU39" s="264"/>
      <c r="FW39" s="264"/>
      <c r="FX39" s="264"/>
      <c r="FZ39" s="264"/>
      <c r="GA39" s="264"/>
      <c r="GC39" s="264"/>
      <c r="GD39" s="264"/>
      <c r="GF39" s="264"/>
      <c r="GG39" s="264"/>
      <c r="GI39" s="264"/>
      <c r="GJ39" s="264"/>
      <c r="GL39" s="264"/>
      <c r="GM39" s="264"/>
      <c r="GO39" s="264"/>
      <c r="GP39" s="264"/>
      <c r="GR39" s="264"/>
      <c r="GS39" s="264"/>
      <c r="GU39" s="264"/>
      <c r="GV39" s="264"/>
      <c r="GX39" s="264"/>
      <c r="GY39" s="264"/>
      <c r="HA39" s="264"/>
      <c r="HB39" s="264"/>
      <c r="HD39" s="264"/>
      <c r="HE39" s="264"/>
      <c r="HG39" s="264"/>
      <c r="HH39" s="264"/>
      <c r="HJ39" s="264"/>
      <c r="HK39" s="264"/>
      <c r="HM39" s="264"/>
      <c r="HN39" s="264"/>
      <c r="HP39" s="264"/>
      <c r="HQ39" s="264"/>
      <c r="HS39" s="264"/>
      <c r="HT39" s="264"/>
      <c r="HV39" s="264"/>
      <c r="HW39" s="264"/>
      <c r="HY39" s="264"/>
      <c r="HZ39" s="264"/>
      <c r="IB39" s="264"/>
      <c r="IC39" s="264"/>
      <c r="IE39" s="264"/>
      <c r="IF39" s="264"/>
    </row>
    <row r="40" spans="1:240" ht="12" x14ac:dyDescent="0.25">
      <c r="A40" s="264"/>
      <c r="B40" s="330" t="s">
        <v>621</v>
      </c>
      <c r="C40" s="226" t="s">
        <v>438</v>
      </c>
      <c r="D40" s="260"/>
      <c r="E40" s="264"/>
      <c r="G40" s="265"/>
      <c r="J40" s="264"/>
      <c r="K40" s="264"/>
      <c r="M40" s="264"/>
      <c r="N40" s="264"/>
      <c r="P40" s="264"/>
      <c r="Q40" s="264"/>
      <c r="S40" s="264"/>
      <c r="T40" s="264"/>
      <c r="V40" s="264"/>
      <c r="W40" s="264"/>
      <c r="Y40" s="264"/>
      <c r="Z40" s="264"/>
      <c r="AB40" s="264"/>
      <c r="AC40" s="264"/>
      <c r="AE40" s="264"/>
      <c r="AF40" s="264"/>
      <c r="AG40" s="264"/>
      <c r="AI40" s="264"/>
      <c r="AJ40" s="264"/>
      <c r="AL40" s="264"/>
      <c r="AM40" s="264"/>
      <c r="AO40" s="264"/>
      <c r="AP40" s="264"/>
      <c r="AR40" s="264"/>
      <c r="AS40" s="264"/>
      <c r="AU40" s="264"/>
      <c r="AV40" s="264"/>
      <c r="AX40" s="264"/>
      <c r="AY40" s="264"/>
      <c r="BA40" s="264"/>
      <c r="BB40" s="264"/>
      <c r="BD40" s="264"/>
      <c r="BE40" s="264"/>
      <c r="BG40" s="264"/>
      <c r="BH40" s="264"/>
      <c r="BJ40" s="264"/>
      <c r="BK40" s="264"/>
      <c r="BM40" s="264"/>
      <c r="BN40" s="264"/>
      <c r="BP40" s="264"/>
      <c r="BQ40" s="264"/>
      <c r="BS40" s="264"/>
      <c r="BT40" s="264"/>
      <c r="BV40" s="264"/>
      <c r="BW40" s="264"/>
      <c r="BY40" s="264"/>
      <c r="BZ40" s="264"/>
      <c r="CB40" s="264"/>
      <c r="CC40" s="264"/>
      <c r="CE40" s="264"/>
      <c r="CF40" s="264"/>
      <c r="CH40" s="264"/>
      <c r="CI40" s="264"/>
      <c r="CK40" s="264"/>
      <c r="CL40" s="264"/>
      <c r="CN40" s="264"/>
      <c r="CO40" s="264"/>
      <c r="CQ40" s="264"/>
      <c r="CR40" s="264"/>
      <c r="CT40" s="264"/>
      <c r="CU40" s="264"/>
      <c r="CW40" s="264"/>
      <c r="CX40" s="264"/>
      <c r="CZ40" s="264"/>
      <c r="DA40" s="264"/>
      <c r="DC40" s="264"/>
      <c r="DD40" s="264"/>
      <c r="DF40" s="264"/>
      <c r="DG40" s="264"/>
      <c r="DI40" s="264"/>
      <c r="DJ40" s="264"/>
      <c r="DL40" s="264"/>
      <c r="DM40" s="264"/>
      <c r="DO40" s="264"/>
      <c r="DP40" s="264"/>
      <c r="DR40" s="264"/>
      <c r="DS40" s="264"/>
      <c r="DU40" s="264"/>
      <c r="DV40" s="264"/>
      <c r="DX40" s="264"/>
      <c r="DY40" s="264"/>
      <c r="EA40" s="264"/>
      <c r="EB40" s="252"/>
      <c r="ED40" s="264"/>
      <c r="EE40" s="264"/>
      <c r="EG40" s="264"/>
      <c r="EH40" s="264"/>
      <c r="EJ40" s="264"/>
      <c r="EK40" s="264"/>
      <c r="EM40" s="264"/>
      <c r="EN40" s="264"/>
      <c r="EP40" s="264"/>
      <c r="EQ40" s="264"/>
      <c r="ES40" s="264"/>
      <c r="ET40" s="264"/>
      <c r="EV40" s="264"/>
      <c r="EW40" s="264"/>
      <c r="EY40" s="264"/>
      <c r="EZ40" s="264"/>
      <c r="FB40" s="264"/>
      <c r="FC40" s="264"/>
      <c r="FE40" s="264"/>
      <c r="FF40" s="264"/>
      <c r="FH40" s="264"/>
      <c r="FI40" s="264"/>
      <c r="FK40" s="264"/>
      <c r="FL40" s="264"/>
      <c r="FN40" s="264"/>
      <c r="FO40" s="264"/>
      <c r="FQ40" s="264"/>
      <c r="FR40" s="264"/>
      <c r="FT40" s="264"/>
      <c r="FU40" s="264"/>
      <c r="FW40" s="264"/>
      <c r="FX40" s="264"/>
      <c r="FZ40" s="264"/>
      <c r="GA40" s="264"/>
      <c r="GC40" s="264"/>
      <c r="GD40" s="264"/>
      <c r="GF40" s="264"/>
      <c r="GG40" s="264"/>
      <c r="GI40" s="264"/>
      <c r="GJ40" s="264"/>
      <c r="GL40" s="264"/>
      <c r="GM40" s="264"/>
      <c r="GO40" s="264"/>
      <c r="GP40" s="264"/>
      <c r="GR40" s="264"/>
      <c r="GS40" s="264"/>
      <c r="GU40" s="264"/>
      <c r="GV40" s="264"/>
      <c r="GX40" s="264"/>
      <c r="GY40" s="264"/>
      <c r="HA40" s="264"/>
      <c r="HB40" s="264"/>
      <c r="HD40" s="264"/>
      <c r="HE40" s="264"/>
      <c r="HG40" s="264"/>
      <c r="HH40" s="264"/>
      <c r="HJ40" s="264"/>
      <c r="HK40" s="264"/>
      <c r="HM40" s="264"/>
      <c r="HN40" s="264"/>
      <c r="HP40" s="264"/>
      <c r="HQ40" s="264"/>
      <c r="HS40" s="264"/>
      <c r="HT40" s="264"/>
      <c r="HV40" s="264"/>
      <c r="HW40" s="264"/>
      <c r="HY40" s="264"/>
      <c r="HZ40" s="264"/>
      <c r="IB40" s="264"/>
      <c r="IC40" s="264"/>
      <c r="IE40" s="264"/>
      <c r="IF40" s="264"/>
    </row>
    <row r="41" spans="1:240" ht="12" x14ac:dyDescent="0.25">
      <c r="A41" s="264"/>
      <c r="B41" s="330" t="s">
        <v>531</v>
      </c>
      <c r="C41" s="254" t="s">
        <v>500</v>
      </c>
      <c r="D41" s="334"/>
      <c r="E41" s="264"/>
      <c r="G41" s="265"/>
      <c r="J41" s="264"/>
      <c r="K41" s="264"/>
      <c r="M41" s="264"/>
      <c r="N41" s="264"/>
      <c r="P41" s="264"/>
      <c r="Q41" s="264"/>
      <c r="S41" s="264"/>
      <c r="T41" s="264"/>
      <c r="V41" s="264"/>
      <c r="W41" s="264"/>
      <c r="Y41" s="264"/>
      <c r="Z41" s="264"/>
      <c r="AB41" s="264"/>
      <c r="AC41" s="264"/>
      <c r="AE41" s="264"/>
      <c r="AF41" s="264"/>
      <c r="AG41" s="264"/>
      <c r="AI41" s="264"/>
      <c r="AJ41" s="264"/>
      <c r="AL41" s="264"/>
      <c r="AM41" s="264"/>
      <c r="AO41" s="264"/>
      <c r="AP41" s="264"/>
      <c r="AR41" s="264"/>
      <c r="AS41" s="264"/>
      <c r="AU41" s="264"/>
      <c r="AV41" s="264"/>
      <c r="AX41" s="264"/>
      <c r="AY41" s="264"/>
      <c r="BA41" s="264"/>
      <c r="BB41" s="264"/>
      <c r="BD41" s="264"/>
      <c r="BE41" s="264"/>
      <c r="BG41" s="264"/>
      <c r="BH41" s="264"/>
      <c r="BJ41" s="264"/>
      <c r="BK41" s="264"/>
      <c r="BM41" s="264"/>
      <c r="BN41" s="264"/>
      <c r="BP41" s="264"/>
      <c r="BQ41" s="264"/>
      <c r="BS41" s="264"/>
      <c r="BT41" s="264"/>
      <c r="BV41" s="264"/>
      <c r="BW41" s="264"/>
      <c r="BY41" s="264"/>
      <c r="BZ41" s="264"/>
      <c r="CB41" s="264"/>
      <c r="CC41" s="264"/>
      <c r="CE41" s="264"/>
      <c r="CF41" s="264"/>
      <c r="CH41" s="264"/>
      <c r="CI41" s="264"/>
      <c r="CK41" s="264"/>
      <c r="CL41" s="264"/>
      <c r="CN41" s="264"/>
      <c r="CO41" s="264"/>
      <c r="CQ41" s="264"/>
      <c r="CR41" s="264"/>
      <c r="CT41" s="264"/>
      <c r="CU41" s="264"/>
      <c r="CW41" s="264"/>
      <c r="CX41" s="264"/>
      <c r="CZ41" s="264"/>
      <c r="DA41" s="264"/>
      <c r="DC41" s="264"/>
      <c r="DD41" s="264"/>
      <c r="DF41" s="264"/>
      <c r="DG41" s="264"/>
      <c r="DI41" s="264"/>
      <c r="DJ41" s="264"/>
      <c r="DL41" s="264"/>
      <c r="DM41" s="264"/>
      <c r="DO41" s="264"/>
      <c r="DP41" s="264"/>
      <c r="DR41" s="264"/>
      <c r="DS41" s="264"/>
      <c r="DU41" s="264"/>
      <c r="DV41" s="264"/>
      <c r="DX41" s="264"/>
      <c r="DY41" s="264"/>
      <c r="EA41" s="264"/>
      <c r="EB41" s="252"/>
      <c r="ED41" s="264"/>
      <c r="EE41" s="264"/>
      <c r="EG41" s="264"/>
      <c r="EH41" s="264"/>
      <c r="EJ41" s="264"/>
      <c r="EK41" s="264"/>
      <c r="EM41" s="264"/>
      <c r="EN41" s="264"/>
      <c r="EP41" s="264"/>
      <c r="EQ41" s="264"/>
      <c r="ES41" s="264"/>
      <c r="ET41" s="264"/>
      <c r="EV41" s="264"/>
      <c r="EW41" s="264"/>
      <c r="EY41" s="264"/>
      <c r="EZ41" s="264"/>
      <c r="FB41" s="264"/>
      <c r="FC41" s="264"/>
      <c r="FE41" s="264"/>
      <c r="FF41" s="264"/>
      <c r="FH41" s="264"/>
      <c r="FI41" s="264"/>
      <c r="FK41" s="264"/>
      <c r="FL41" s="264"/>
      <c r="FN41" s="264"/>
      <c r="FO41" s="264"/>
      <c r="FQ41" s="264"/>
      <c r="FR41" s="264"/>
      <c r="FT41" s="264"/>
      <c r="FU41" s="264"/>
      <c r="FW41" s="264"/>
      <c r="FX41" s="264"/>
      <c r="FZ41" s="264"/>
      <c r="GA41" s="264"/>
      <c r="GC41" s="264"/>
      <c r="GD41" s="264"/>
      <c r="GF41" s="264"/>
      <c r="GG41" s="264"/>
      <c r="GI41" s="264"/>
      <c r="GJ41" s="264"/>
      <c r="GL41" s="264"/>
      <c r="GM41" s="264"/>
      <c r="GO41" s="264"/>
      <c r="GP41" s="264"/>
      <c r="GR41" s="264"/>
      <c r="GS41" s="264"/>
      <c r="GU41" s="264"/>
      <c r="GV41" s="264"/>
      <c r="GX41" s="264"/>
      <c r="GY41" s="264"/>
      <c r="HA41" s="264"/>
      <c r="HB41" s="264"/>
      <c r="HD41" s="264"/>
      <c r="HE41" s="264"/>
      <c r="HG41" s="264"/>
      <c r="HH41" s="264"/>
      <c r="HJ41" s="264"/>
      <c r="HK41" s="264"/>
      <c r="HM41" s="264"/>
      <c r="HN41" s="264"/>
      <c r="HP41" s="264"/>
      <c r="HQ41" s="264"/>
      <c r="HS41" s="264"/>
      <c r="HT41" s="264"/>
      <c r="HV41" s="264"/>
      <c r="HW41" s="264"/>
      <c r="HY41" s="264"/>
      <c r="HZ41" s="264"/>
      <c r="IB41" s="264"/>
      <c r="IC41" s="264"/>
      <c r="IE41" s="264"/>
      <c r="IF41" s="264"/>
    </row>
    <row r="42" spans="1:240" ht="12" x14ac:dyDescent="0.25">
      <c r="A42" s="264"/>
      <c r="B42" s="346" t="s">
        <v>377</v>
      </c>
      <c r="C42" s="254" t="s">
        <v>439</v>
      </c>
      <c r="D42" s="260"/>
      <c r="E42" s="264"/>
      <c r="G42" s="265"/>
      <c r="J42" s="264"/>
      <c r="K42" s="264"/>
      <c r="M42" s="264"/>
      <c r="N42" s="264"/>
      <c r="P42" s="264"/>
      <c r="Q42" s="264"/>
      <c r="S42" s="264"/>
      <c r="T42" s="264"/>
      <c r="V42" s="264"/>
      <c r="W42" s="264"/>
      <c r="Y42" s="264"/>
      <c r="Z42" s="264"/>
      <c r="AB42" s="264"/>
      <c r="AC42" s="264"/>
      <c r="AE42" s="264"/>
      <c r="AF42" s="264"/>
      <c r="AG42" s="264"/>
      <c r="AI42" s="264"/>
      <c r="AJ42" s="264"/>
      <c r="AL42" s="264"/>
      <c r="AM42" s="264"/>
      <c r="AO42" s="264"/>
      <c r="AP42" s="264"/>
      <c r="AR42" s="264"/>
      <c r="AS42" s="264"/>
      <c r="AU42" s="264"/>
      <c r="AV42" s="264"/>
      <c r="AX42" s="264"/>
      <c r="AY42" s="264"/>
      <c r="BA42" s="264"/>
      <c r="BB42" s="264"/>
      <c r="BD42" s="264"/>
      <c r="BE42" s="264"/>
      <c r="BG42" s="264"/>
      <c r="BH42" s="264"/>
      <c r="BJ42" s="264"/>
      <c r="BK42" s="264"/>
      <c r="BM42" s="264"/>
      <c r="BN42" s="264"/>
      <c r="BP42" s="264"/>
      <c r="BQ42" s="264"/>
      <c r="BS42" s="264"/>
      <c r="BT42" s="264"/>
      <c r="BV42" s="264"/>
      <c r="BW42" s="264"/>
      <c r="BY42" s="264"/>
      <c r="BZ42" s="264"/>
      <c r="CB42" s="264"/>
      <c r="CC42" s="264"/>
      <c r="CE42" s="264"/>
      <c r="CF42" s="264"/>
      <c r="CH42" s="264"/>
      <c r="CI42" s="264"/>
      <c r="CK42" s="264"/>
      <c r="CL42" s="264"/>
      <c r="CN42" s="264"/>
      <c r="CO42" s="264"/>
      <c r="CQ42" s="264"/>
      <c r="CR42" s="264"/>
      <c r="CT42" s="264"/>
      <c r="CU42" s="264"/>
      <c r="CW42" s="264"/>
      <c r="CX42" s="264"/>
      <c r="CZ42" s="264"/>
      <c r="DA42" s="264"/>
      <c r="DC42" s="264"/>
      <c r="DD42" s="264"/>
      <c r="DF42" s="264"/>
      <c r="DG42" s="264"/>
      <c r="DI42" s="264"/>
      <c r="DJ42" s="264"/>
      <c r="DL42" s="264"/>
      <c r="DM42" s="264"/>
      <c r="DO42" s="264"/>
      <c r="DP42" s="264"/>
      <c r="DR42" s="264"/>
      <c r="DS42" s="264"/>
      <c r="DU42" s="264"/>
      <c r="DV42" s="264"/>
      <c r="DX42" s="264"/>
      <c r="DY42" s="264"/>
      <c r="EA42" s="264"/>
      <c r="EB42" s="252"/>
      <c r="ED42" s="264"/>
      <c r="EE42" s="264"/>
      <c r="EG42" s="264"/>
      <c r="EH42" s="264"/>
      <c r="EJ42" s="264"/>
      <c r="EK42" s="264"/>
      <c r="EM42" s="264"/>
      <c r="EN42" s="264"/>
      <c r="EP42" s="264"/>
      <c r="EQ42" s="264"/>
      <c r="ES42" s="264"/>
      <c r="ET42" s="264"/>
      <c r="EV42" s="264"/>
      <c r="EW42" s="264"/>
      <c r="EY42" s="264"/>
      <c r="EZ42" s="264"/>
      <c r="FB42" s="264"/>
      <c r="FC42" s="264"/>
      <c r="FE42" s="264"/>
      <c r="FF42" s="264"/>
      <c r="FH42" s="264"/>
      <c r="FI42" s="264"/>
      <c r="FK42" s="264"/>
      <c r="FL42" s="264"/>
      <c r="FN42" s="264"/>
      <c r="FO42" s="264"/>
      <c r="FQ42" s="264"/>
      <c r="FR42" s="264"/>
      <c r="FT42" s="264"/>
      <c r="FU42" s="264"/>
      <c r="FW42" s="264"/>
      <c r="FX42" s="264"/>
      <c r="FZ42" s="264"/>
      <c r="GA42" s="264"/>
      <c r="GC42" s="264"/>
      <c r="GD42" s="264"/>
      <c r="GF42" s="264"/>
      <c r="GG42" s="264"/>
      <c r="GI42" s="264"/>
      <c r="GJ42" s="264"/>
      <c r="GL42" s="264"/>
      <c r="GM42" s="264"/>
      <c r="GO42" s="264"/>
      <c r="GP42" s="264"/>
      <c r="GR42" s="264"/>
      <c r="GS42" s="264"/>
      <c r="GU42" s="264"/>
      <c r="GV42" s="264"/>
      <c r="GX42" s="264"/>
      <c r="GY42" s="264"/>
      <c r="HA42" s="264"/>
      <c r="HB42" s="264"/>
      <c r="HD42" s="264"/>
      <c r="HE42" s="264"/>
      <c r="HG42" s="264"/>
      <c r="HH42" s="264"/>
      <c r="HJ42" s="264"/>
      <c r="HK42" s="264"/>
      <c r="HM42" s="264"/>
      <c r="HN42" s="264"/>
      <c r="HP42" s="264"/>
      <c r="HQ42" s="264"/>
      <c r="HS42" s="264"/>
      <c r="HT42" s="264"/>
      <c r="HV42" s="264"/>
      <c r="HW42" s="264"/>
      <c r="HY42" s="264"/>
      <c r="HZ42" s="264"/>
      <c r="IB42" s="264"/>
      <c r="IC42" s="264"/>
      <c r="IE42" s="264"/>
      <c r="IF42" s="264"/>
    </row>
    <row r="43" spans="1:240" ht="12" x14ac:dyDescent="0.25">
      <c r="A43" s="264"/>
      <c r="B43" s="346" t="s">
        <v>379</v>
      </c>
      <c r="C43" s="254" t="s">
        <v>498</v>
      </c>
      <c r="D43" s="260"/>
      <c r="E43" s="264"/>
      <c r="G43" s="265"/>
      <c r="J43" s="264"/>
      <c r="K43" s="264"/>
      <c r="M43" s="264"/>
      <c r="N43" s="264"/>
      <c r="P43" s="264"/>
      <c r="Q43" s="264"/>
      <c r="S43" s="264"/>
      <c r="T43" s="264"/>
      <c r="V43" s="264"/>
      <c r="W43" s="264"/>
      <c r="Y43" s="264"/>
      <c r="Z43" s="264"/>
      <c r="AB43" s="264"/>
      <c r="AC43" s="264"/>
      <c r="AE43" s="264"/>
      <c r="AF43" s="264"/>
      <c r="AG43" s="264"/>
      <c r="AI43" s="264"/>
      <c r="AJ43" s="264"/>
      <c r="AL43" s="264"/>
      <c r="AM43" s="264"/>
      <c r="AO43" s="264"/>
      <c r="AP43" s="264"/>
      <c r="AR43" s="264"/>
      <c r="AS43" s="264"/>
      <c r="AU43" s="264"/>
      <c r="AV43" s="264"/>
      <c r="AX43" s="264"/>
      <c r="AY43" s="264"/>
      <c r="BA43" s="264"/>
      <c r="BB43" s="264"/>
      <c r="BD43" s="264"/>
      <c r="BE43" s="264"/>
      <c r="BG43" s="264"/>
      <c r="BH43" s="264"/>
      <c r="BJ43" s="264"/>
      <c r="BK43" s="264"/>
      <c r="BM43" s="264"/>
      <c r="BN43" s="264"/>
      <c r="BP43" s="264"/>
      <c r="BQ43" s="264"/>
      <c r="BS43" s="264"/>
      <c r="BT43" s="264"/>
      <c r="BV43" s="264"/>
      <c r="BW43" s="264"/>
      <c r="BY43" s="264"/>
      <c r="BZ43" s="264"/>
      <c r="CB43" s="264"/>
      <c r="CC43" s="264"/>
      <c r="CE43" s="264"/>
      <c r="CF43" s="264"/>
      <c r="CH43" s="264"/>
      <c r="CI43" s="264"/>
      <c r="CK43" s="264"/>
      <c r="CL43" s="264"/>
      <c r="CN43" s="264"/>
      <c r="CO43" s="264"/>
      <c r="CQ43" s="264"/>
      <c r="CR43" s="264"/>
      <c r="CT43" s="264"/>
      <c r="CU43" s="264"/>
      <c r="CW43" s="264"/>
      <c r="CX43" s="264"/>
      <c r="CZ43" s="264"/>
      <c r="DA43" s="264"/>
      <c r="DC43" s="264"/>
      <c r="DD43" s="264"/>
      <c r="DF43" s="264"/>
      <c r="DG43" s="264"/>
      <c r="DI43" s="264"/>
      <c r="DJ43" s="264"/>
      <c r="DL43" s="264"/>
      <c r="DM43" s="264"/>
      <c r="DO43" s="264"/>
      <c r="DP43" s="264"/>
      <c r="DR43" s="264"/>
      <c r="DS43" s="264"/>
      <c r="DU43" s="264"/>
      <c r="DV43" s="264"/>
      <c r="DX43" s="264"/>
      <c r="DY43" s="264"/>
      <c r="EA43" s="264"/>
      <c r="EB43" s="252"/>
      <c r="ED43" s="264"/>
      <c r="EE43" s="264"/>
      <c r="EG43" s="264"/>
      <c r="EH43" s="264"/>
      <c r="EJ43" s="264"/>
      <c r="EK43" s="264"/>
      <c r="EM43" s="264"/>
      <c r="EN43" s="264"/>
      <c r="EP43" s="264"/>
      <c r="EQ43" s="264"/>
      <c r="ES43" s="264"/>
      <c r="ET43" s="264"/>
      <c r="EV43" s="264"/>
      <c r="EW43" s="264"/>
      <c r="EY43" s="264"/>
      <c r="EZ43" s="264"/>
      <c r="FB43" s="264"/>
      <c r="FC43" s="264"/>
      <c r="FE43" s="264"/>
      <c r="FF43" s="264"/>
      <c r="FH43" s="264"/>
      <c r="FI43" s="264"/>
      <c r="FK43" s="264"/>
      <c r="FL43" s="264"/>
      <c r="FN43" s="264"/>
      <c r="FO43" s="264"/>
      <c r="FQ43" s="264"/>
      <c r="FR43" s="264"/>
      <c r="FT43" s="264"/>
      <c r="FU43" s="264"/>
      <c r="FW43" s="264"/>
      <c r="FX43" s="264"/>
      <c r="FZ43" s="264"/>
      <c r="GA43" s="264"/>
      <c r="GC43" s="264"/>
      <c r="GD43" s="264"/>
      <c r="GF43" s="264"/>
      <c r="GG43" s="264"/>
      <c r="GI43" s="264"/>
      <c r="GJ43" s="264"/>
      <c r="GL43" s="264"/>
      <c r="GM43" s="264"/>
      <c r="GO43" s="264"/>
      <c r="GP43" s="264"/>
      <c r="GR43" s="264"/>
      <c r="GS43" s="264"/>
      <c r="GU43" s="264"/>
      <c r="GV43" s="264"/>
      <c r="GX43" s="264"/>
      <c r="GY43" s="264"/>
      <c r="HA43" s="264"/>
      <c r="HB43" s="264"/>
      <c r="HD43" s="264"/>
      <c r="HE43" s="264"/>
      <c r="HG43" s="264"/>
      <c r="HH43" s="264"/>
      <c r="HJ43" s="264"/>
      <c r="HK43" s="264"/>
      <c r="HM43" s="264"/>
      <c r="HN43" s="264"/>
      <c r="HP43" s="264"/>
      <c r="HQ43" s="264"/>
      <c r="HS43" s="264"/>
      <c r="HT43" s="264"/>
      <c r="HV43" s="264"/>
      <c r="HW43" s="264"/>
      <c r="HY43" s="264"/>
      <c r="HZ43" s="264"/>
      <c r="IB43" s="264"/>
      <c r="IC43" s="264"/>
      <c r="IE43" s="264"/>
      <c r="IF43" s="264"/>
    </row>
    <row r="44" spans="1:240" ht="12" x14ac:dyDescent="0.25">
      <c r="A44" s="264"/>
      <c r="B44" s="521"/>
      <c r="C44" s="336" t="s">
        <v>522</v>
      </c>
      <c r="D44" s="334" t="s">
        <v>523</v>
      </c>
      <c r="E44" s="264"/>
      <c r="G44" s="265"/>
      <c r="J44" s="264"/>
      <c r="K44" s="264"/>
      <c r="M44" s="264"/>
      <c r="N44" s="264"/>
      <c r="P44" s="264"/>
      <c r="Q44" s="264"/>
      <c r="S44" s="264"/>
      <c r="T44" s="264"/>
      <c r="V44" s="264"/>
      <c r="W44" s="264"/>
      <c r="Y44" s="264"/>
      <c r="Z44" s="264"/>
      <c r="AB44" s="264"/>
      <c r="AC44" s="264"/>
      <c r="AE44" s="264"/>
      <c r="AF44" s="264"/>
      <c r="AG44" s="264"/>
      <c r="AI44" s="264"/>
      <c r="AJ44" s="264"/>
      <c r="AL44" s="264"/>
      <c r="AM44" s="264"/>
      <c r="AO44" s="264"/>
      <c r="AP44" s="264"/>
      <c r="AR44" s="264"/>
      <c r="AS44" s="264"/>
      <c r="AU44" s="264"/>
      <c r="AV44" s="264"/>
      <c r="AX44" s="264"/>
      <c r="AY44" s="264"/>
      <c r="BA44" s="264"/>
      <c r="BB44" s="264"/>
      <c r="BD44" s="264"/>
      <c r="BE44" s="264"/>
      <c r="BG44" s="264"/>
      <c r="BH44" s="264"/>
      <c r="BJ44" s="264"/>
      <c r="BK44" s="264"/>
      <c r="BM44" s="264"/>
      <c r="BN44" s="264"/>
      <c r="BP44" s="264"/>
      <c r="BQ44" s="264"/>
      <c r="BS44" s="264"/>
      <c r="BT44" s="264"/>
      <c r="BV44" s="264"/>
      <c r="BW44" s="264"/>
      <c r="BY44" s="264"/>
      <c r="BZ44" s="264"/>
      <c r="CB44" s="264"/>
      <c r="CC44" s="264"/>
      <c r="CE44" s="264"/>
      <c r="CF44" s="264"/>
      <c r="CH44" s="264"/>
      <c r="CI44" s="264"/>
      <c r="CK44" s="264"/>
      <c r="CL44" s="264"/>
      <c r="CN44" s="264"/>
      <c r="CO44" s="264"/>
      <c r="CQ44" s="264"/>
      <c r="CR44" s="264"/>
      <c r="CT44" s="264"/>
      <c r="CU44" s="264"/>
      <c r="CW44" s="264"/>
      <c r="CX44" s="264"/>
      <c r="CZ44" s="264"/>
      <c r="DA44" s="264"/>
      <c r="DC44" s="264"/>
      <c r="DD44" s="264"/>
      <c r="DF44" s="264"/>
      <c r="DG44" s="264"/>
      <c r="DI44" s="264"/>
      <c r="DJ44" s="264"/>
      <c r="DL44" s="264"/>
      <c r="DM44" s="264"/>
      <c r="DO44" s="264"/>
      <c r="DP44" s="264"/>
      <c r="DR44" s="264"/>
      <c r="DS44" s="264"/>
      <c r="DU44" s="264"/>
      <c r="DV44" s="264"/>
      <c r="DX44" s="264"/>
      <c r="DY44" s="264"/>
      <c r="EA44" s="264"/>
      <c r="EB44" s="252"/>
      <c r="ED44" s="264"/>
      <c r="EE44" s="264"/>
      <c r="EG44" s="264"/>
      <c r="EH44" s="264"/>
      <c r="EJ44" s="264"/>
      <c r="EK44" s="264"/>
      <c r="EM44" s="264"/>
      <c r="EN44" s="264"/>
      <c r="EP44" s="264"/>
      <c r="EQ44" s="264"/>
      <c r="ES44" s="264"/>
      <c r="ET44" s="264"/>
      <c r="EV44" s="264"/>
      <c r="EW44" s="264"/>
      <c r="EY44" s="264"/>
      <c r="EZ44" s="264"/>
      <c r="FB44" s="264"/>
      <c r="FC44" s="264"/>
      <c r="FE44" s="264"/>
      <c r="FF44" s="264"/>
      <c r="FH44" s="264"/>
      <c r="FI44" s="264"/>
      <c r="FK44" s="264"/>
      <c r="FL44" s="264"/>
      <c r="FN44" s="264"/>
      <c r="FO44" s="264"/>
      <c r="FQ44" s="264"/>
      <c r="FR44" s="264"/>
      <c r="FT44" s="264"/>
      <c r="FU44" s="264"/>
      <c r="FW44" s="264"/>
      <c r="FX44" s="264"/>
      <c r="FZ44" s="264"/>
      <c r="GA44" s="264"/>
      <c r="GC44" s="264"/>
      <c r="GD44" s="264"/>
      <c r="GF44" s="264"/>
      <c r="GG44" s="264"/>
      <c r="GI44" s="264"/>
      <c r="GJ44" s="264"/>
      <c r="GL44" s="264"/>
      <c r="GM44" s="264"/>
      <c r="GO44" s="264"/>
      <c r="GP44" s="264"/>
      <c r="GR44" s="264"/>
      <c r="GS44" s="264"/>
      <c r="GU44" s="264"/>
      <c r="GV44" s="264"/>
      <c r="GX44" s="264"/>
      <c r="GY44" s="264"/>
      <c r="HA44" s="264"/>
      <c r="HB44" s="264"/>
      <c r="HD44" s="264"/>
      <c r="HE44" s="264"/>
      <c r="HG44" s="264"/>
      <c r="HH44" s="264"/>
      <c r="HJ44" s="264"/>
      <c r="HK44" s="264"/>
      <c r="HM44" s="264"/>
      <c r="HN44" s="264"/>
      <c r="HP44" s="264"/>
      <c r="HQ44" s="264"/>
      <c r="HS44" s="264"/>
      <c r="HT44" s="264"/>
      <c r="HV44" s="264"/>
      <c r="HW44" s="264"/>
      <c r="HY44" s="264"/>
      <c r="HZ44" s="264"/>
      <c r="IB44" s="264"/>
      <c r="IC44" s="264"/>
      <c r="IE44" s="264"/>
      <c r="IF44" s="264"/>
    </row>
    <row r="45" spans="1:240" ht="12" x14ac:dyDescent="0.25">
      <c r="A45" s="264"/>
      <c r="B45" s="521"/>
      <c r="C45" s="336" t="s">
        <v>479</v>
      </c>
      <c r="D45" s="334" t="s">
        <v>523</v>
      </c>
      <c r="E45" s="264"/>
      <c r="G45" s="265"/>
      <c r="J45" s="264"/>
      <c r="K45" s="264"/>
      <c r="M45" s="264"/>
      <c r="N45" s="264"/>
      <c r="P45" s="264"/>
      <c r="Q45" s="264"/>
      <c r="S45" s="264"/>
      <c r="T45" s="264"/>
      <c r="V45" s="264"/>
      <c r="W45" s="264"/>
      <c r="Y45" s="264"/>
      <c r="Z45" s="264"/>
      <c r="AB45" s="264"/>
      <c r="AC45" s="264"/>
      <c r="AE45" s="264"/>
      <c r="AF45" s="264"/>
      <c r="AG45" s="264"/>
      <c r="AI45" s="264"/>
      <c r="AJ45" s="264"/>
      <c r="AL45" s="264"/>
      <c r="AM45" s="264"/>
      <c r="AO45" s="264"/>
      <c r="AP45" s="264"/>
      <c r="AR45" s="264"/>
      <c r="AS45" s="264"/>
      <c r="AU45" s="264"/>
      <c r="AV45" s="264"/>
      <c r="AX45" s="264"/>
      <c r="AY45" s="264"/>
      <c r="BA45" s="264"/>
      <c r="BB45" s="264"/>
      <c r="BD45" s="264"/>
      <c r="BE45" s="264"/>
      <c r="BG45" s="264"/>
      <c r="BH45" s="264"/>
      <c r="BJ45" s="264"/>
      <c r="BK45" s="264"/>
      <c r="BM45" s="264"/>
      <c r="BN45" s="264"/>
      <c r="BP45" s="264"/>
      <c r="BQ45" s="264"/>
      <c r="BS45" s="264"/>
      <c r="BT45" s="264"/>
      <c r="BV45" s="264"/>
      <c r="BW45" s="264"/>
      <c r="BY45" s="264"/>
      <c r="BZ45" s="264"/>
      <c r="CB45" s="264"/>
      <c r="CC45" s="264"/>
      <c r="CE45" s="264"/>
      <c r="CF45" s="264"/>
      <c r="CH45" s="264"/>
      <c r="CI45" s="264"/>
      <c r="CK45" s="264"/>
      <c r="CL45" s="264"/>
      <c r="CN45" s="264"/>
      <c r="CO45" s="264"/>
      <c r="CQ45" s="264"/>
      <c r="CR45" s="264"/>
      <c r="CT45" s="264"/>
      <c r="CU45" s="264"/>
      <c r="CW45" s="264"/>
      <c r="CX45" s="264"/>
      <c r="CZ45" s="264"/>
      <c r="DA45" s="264"/>
      <c r="DC45" s="264"/>
      <c r="DD45" s="264"/>
      <c r="DF45" s="264"/>
      <c r="DG45" s="264"/>
      <c r="DI45" s="264"/>
      <c r="DJ45" s="264"/>
      <c r="DL45" s="264"/>
      <c r="DM45" s="264"/>
      <c r="DO45" s="264"/>
      <c r="DP45" s="264"/>
      <c r="DR45" s="264"/>
      <c r="DS45" s="264"/>
      <c r="DU45" s="264"/>
      <c r="DV45" s="264"/>
      <c r="DX45" s="264"/>
      <c r="DY45" s="264"/>
      <c r="EA45" s="264"/>
      <c r="EB45" s="252"/>
      <c r="ED45" s="264"/>
      <c r="EE45" s="264"/>
      <c r="EG45" s="264"/>
      <c r="EH45" s="264"/>
      <c r="EJ45" s="264"/>
      <c r="EK45" s="264"/>
      <c r="EM45" s="264"/>
      <c r="EN45" s="264"/>
      <c r="EP45" s="264"/>
      <c r="EQ45" s="264"/>
      <c r="ES45" s="264"/>
      <c r="ET45" s="264"/>
      <c r="EV45" s="264"/>
      <c r="EW45" s="264"/>
      <c r="EY45" s="264"/>
      <c r="EZ45" s="264"/>
      <c r="FB45" s="264"/>
      <c r="FC45" s="264"/>
      <c r="FE45" s="264"/>
      <c r="FF45" s="264"/>
      <c r="FH45" s="264"/>
      <c r="FI45" s="264"/>
      <c r="FK45" s="264"/>
      <c r="FL45" s="264"/>
      <c r="FN45" s="264"/>
      <c r="FO45" s="264"/>
      <c r="FQ45" s="264"/>
      <c r="FR45" s="264"/>
      <c r="FT45" s="264"/>
      <c r="FU45" s="264"/>
      <c r="FW45" s="264"/>
      <c r="FX45" s="264"/>
      <c r="FZ45" s="264"/>
      <c r="GA45" s="264"/>
      <c r="GC45" s="264"/>
      <c r="GD45" s="264"/>
      <c r="GF45" s="264"/>
      <c r="GG45" s="264"/>
      <c r="GI45" s="264"/>
      <c r="GJ45" s="264"/>
      <c r="GL45" s="264"/>
      <c r="GM45" s="264"/>
      <c r="GO45" s="264"/>
      <c r="GP45" s="264"/>
      <c r="GR45" s="264"/>
      <c r="GS45" s="264"/>
      <c r="GU45" s="264"/>
      <c r="GV45" s="264"/>
      <c r="GX45" s="264"/>
      <c r="GY45" s="264"/>
      <c r="HA45" s="264"/>
      <c r="HB45" s="264"/>
      <c r="HD45" s="264"/>
      <c r="HE45" s="264"/>
      <c r="HG45" s="264"/>
      <c r="HH45" s="264"/>
      <c r="HJ45" s="264"/>
      <c r="HK45" s="264"/>
      <c r="HM45" s="264"/>
      <c r="HN45" s="264"/>
      <c r="HP45" s="264"/>
      <c r="HQ45" s="264"/>
      <c r="HS45" s="264"/>
      <c r="HT45" s="264"/>
      <c r="HV45" s="264"/>
      <c r="HW45" s="264"/>
      <c r="HY45" s="264"/>
      <c r="HZ45" s="264"/>
      <c r="IB45" s="264"/>
      <c r="IC45" s="264"/>
      <c r="IE45" s="264"/>
      <c r="IF45" s="264"/>
    </row>
    <row r="46" spans="1:240" x14ac:dyDescent="0.25">
      <c r="A46" s="264"/>
      <c r="C46" s="347" t="s">
        <v>480</v>
      </c>
      <c r="D46" s="32"/>
      <c r="E46" s="264"/>
      <c r="G46" s="265"/>
      <c r="J46" s="264"/>
      <c r="K46" s="264"/>
      <c r="M46" s="264"/>
      <c r="N46" s="264"/>
      <c r="P46" s="264"/>
      <c r="Q46" s="264"/>
      <c r="S46" s="264"/>
      <c r="T46" s="264"/>
      <c r="V46" s="264"/>
      <c r="W46" s="264"/>
      <c r="Y46" s="264"/>
      <c r="Z46" s="264"/>
      <c r="AB46" s="264"/>
      <c r="AC46" s="264"/>
      <c r="AE46" s="264"/>
      <c r="AF46" s="264"/>
      <c r="AG46" s="264"/>
      <c r="AI46" s="264"/>
      <c r="AJ46" s="264"/>
      <c r="AL46" s="264"/>
      <c r="AM46" s="264"/>
      <c r="AO46" s="264"/>
      <c r="AP46" s="264"/>
      <c r="AR46" s="264"/>
      <c r="AS46" s="264"/>
      <c r="AU46" s="264"/>
      <c r="AV46" s="264"/>
      <c r="AX46" s="264"/>
      <c r="AY46" s="264"/>
      <c r="BA46" s="264"/>
      <c r="BB46" s="264"/>
      <c r="BD46" s="264"/>
      <c r="BE46" s="264"/>
      <c r="BG46" s="264"/>
      <c r="BH46" s="264"/>
      <c r="BJ46" s="264"/>
      <c r="BK46" s="264"/>
      <c r="BM46" s="264"/>
      <c r="BN46" s="264"/>
      <c r="BP46" s="264"/>
      <c r="BQ46" s="264"/>
      <c r="BS46" s="264"/>
      <c r="BT46" s="264"/>
      <c r="BV46" s="264"/>
      <c r="BW46" s="264"/>
      <c r="BY46" s="264"/>
      <c r="BZ46" s="264"/>
      <c r="CB46" s="264"/>
      <c r="CC46" s="264"/>
      <c r="CE46" s="264"/>
      <c r="CF46" s="264"/>
      <c r="CH46" s="264"/>
      <c r="CI46" s="264"/>
      <c r="CK46" s="264"/>
      <c r="CL46" s="264"/>
      <c r="CN46" s="264"/>
      <c r="CO46" s="264"/>
      <c r="CQ46" s="264"/>
      <c r="CR46" s="264"/>
      <c r="CT46" s="264"/>
      <c r="CU46" s="264"/>
      <c r="CW46" s="264"/>
      <c r="CX46" s="264"/>
      <c r="CZ46" s="264"/>
      <c r="DA46" s="264"/>
      <c r="DC46" s="264"/>
      <c r="DD46" s="264"/>
      <c r="DF46" s="264"/>
      <c r="DG46" s="264"/>
      <c r="DI46" s="264"/>
      <c r="DJ46" s="264"/>
      <c r="DL46" s="264"/>
      <c r="DM46" s="264"/>
      <c r="DO46" s="264"/>
      <c r="DP46" s="264"/>
      <c r="DR46" s="264"/>
      <c r="DS46" s="264"/>
      <c r="DU46" s="264"/>
      <c r="DV46" s="264"/>
      <c r="DX46" s="264"/>
      <c r="DY46" s="264"/>
      <c r="EA46" s="264"/>
      <c r="EB46" s="252"/>
      <c r="ED46" s="264"/>
      <c r="EE46" s="264"/>
      <c r="EG46" s="264"/>
      <c r="EH46" s="264"/>
      <c r="EJ46" s="264"/>
      <c r="EK46" s="264"/>
      <c r="EM46" s="264"/>
      <c r="EN46" s="264"/>
      <c r="EP46" s="264"/>
      <c r="EQ46" s="264"/>
      <c r="ES46" s="264"/>
      <c r="ET46" s="264"/>
      <c r="EV46" s="264"/>
      <c r="EW46" s="264"/>
      <c r="EY46" s="264"/>
      <c r="EZ46" s="264"/>
      <c r="FB46" s="264"/>
      <c r="FC46" s="264"/>
      <c r="FE46" s="264"/>
      <c r="FF46" s="264"/>
      <c r="FH46" s="264"/>
      <c r="FI46" s="264"/>
      <c r="FK46" s="264"/>
      <c r="FL46" s="264"/>
      <c r="FN46" s="264"/>
      <c r="FO46" s="264"/>
      <c r="FQ46" s="264"/>
      <c r="FR46" s="264"/>
      <c r="FT46" s="264"/>
      <c r="FU46" s="264"/>
      <c r="FW46" s="264"/>
      <c r="FX46" s="264"/>
      <c r="FZ46" s="264"/>
      <c r="GA46" s="264"/>
      <c r="GC46" s="264"/>
      <c r="GD46" s="264"/>
      <c r="GF46" s="264"/>
      <c r="GG46" s="264"/>
      <c r="GI46" s="264"/>
      <c r="GJ46" s="264"/>
      <c r="GL46" s="264"/>
      <c r="GM46" s="264"/>
      <c r="GO46" s="264"/>
      <c r="GP46" s="264"/>
      <c r="GR46" s="264"/>
      <c r="GS46" s="264"/>
      <c r="GU46" s="264"/>
      <c r="GV46" s="264"/>
      <c r="GX46" s="264"/>
      <c r="GY46" s="264"/>
      <c r="HA46" s="264"/>
      <c r="HB46" s="264"/>
      <c r="HD46" s="264"/>
      <c r="HE46" s="264"/>
      <c r="HG46" s="264"/>
      <c r="HH46" s="264"/>
      <c r="HJ46" s="264"/>
      <c r="HK46" s="264"/>
      <c r="HM46" s="264"/>
      <c r="HN46" s="264"/>
      <c r="HP46" s="264"/>
      <c r="HQ46" s="264"/>
      <c r="HS46" s="264"/>
      <c r="HT46" s="264"/>
      <c r="HV46" s="264"/>
      <c r="HW46" s="264"/>
      <c r="HY46" s="264"/>
      <c r="HZ46" s="264"/>
      <c r="IB46" s="264"/>
      <c r="IC46" s="264"/>
      <c r="IE46" s="264"/>
      <c r="IF46" s="264"/>
    </row>
    <row r="47" spans="1:240" x14ac:dyDescent="0.25">
      <c r="A47" s="264"/>
      <c r="C47" s="335" t="s">
        <v>502</v>
      </c>
      <c r="D47" s="334" t="s">
        <v>519</v>
      </c>
      <c r="E47" s="264"/>
      <c r="G47" s="265"/>
      <c r="J47" s="264"/>
      <c r="K47" s="264"/>
      <c r="M47" s="264"/>
      <c r="N47" s="264"/>
      <c r="P47" s="264"/>
      <c r="Q47" s="264"/>
      <c r="S47" s="264"/>
      <c r="T47" s="264"/>
      <c r="V47" s="264"/>
      <c r="W47" s="264"/>
      <c r="Y47" s="264"/>
      <c r="Z47" s="264"/>
      <c r="AB47" s="264"/>
      <c r="AC47" s="264"/>
      <c r="AE47" s="264"/>
      <c r="AF47" s="264"/>
      <c r="AG47" s="264"/>
      <c r="AI47" s="264"/>
      <c r="AJ47" s="264"/>
      <c r="AL47" s="264"/>
      <c r="AM47" s="264"/>
      <c r="AO47" s="264"/>
      <c r="AP47" s="264"/>
      <c r="AR47" s="264"/>
      <c r="AS47" s="264"/>
      <c r="AU47" s="264"/>
      <c r="AV47" s="264"/>
      <c r="AX47" s="264"/>
      <c r="AY47" s="264"/>
      <c r="BA47" s="264"/>
      <c r="BB47" s="264"/>
      <c r="BD47" s="264"/>
      <c r="BE47" s="264"/>
      <c r="BG47" s="264"/>
      <c r="BH47" s="264"/>
      <c r="BJ47" s="264"/>
      <c r="BK47" s="264"/>
      <c r="BM47" s="264"/>
      <c r="BN47" s="264"/>
      <c r="BP47" s="264"/>
      <c r="BQ47" s="264"/>
      <c r="BS47" s="264"/>
      <c r="BT47" s="264"/>
      <c r="BV47" s="264"/>
      <c r="BW47" s="264"/>
      <c r="BY47" s="264"/>
      <c r="BZ47" s="264"/>
      <c r="CB47" s="264"/>
      <c r="CC47" s="264"/>
      <c r="CE47" s="264"/>
      <c r="CF47" s="264"/>
      <c r="CH47" s="264"/>
      <c r="CI47" s="264"/>
      <c r="CK47" s="264"/>
      <c r="CL47" s="264"/>
      <c r="CN47" s="264"/>
      <c r="CO47" s="264"/>
      <c r="CQ47" s="264"/>
      <c r="CR47" s="264"/>
      <c r="CT47" s="264"/>
      <c r="CU47" s="264"/>
      <c r="CW47" s="264"/>
      <c r="CX47" s="264"/>
      <c r="CZ47" s="264"/>
      <c r="DA47" s="264"/>
      <c r="DC47" s="264"/>
      <c r="DD47" s="264"/>
      <c r="DF47" s="264"/>
      <c r="DG47" s="264"/>
      <c r="DI47" s="264"/>
      <c r="DJ47" s="264"/>
      <c r="DL47" s="264"/>
      <c r="DM47" s="264"/>
      <c r="DO47" s="264"/>
      <c r="DP47" s="264"/>
      <c r="DR47" s="264"/>
      <c r="DS47" s="264"/>
      <c r="DU47" s="264"/>
      <c r="DV47" s="264"/>
      <c r="DX47" s="264"/>
      <c r="DY47" s="264"/>
      <c r="EA47" s="264"/>
      <c r="EB47" s="252"/>
      <c r="ED47" s="264"/>
      <c r="EE47" s="264"/>
      <c r="EG47" s="264"/>
      <c r="EH47" s="264"/>
      <c r="EJ47" s="264"/>
      <c r="EK47" s="264"/>
      <c r="EM47" s="264"/>
      <c r="EN47" s="264"/>
      <c r="EP47" s="264"/>
      <c r="EQ47" s="264"/>
      <c r="ES47" s="264"/>
      <c r="ET47" s="264"/>
      <c r="EV47" s="264"/>
      <c r="EW47" s="264"/>
      <c r="EY47" s="264"/>
      <c r="EZ47" s="264"/>
      <c r="FB47" s="264"/>
      <c r="FC47" s="264"/>
      <c r="FE47" s="264"/>
      <c r="FF47" s="264"/>
      <c r="FH47" s="264"/>
      <c r="FI47" s="264"/>
      <c r="FK47" s="264"/>
      <c r="FL47" s="264"/>
      <c r="FN47" s="264"/>
      <c r="FO47" s="264"/>
      <c r="FQ47" s="264"/>
      <c r="FR47" s="264"/>
      <c r="FT47" s="264"/>
      <c r="FU47" s="264"/>
      <c r="FW47" s="264"/>
      <c r="FX47" s="264"/>
      <c r="FZ47" s="264"/>
      <c r="GA47" s="264"/>
      <c r="GC47" s="264"/>
      <c r="GD47" s="264"/>
      <c r="GF47" s="264"/>
      <c r="GG47" s="264"/>
      <c r="GI47" s="264"/>
      <c r="GJ47" s="264"/>
      <c r="GL47" s="264"/>
      <c r="GM47" s="264"/>
      <c r="GO47" s="264"/>
      <c r="GP47" s="264"/>
      <c r="GR47" s="264"/>
      <c r="GS47" s="264"/>
      <c r="GU47" s="264"/>
      <c r="GV47" s="264"/>
      <c r="GX47" s="264"/>
      <c r="GY47" s="264"/>
      <c r="HA47" s="264"/>
      <c r="HB47" s="264"/>
      <c r="HD47" s="264"/>
      <c r="HE47" s="264"/>
      <c r="HG47" s="264"/>
      <c r="HH47" s="264"/>
      <c r="HJ47" s="264"/>
      <c r="HK47" s="264"/>
      <c r="HM47" s="264"/>
      <c r="HN47" s="264"/>
      <c r="HP47" s="264"/>
      <c r="HQ47" s="264"/>
      <c r="HS47" s="264"/>
      <c r="HT47" s="264"/>
      <c r="HV47" s="264"/>
      <c r="HW47" s="264"/>
      <c r="HY47" s="264"/>
      <c r="HZ47" s="264"/>
      <c r="IB47" s="264"/>
      <c r="IC47" s="264"/>
      <c r="IE47" s="264"/>
      <c r="IF47" s="264"/>
    </row>
    <row r="48" spans="1:240" x14ac:dyDescent="0.25">
      <c r="A48" s="264"/>
      <c r="C48" s="335" t="s">
        <v>776</v>
      </c>
      <c r="D48" s="334" t="s">
        <v>519</v>
      </c>
      <c r="E48" s="264"/>
      <c r="G48" s="265"/>
      <c r="J48" s="264"/>
      <c r="K48" s="264"/>
      <c r="M48" s="264"/>
      <c r="N48" s="264"/>
      <c r="P48" s="264"/>
      <c r="Q48" s="264"/>
      <c r="S48" s="264"/>
      <c r="T48" s="264"/>
      <c r="V48" s="264"/>
      <c r="W48" s="264"/>
      <c r="Y48" s="264"/>
      <c r="Z48" s="264"/>
      <c r="AB48" s="264"/>
      <c r="AC48" s="264"/>
      <c r="AE48" s="264"/>
      <c r="AF48" s="264"/>
      <c r="AG48" s="264"/>
      <c r="AI48" s="264"/>
      <c r="AJ48" s="264"/>
      <c r="AL48" s="264"/>
      <c r="AM48" s="264"/>
      <c r="AO48" s="264"/>
      <c r="AP48" s="264"/>
      <c r="AR48" s="264"/>
      <c r="AS48" s="264"/>
      <c r="AU48" s="264"/>
      <c r="AV48" s="264"/>
      <c r="AX48" s="264"/>
      <c r="AY48" s="264"/>
      <c r="BA48" s="264"/>
      <c r="BB48" s="264"/>
      <c r="BD48" s="264"/>
      <c r="BE48" s="264"/>
      <c r="BG48" s="264"/>
      <c r="BH48" s="264"/>
      <c r="BJ48" s="264"/>
      <c r="BK48" s="264"/>
      <c r="BM48" s="264"/>
      <c r="BN48" s="264"/>
      <c r="BP48" s="264"/>
      <c r="BQ48" s="264"/>
      <c r="BS48" s="264"/>
      <c r="BT48" s="264"/>
      <c r="BV48" s="264"/>
      <c r="BW48" s="264"/>
      <c r="BY48" s="264"/>
      <c r="BZ48" s="264"/>
      <c r="CB48" s="264"/>
      <c r="CC48" s="264"/>
      <c r="CE48" s="264"/>
      <c r="CF48" s="264"/>
      <c r="CH48" s="264"/>
      <c r="CI48" s="264"/>
      <c r="CK48" s="264"/>
      <c r="CL48" s="264"/>
      <c r="CN48" s="264"/>
      <c r="CO48" s="264"/>
      <c r="CQ48" s="264"/>
      <c r="CR48" s="264"/>
      <c r="CT48" s="264"/>
      <c r="CU48" s="264"/>
      <c r="CW48" s="264"/>
      <c r="CX48" s="264"/>
      <c r="CZ48" s="264"/>
      <c r="DA48" s="264"/>
      <c r="DC48" s="264"/>
      <c r="DD48" s="264"/>
      <c r="DF48" s="264"/>
      <c r="DG48" s="264"/>
      <c r="DI48" s="264"/>
      <c r="DJ48" s="264"/>
      <c r="DL48" s="264"/>
      <c r="DM48" s="264"/>
      <c r="DO48" s="264"/>
      <c r="DP48" s="264"/>
      <c r="DR48" s="264"/>
      <c r="DS48" s="264"/>
      <c r="DU48" s="264"/>
      <c r="DV48" s="264"/>
      <c r="DX48" s="264"/>
      <c r="DY48" s="264"/>
      <c r="EA48" s="264"/>
      <c r="EB48" s="252"/>
      <c r="ED48" s="264"/>
      <c r="EE48" s="264"/>
      <c r="EG48" s="264"/>
      <c r="EH48" s="264"/>
      <c r="EJ48" s="264"/>
      <c r="EK48" s="264"/>
      <c r="EM48" s="264"/>
      <c r="EN48" s="264"/>
      <c r="EP48" s="264"/>
      <c r="EQ48" s="264"/>
      <c r="ES48" s="264"/>
      <c r="ET48" s="264"/>
      <c r="EV48" s="264"/>
      <c r="EW48" s="264"/>
      <c r="EY48" s="264"/>
      <c r="EZ48" s="264"/>
      <c r="FB48" s="264"/>
      <c r="FC48" s="264"/>
      <c r="FE48" s="264"/>
      <c r="FF48" s="264"/>
      <c r="FH48" s="264"/>
      <c r="FI48" s="264"/>
      <c r="FK48" s="264"/>
      <c r="FL48" s="264"/>
      <c r="FN48" s="264"/>
      <c r="FO48" s="264"/>
      <c r="FQ48" s="264"/>
      <c r="FR48" s="264"/>
      <c r="FT48" s="264"/>
      <c r="FU48" s="264"/>
      <c r="FW48" s="264"/>
      <c r="FX48" s="264"/>
      <c r="FZ48" s="264"/>
      <c r="GA48" s="264"/>
      <c r="GC48" s="264"/>
      <c r="GD48" s="264"/>
      <c r="GF48" s="264"/>
      <c r="GG48" s="264"/>
      <c r="GI48" s="264"/>
      <c r="GJ48" s="264"/>
      <c r="GL48" s="264"/>
      <c r="GM48" s="264"/>
      <c r="GO48" s="264"/>
      <c r="GP48" s="264"/>
      <c r="GR48" s="264"/>
      <c r="GS48" s="264"/>
      <c r="GU48" s="264"/>
      <c r="GV48" s="264"/>
      <c r="GX48" s="264"/>
      <c r="GY48" s="264"/>
      <c r="HA48" s="264"/>
      <c r="HB48" s="264"/>
      <c r="HD48" s="264"/>
      <c r="HE48" s="264"/>
      <c r="HG48" s="264"/>
      <c r="HH48" s="264"/>
      <c r="HJ48" s="264"/>
      <c r="HK48" s="264"/>
      <c r="HM48" s="264"/>
      <c r="HN48" s="264"/>
      <c r="HP48" s="264"/>
      <c r="HQ48" s="264"/>
      <c r="HS48" s="264"/>
      <c r="HT48" s="264"/>
      <c r="HV48" s="264"/>
      <c r="HW48" s="264"/>
      <c r="HY48" s="264"/>
      <c r="HZ48" s="264"/>
      <c r="IB48" s="264"/>
      <c r="IC48" s="264"/>
      <c r="IE48" s="264"/>
      <c r="IF48" s="264"/>
    </row>
    <row r="49" spans="1:240" x14ac:dyDescent="0.25">
      <c r="A49" s="264"/>
      <c r="C49" s="226" t="s">
        <v>503</v>
      </c>
      <c r="D49" s="334"/>
      <c r="E49" s="264"/>
      <c r="G49" s="265"/>
      <c r="J49" s="264"/>
      <c r="K49" s="264"/>
      <c r="M49" s="264"/>
      <c r="N49" s="264"/>
      <c r="P49" s="264"/>
      <c r="Q49" s="264"/>
      <c r="S49" s="264"/>
      <c r="T49" s="264"/>
      <c r="V49" s="264"/>
      <c r="W49" s="264"/>
      <c r="Y49" s="264"/>
      <c r="Z49" s="264"/>
      <c r="AB49" s="264"/>
      <c r="AC49" s="264"/>
      <c r="AE49" s="264"/>
      <c r="AF49" s="264"/>
      <c r="AG49" s="264"/>
      <c r="AI49" s="264"/>
      <c r="AJ49" s="264"/>
      <c r="AL49" s="264"/>
      <c r="AM49" s="264"/>
      <c r="AO49" s="264"/>
      <c r="AP49" s="264"/>
      <c r="AR49" s="264"/>
      <c r="AS49" s="264"/>
      <c r="AU49" s="264"/>
      <c r="AV49" s="264"/>
      <c r="AX49" s="264"/>
      <c r="AY49" s="264"/>
      <c r="BA49" s="264"/>
      <c r="BB49" s="264"/>
      <c r="BD49" s="264"/>
      <c r="BE49" s="264"/>
      <c r="BG49" s="264"/>
      <c r="BH49" s="264"/>
      <c r="BJ49" s="264"/>
      <c r="BK49" s="264"/>
      <c r="BM49" s="264"/>
      <c r="BN49" s="264"/>
      <c r="BP49" s="264"/>
      <c r="BQ49" s="264"/>
      <c r="BS49" s="264"/>
      <c r="BT49" s="264"/>
      <c r="BV49" s="264"/>
      <c r="BW49" s="264"/>
      <c r="BY49" s="264"/>
      <c r="BZ49" s="264"/>
      <c r="CB49" s="264"/>
      <c r="CC49" s="264"/>
      <c r="CE49" s="264"/>
      <c r="CF49" s="264"/>
      <c r="CH49" s="264"/>
      <c r="CI49" s="264"/>
      <c r="CK49" s="264"/>
      <c r="CL49" s="264"/>
      <c r="CN49" s="264"/>
      <c r="CO49" s="264"/>
      <c r="CQ49" s="264"/>
      <c r="CR49" s="264"/>
      <c r="CT49" s="264"/>
      <c r="CU49" s="264"/>
      <c r="CW49" s="264"/>
      <c r="CX49" s="264"/>
      <c r="CZ49" s="264"/>
      <c r="DA49" s="264"/>
      <c r="DC49" s="264"/>
      <c r="DD49" s="264"/>
      <c r="DF49" s="264"/>
      <c r="DG49" s="264"/>
      <c r="DI49" s="264"/>
      <c r="DJ49" s="264"/>
      <c r="DL49" s="264"/>
      <c r="DM49" s="264"/>
      <c r="DO49" s="264"/>
      <c r="DP49" s="264"/>
      <c r="DR49" s="264"/>
      <c r="DS49" s="264"/>
      <c r="DU49" s="264"/>
      <c r="DV49" s="264"/>
      <c r="DX49" s="264"/>
      <c r="DY49" s="264"/>
      <c r="EA49" s="264"/>
      <c r="EB49" s="252"/>
      <c r="ED49" s="264"/>
      <c r="EE49" s="264"/>
      <c r="EG49" s="264"/>
      <c r="EH49" s="264"/>
      <c r="EJ49" s="264"/>
      <c r="EK49" s="264"/>
      <c r="EM49" s="264"/>
      <c r="EN49" s="264"/>
      <c r="EP49" s="264"/>
      <c r="EQ49" s="264"/>
      <c r="ES49" s="264"/>
      <c r="ET49" s="264"/>
      <c r="EV49" s="264"/>
      <c r="EW49" s="264"/>
      <c r="EY49" s="264"/>
      <c r="EZ49" s="264"/>
      <c r="FB49" s="264"/>
      <c r="FC49" s="264"/>
      <c r="FE49" s="264"/>
      <c r="FF49" s="264"/>
      <c r="FH49" s="264"/>
      <c r="FI49" s="264"/>
      <c r="FK49" s="264"/>
      <c r="FL49" s="264"/>
      <c r="FN49" s="264"/>
      <c r="FO49" s="264"/>
      <c r="FQ49" s="264"/>
      <c r="FR49" s="264"/>
      <c r="FT49" s="264"/>
      <c r="FU49" s="264"/>
      <c r="FW49" s="264"/>
      <c r="FX49" s="264"/>
      <c r="FZ49" s="264"/>
      <c r="GA49" s="264"/>
      <c r="GC49" s="264"/>
      <c r="GD49" s="264"/>
      <c r="GF49" s="264"/>
      <c r="GG49" s="264"/>
      <c r="GI49" s="264"/>
      <c r="GJ49" s="264"/>
      <c r="GL49" s="264"/>
      <c r="GM49" s="264"/>
      <c r="GO49" s="264"/>
      <c r="GP49" s="264"/>
      <c r="GR49" s="264"/>
      <c r="GS49" s="264"/>
      <c r="GU49" s="264"/>
      <c r="GV49" s="264"/>
      <c r="GX49" s="264"/>
      <c r="GY49" s="264"/>
      <c r="HA49" s="264"/>
      <c r="HB49" s="264"/>
      <c r="HD49" s="264"/>
      <c r="HE49" s="264"/>
      <c r="HG49" s="264"/>
      <c r="HH49" s="264"/>
      <c r="HJ49" s="264"/>
      <c r="HK49" s="264"/>
      <c r="HM49" s="264"/>
      <c r="HN49" s="264"/>
      <c r="HP49" s="264"/>
      <c r="HQ49" s="264"/>
      <c r="HS49" s="264"/>
      <c r="HT49" s="264"/>
      <c r="HV49" s="264"/>
      <c r="HW49" s="264"/>
      <c r="HY49" s="264"/>
      <c r="HZ49" s="264"/>
      <c r="IB49" s="264"/>
      <c r="IC49" s="264"/>
      <c r="IE49" s="264"/>
      <c r="IF49" s="264"/>
    </row>
    <row r="50" spans="1:240" x14ac:dyDescent="0.25">
      <c r="A50" s="264"/>
      <c r="C50" s="335" t="s">
        <v>504</v>
      </c>
      <c r="D50" s="334" t="s">
        <v>627</v>
      </c>
      <c r="E50" s="264"/>
      <c r="G50" s="265"/>
      <c r="J50" s="264"/>
      <c r="K50" s="264"/>
      <c r="M50" s="264"/>
      <c r="N50" s="264"/>
      <c r="P50" s="264"/>
      <c r="Q50" s="264"/>
      <c r="S50" s="264"/>
      <c r="T50" s="264"/>
      <c r="V50" s="264"/>
      <c r="W50" s="264"/>
      <c r="Y50" s="264"/>
      <c r="Z50" s="264"/>
      <c r="AB50" s="264"/>
      <c r="AC50" s="264"/>
      <c r="AE50" s="264"/>
      <c r="AF50" s="264"/>
      <c r="AG50" s="264"/>
      <c r="AI50" s="264"/>
      <c r="AJ50" s="264"/>
      <c r="AL50" s="264"/>
      <c r="AM50" s="264"/>
      <c r="AO50" s="264"/>
      <c r="AP50" s="264"/>
      <c r="AR50" s="264"/>
      <c r="AS50" s="264"/>
      <c r="AU50" s="264"/>
      <c r="AV50" s="264"/>
      <c r="AX50" s="264"/>
      <c r="AY50" s="264"/>
      <c r="BA50" s="264"/>
      <c r="BB50" s="264"/>
      <c r="BD50" s="264"/>
      <c r="BE50" s="264"/>
      <c r="BG50" s="264"/>
      <c r="BH50" s="264"/>
      <c r="BJ50" s="264"/>
      <c r="BK50" s="264"/>
      <c r="BM50" s="264"/>
      <c r="BN50" s="264"/>
      <c r="BP50" s="264"/>
      <c r="BQ50" s="264"/>
      <c r="BS50" s="264"/>
      <c r="BT50" s="264"/>
      <c r="BV50" s="264"/>
      <c r="BW50" s="264"/>
      <c r="BY50" s="264"/>
      <c r="BZ50" s="264"/>
      <c r="CB50" s="264"/>
      <c r="CC50" s="264"/>
      <c r="CE50" s="264"/>
      <c r="CF50" s="264"/>
      <c r="CH50" s="264"/>
      <c r="CI50" s="264"/>
      <c r="CK50" s="264"/>
      <c r="CL50" s="264"/>
      <c r="CN50" s="264"/>
      <c r="CO50" s="264"/>
      <c r="CQ50" s="264"/>
      <c r="CR50" s="264"/>
      <c r="CT50" s="264"/>
      <c r="CU50" s="264"/>
      <c r="CW50" s="264"/>
      <c r="CX50" s="264"/>
      <c r="CZ50" s="264"/>
      <c r="DA50" s="264"/>
      <c r="DC50" s="264"/>
      <c r="DD50" s="264"/>
      <c r="DF50" s="264"/>
      <c r="DG50" s="264"/>
      <c r="DI50" s="264"/>
      <c r="DJ50" s="264"/>
      <c r="DL50" s="264"/>
      <c r="DM50" s="264"/>
      <c r="DO50" s="264"/>
      <c r="DP50" s="264"/>
      <c r="DR50" s="264"/>
      <c r="DS50" s="264"/>
      <c r="DU50" s="264"/>
      <c r="DV50" s="264"/>
      <c r="DX50" s="264"/>
      <c r="DY50" s="264"/>
      <c r="EA50" s="264"/>
      <c r="EB50" s="252"/>
      <c r="ED50" s="264"/>
      <c r="EE50" s="264"/>
      <c r="EG50" s="264"/>
      <c r="EH50" s="264"/>
      <c r="EJ50" s="264"/>
      <c r="EK50" s="264"/>
      <c r="EM50" s="264"/>
      <c r="EN50" s="264"/>
      <c r="EP50" s="264"/>
      <c r="EQ50" s="264"/>
      <c r="ES50" s="264"/>
      <c r="ET50" s="264"/>
      <c r="EV50" s="264"/>
      <c r="EW50" s="264"/>
      <c r="EY50" s="264"/>
      <c r="EZ50" s="264"/>
      <c r="FB50" s="264"/>
      <c r="FC50" s="264"/>
      <c r="FE50" s="264"/>
      <c r="FF50" s="264"/>
      <c r="FH50" s="264"/>
      <c r="FI50" s="264"/>
      <c r="FK50" s="264"/>
      <c r="FL50" s="264"/>
      <c r="FN50" s="264"/>
      <c r="FO50" s="264"/>
      <c r="FQ50" s="264"/>
      <c r="FR50" s="264"/>
      <c r="FT50" s="264"/>
      <c r="FU50" s="264"/>
      <c r="FW50" s="264"/>
      <c r="FX50" s="264"/>
      <c r="FZ50" s="264"/>
      <c r="GA50" s="264"/>
      <c r="GC50" s="264"/>
      <c r="GD50" s="264"/>
      <c r="GF50" s="264"/>
      <c r="GG50" s="264"/>
      <c r="GI50" s="264"/>
      <c r="GJ50" s="264"/>
      <c r="GL50" s="264"/>
      <c r="GM50" s="264"/>
      <c r="GO50" s="264"/>
      <c r="GP50" s="264"/>
      <c r="GR50" s="264"/>
      <c r="GS50" s="264"/>
      <c r="GU50" s="264"/>
      <c r="GV50" s="264"/>
      <c r="GX50" s="264"/>
      <c r="GY50" s="264"/>
      <c r="HA50" s="264"/>
      <c r="HB50" s="264"/>
      <c r="HD50" s="264"/>
      <c r="HE50" s="264"/>
      <c r="HG50" s="264"/>
      <c r="HH50" s="264"/>
      <c r="HJ50" s="264"/>
      <c r="HK50" s="264"/>
      <c r="HM50" s="264"/>
      <c r="HN50" s="264"/>
      <c r="HP50" s="264"/>
      <c r="HQ50" s="264"/>
      <c r="HS50" s="264"/>
      <c r="HT50" s="264"/>
      <c r="HV50" s="264"/>
      <c r="HW50" s="264"/>
      <c r="HY50" s="264"/>
      <c r="HZ50" s="264"/>
      <c r="IB50" s="264"/>
      <c r="IC50" s="264"/>
      <c r="IE50" s="264"/>
      <c r="IF50" s="264"/>
    </row>
    <row r="51" spans="1:240" x14ac:dyDescent="0.25">
      <c r="A51" s="264"/>
      <c r="C51" s="336" t="s">
        <v>777</v>
      </c>
      <c r="D51" s="334" t="s">
        <v>523</v>
      </c>
      <c r="E51" s="264"/>
      <c r="G51" s="265"/>
      <c r="J51" s="264"/>
      <c r="K51" s="264"/>
      <c r="M51" s="264"/>
      <c r="N51" s="264"/>
      <c r="P51" s="264"/>
      <c r="Q51" s="264"/>
      <c r="S51" s="264"/>
      <c r="T51" s="264"/>
      <c r="V51" s="264"/>
      <c r="W51" s="264"/>
      <c r="Y51" s="264"/>
      <c r="Z51" s="264"/>
      <c r="AB51" s="264"/>
      <c r="AC51" s="264"/>
      <c r="AE51" s="264"/>
      <c r="AF51" s="264"/>
      <c r="AG51" s="264"/>
      <c r="AI51" s="264"/>
      <c r="AJ51" s="264"/>
      <c r="AL51" s="264"/>
      <c r="AM51" s="264"/>
      <c r="AO51" s="264"/>
      <c r="AP51" s="264"/>
      <c r="AR51" s="264"/>
      <c r="AS51" s="264"/>
      <c r="AU51" s="264"/>
      <c r="AV51" s="264"/>
      <c r="AX51" s="264"/>
      <c r="AY51" s="264"/>
      <c r="BA51" s="264"/>
      <c r="BB51" s="264"/>
      <c r="BD51" s="264"/>
      <c r="BE51" s="264"/>
      <c r="BG51" s="264"/>
      <c r="BH51" s="264"/>
      <c r="BJ51" s="264"/>
      <c r="BK51" s="264"/>
      <c r="BM51" s="264"/>
      <c r="BN51" s="264"/>
      <c r="BP51" s="264"/>
      <c r="BQ51" s="264"/>
      <c r="BS51" s="264"/>
      <c r="BT51" s="264"/>
      <c r="BV51" s="264"/>
      <c r="BW51" s="264"/>
      <c r="BY51" s="264"/>
      <c r="BZ51" s="264"/>
      <c r="CB51" s="264"/>
      <c r="CC51" s="264"/>
      <c r="CE51" s="264"/>
      <c r="CF51" s="264"/>
      <c r="CH51" s="264"/>
      <c r="CI51" s="264"/>
      <c r="CK51" s="264"/>
      <c r="CL51" s="264"/>
      <c r="CN51" s="264"/>
      <c r="CO51" s="264"/>
      <c r="CQ51" s="264"/>
      <c r="CR51" s="264"/>
      <c r="CT51" s="264"/>
      <c r="CU51" s="264"/>
      <c r="CW51" s="264"/>
      <c r="CX51" s="264"/>
      <c r="CZ51" s="264"/>
      <c r="DA51" s="264"/>
      <c r="DC51" s="264"/>
      <c r="DD51" s="264"/>
      <c r="DF51" s="264"/>
      <c r="DG51" s="264"/>
      <c r="DI51" s="264"/>
      <c r="DJ51" s="264"/>
      <c r="DL51" s="264"/>
      <c r="DM51" s="264"/>
      <c r="DO51" s="264"/>
      <c r="DP51" s="264"/>
      <c r="DR51" s="264"/>
      <c r="DS51" s="264"/>
      <c r="DU51" s="264"/>
      <c r="DV51" s="264"/>
      <c r="DX51" s="264"/>
      <c r="DY51" s="264"/>
      <c r="EA51" s="264"/>
      <c r="EB51" s="252"/>
      <c r="ED51" s="264"/>
      <c r="EE51" s="264"/>
      <c r="EG51" s="264"/>
      <c r="EH51" s="264"/>
      <c r="EJ51" s="264"/>
      <c r="EK51" s="264"/>
      <c r="EM51" s="264"/>
      <c r="EN51" s="264"/>
      <c r="EP51" s="264"/>
      <c r="EQ51" s="264"/>
      <c r="ES51" s="264"/>
      <c r="ET51" s="264"/>
      <c r="EV51" s="264"/>
      <c r="EW51" s="264"/>
      <c r="EY51" s="264"/>
      <c r="EZ51" s="264"/>
      <c r="FB51" s="264"/>
      <c r="FC51" s="264"/>
      <c r="FE51" s="264"/>
      <c r="FF51" s="264"/>
      <c r="FH51" s="264"/>
      <c r="FI51" s="264"/>
      <c r="FK51" s="264"/>
      <c r="FL51" s="264"/>
      <c r="FN51" s="264"/>
      <c r="FO51" s="264"/>
      <c r="FQ51" s="264"/>
      <c r="FR51" s="264"/>
      <c r="FT51" s="264"/>
      <c r="FU51" s="264"/>
      <c r="FW51" s="264"/>
      <c r="FX51" s="264"/>
      <c r="FZ51" s="264"/>
      <c r="GA51" s="264"/>
      <c r="GC51" s="264"/>
      <c r="GD51" s="264"/>
      <c r="GF51" s="264"/>
      <c r="GG51" s="264"/>
      <c r="GI51" s="264"/>
      <c r="GJ51" s="264"/>
      <c r="GL51" s="264"/>
      <c r="GM51" s="264"/>
      <c r="GO51" s="264"/>
      <c r="GP51" s="264"/>
      <c r="GR51" s="264"/>
      <c r="GS51" s="264"/>
      <c r="GU51" s="264"/>
      <c r="GV51" s="264"/>
      <c r="GX51" s="264"/>
      <c r="GY51" s="264"/>
      <c r="HA51" s="264"/>
      <c r="HB51" s="264"/>
      <c r="HD51" s="264"/>
      <c r="HE51" s="264"/>
      <c r="HG51" s="264"/>
      <c r="HH51" s="264"/>
      <c r="HJ51" s="264"/>
      <c r="HK51" s="264"/>
      <c r="HM51" s="264"/>
      <c r="HN51" s="264"/>
      <c r="HP51" s="264"/>
      <c r="HQ51" s="264"/>
      <c r="HS51" s="264"/>
      <c r="HT51" s="264"/>
      <c r="HV51" s="264"/>
      <c r="HW51" s="264"/>
      <c r="HY51" s="264"/>
      <c r="HZ51" s="264"/>
      <c r="IB51" s="264"/>
      <c r="IC51" s="264"/>
      <c r="IE51" s="264"/>
      <c r="IF51" s="264"/>
    </row>
    <row r="52" spans="1:240" x14ac:dyDescent="0.25">
      <c r="A52" s="264"/>
      <c r="C52" s="226" t="s">
        <v>440</v>
      </c>
      <c r="D52" s="334"/>
      <c r="E52" s="264"/>
      <c r="G52" s="265"/>
      <c r="J52" s="264"/>
      <c r="K52" s="264"/>
      <c r="M52" s="264"/>
      <c r="N52" s="264"/>
      <c r="P52" s="264"/>
      <c r="Q52" s="264"/>
      <c r="S52" s="264"/>
      <c r="T52" s="264"/>
      <c r="V52" s="264"/>
      <c r="W52" s="264"/>
      <c r="Y52" s="264"/>
      <c r="Z52" s="264"/>
      <c r="AB52" s="264"/>
      <c r="AC52" s="264"/>
      <c r="AE52" s="264"/>
      <c r="AF52" s="264"/>
      <c r="AG52" s="264"/>
      <c r="AI52" s="264"/>
      <c r="AJ52" s="264"/>
      <c r="AL52" s="264"/>
      <c r="AM52" s="264"/>
      <c r="AO52" s="264"/>
      <c r="AP52" s="264"/>
      <c r="AR52" s="264"/>
      <c r="AS52" s="264"/>
      <c r="AU52" s="264"/>
      <c r="AV52" s="264"/>
      <c r="AX52" s="264"/>
      <c r="AY52" s="264"/>
      <c r="BA52" s="264"/>
      <c r="BB52" s="264"/>
      <c r="BD52" s="264"/>
      <c r="BE52" s="264"/>
      <c r="BG52" s="264"/>
      <c r="BH52" s="264"/>
      <c r="BJ52" s="264"/>
      <c r="BK52" s="264"/>
      <c r="BM52" s="264"/>
      <c r="BN52" s="264"/>
      <c r="BP52" s="264"/>
      <c r="BQ52" s="264"/>
      <c r="BS52" s="264"/>
      <c r="BT52" s="264"/>
      <c r="BV52" s="264"/>
      <c r="BW52" s="264"/>
      <c r="BY52" s="264"/>
      <c r="BZ52" s="264"/>
      <c r="CB52" s="264"/>
      <c r="CC52" s="264"/>
      <c r="CE52" s="264"/>
      <c r="CF52" s="264"/>
      <c r="CH52" s="264"/>
      <c r="CI52" s="264"/>
      <c r="CK52" s="264"/>
      <c r="CL52" s="264"/>
      <c r="CN52" s="264"/>
      <c r="CO52" s="264"/>
      <c r="CQ52" s="264"/>
      <c r="CR52" s="264"/>
      <c r="CT52" s="264"/>
      <c r="CU52" s="264"/>
      <c r="CW52" s="264"/>
      <c r="CX52" s="264"/>
      <c r="CZ52" s="264"/>
      <c r="DA52" s="264"/>
      <c r="DC52" s="264"/>
      <c r="DD52" s="264"/>
      <c r="DF52" s="264"/>
      <c r="DG52" s="264"/>
      <c r="DI52" s="264"/>
      <c r="DJ52" s="264"/>
      <c r="DL52" s="264"/>
      <c r="DM52" s="264"/>
      <c r="DO52" s="264"/>
      <c r="DP52" s="264"/>
      <c r="DR52" s="264"/>
      <c r="DS52" s="264"/>
      <c r="DU52" s="264"/>
      <c r="DV52" s="264"/>
      <c r="DX52" s="264"/>
      <c r="DY52" s="264"/>
      <c r="EA52" s="264"/>
      <c r="EB52" s="252"/>
      <c r="ED52" s="264"/>
      <c r="EE52" s="264"/>
      <c r="EG52" s="264"/>
      <c r="EH52" s="264"/>
      <c r="EJ52" s="264"/>
      <c r="EK52" s="264"/>
      <c r="EM52" s="264"/>
      <c r="EN52" s="264"/>
      <c r="EP52" s="264"/>
      <c r="EQ52" s="264"/>
      <c r="ES52" s="264"/>
      <c r="ET52" s="264"/>
      <c r="EV52" s="264"/>
      <c r="EW52" s="264"/>
      <c r="EY52" s="264"/>
      <c r="EZ52" s="264"/>
      <c r="FB52" s="264"/>
      <c r="FC52" s="264"/>
      <c r="FE52" s="264"/>
      <c r="FF52" s="264"/>
      <c r="FH52" s="264"/>
      <c r="FI52" s="264"/>
      <c r="FK52" s="264"/>
      <c r="FL52" s="264"/>
      <c r="FN52" s="264"/>
      <c r="FO52" s="264"/>
      <c r="FQ52" s="264"/>
      <c r="FR52" s="264"/>
      <c r="FT52" s="264"/>
      <c r="FU52" s="264"/>
      <c r="FW52" s="264"/>
      <c r="FX52" s="264"/>
      <c r="FZ52" s="264"/>
      <c r="GA52" s="264"/>
      <c r="GC52" s="264"/>
      <c r="GD52" s="264"/>
      <c r="GF52" s="264"/>
      <c r="GG52" s="264"/>
      <c r="GI52" s="264"/>
      <c r="GJ52" s="264"/>
      <c r="GL52" s="264"/>
      <c r="GM52" s="264"/>
      <c r="GO52" s="264"/>
      <c r="GP52" s="264"/>
      <c r="GR52" s="264"/>
      <c r="GS52" s="264"/>
      <c r="GU52" s="264"/>
      <c r="GV52" s="264"/>
      <c r="GX52" s="264"/>
      <c r="GY52" s="264"/>
      <c r="HA52" s="264"/>
      <c r="HB52" s="264"/>
      <c r="HD52" s="264"/>
      <c r="HE52" s="264"/>
      <c r="HG52" s="264"/>
      <c r="HH52" s="264"/>
      <c r="HJ52" s="264"/>
      <c r="HK52" s="264"/>
      <c r="HM52" s="264"/>
      <c r="HN52" s="264"/>
      <c r="HP52" s="264"/>
      <c r="HQ52" s="264"/>
      <c r="HS52" s="264"/>
      <c r="HT52" s="264"/>
      <c r="HV52" s="264"/>
      <c r="HW52" s="264"/>
      <c r="HY52" s="264"/>
      <c r="HZ52" s="264"/>
      <c r="IB52" s="264"/>
      <c r="IC52" s="264"/>
      <c r="IE52" s="264"/>
      <c r="IF52" s="264"/>
    </row>
    <row r="53" spans="1:240" x14ac:dyDescent="0.25">
      <c r="A53" s="264"/>
      <c r="C53" s="226" t="s">
        <v>505</v>
      </c>
      <c r="D53" s="334"/>
      <c r="E53" s="264"/>
      <c r="G53" s="265"/>
      <c r="J53" s="264"/>
      <c r="K53" s="264"/>
      <c r="M53" s="264"/>
      <c r="N53" s="264"/>
      <c r="P53" s="264"/>
      <c r="Q53" s="264"/>
      <c r="S53" s="264"/>
      <c r="T53" s="264"/>
      <c r="V53" s="264"/>
      <c r="W53" s="264"/>
      <c r="Y53" s="264"/>
      <c r="Z53" s="264"/>
      <c r="AB53" s="264"/>
      <c r="AC53" s="264"/>
      <c r="AE53" s="264"/>
      <c r="AF53" s="264"/>
      <c r="AG53" s="264"/>
      <c r="AI53" s="264"/>
      <c r="AJ53" s="264"/>
      <c r="AL53" s="264"/>
      <c r="AM53" s="264"/>
      <c r="AO53" s="264"/>
      <c r="AP53" s="264"/>
      <c r="AR53" s="264"/>
      <c r="AS53" s="264"/>
      <c r="AU53" s="264"/>
      <c r="AV53" s="264"/>
      <c r="AX53" s="264"/>
      <c r="AY53" s="264"/>
      <c r="BA53" s="264"/>
      <c r="BB53" s="264"/>
      <c r="BD53" s="264"/>
      <c r="BE53" s="264"/>
      <c r="BG53" s="264"/>
      <c r="BH53" s="264"/>
      <c r="BJ53" s="264"/>
      <c r="BK53" s="264"/>
      <c r="BM53" s="264"/>
      <c r="BN53" s="264"/>
      <c r="BP53" s="264"/>
      <c r="BQ53" s="264"/>
      <c r="BS53" s="264"/>
      <c r="BT53" s="264"/>
      <c r="BV53" s="264"/>
      <c r="BW53" s="264"/>
      <c r="BY53" s="264"/>
      <c r="BZ53" s="264"/>
      <c r="CB53" s="264"/>
      <c r="CC53" s="264"/>
      <c r="CE53" s="264"/>
      <c r="CF53" s="264"/>
      <c r="CH53" s="264"/>
      <c r="CI53" s="264"/>
      <c r="CK53" s="264"/>
      <c r="CL53" s="264"/>
      <c r="CN53" s="264"/>
      <c r="CO53" s="264"/>
      <c r="CQ53" s="264"/>
      <c r="CR53" s="264"/>
      <c r="CT53" s="264"/>
      <c r="CU53" s="264"/>
      <c r="CW53" s="264"/>
      <c r="CX53" s="264"/>
      <c r="CZ53" s="264"/>
      <c r="DA53" s="264"/>
      <c r="DC53" s="264"/>
      <c r="DD53" s="264"/>
      <c r="DF53" s="264"/>
      <c r="DG53" s="264"/>
      <c r="DI53" s="264"/>
      <c r="DJ53" s="264"/>
      <c r="DL53" s="264"/>
      <c r="DM53" s="264"/>
      <c r="DO53" s="264"/>
      <c r="DP53" s="264"/>
      <c r="DR53" s="264"/>
      <c r="DS53" s="264"/>
      <c r="DU53" s="264"/>
      <c r="DV53" s="264"/>
      <c r="DX53" s="264"/>
      <c r="DY53" s="264"/>
      <c r="EA53" s="264"/>
      <c r="EB53" s="252"/>
      <c r="ED53" s="264"/>
      <c r="EE53" s="264"/>
      <c r="EG53" s="264"/>
      <c r="EH53" s="264"/>
      <c r="EJ53" s="264"/>
      <c r="EK53" s="264"/>
      <c r="EM53" s="264"/>
      <c r="EN53" s="264"/>
      <c r="EP53" s="264"/>
      <c r="EQ53" s="264"/>
      <c r="ES53" s="264"/>
      <c r="ET53" s="264"/>
      <c r="EV53" s="264"/>
      <c r="EW53" s="264"/>
      <c r="EY53" s="264"/>
      <c r="EZ53" s="264"/>
      <c r="FB53" s="264"/>
      <c r="FC53" s="264"/>
      <c r="FE53" s="264"/>
      <c r="FF53" s="264"/>
      <c r="FH53" s="264"/>
      <c r="FI53" s="264"/>
      <c r="FK53" s="264"/>
      <c r="FL53" s="264"/>
      <c r="FN53" s="264"/>
      <c r="FO53" s="264"/>
      <c r="FQ53" s="264"/>
      <c r="FR53" s="264"/>
      <c r="FT53" s="264"/>
      <c r="FU53" s="264"/>
      <c r="FW53" s="264"/>
      <c r="FX53" s="264"/>
      <c r="FZ53" s="264"/>
      <c r="GA53" s="264"/>
      <c r="GC53" s="264"/>
      <c r="GD53" s="264"/>
      <c r="GF53" s="264"/>
      <c r="GG53" s="264"/>
      <c r="GI53" s="264"/>
      <c r="GJ53" s="264"/>
      <c r="GL53" s="264"/>
      <c r="GM53" s="264"/>
      <c r="GO53" s="264"/>
      <c r="GP53" s="264"/>
      <c r="GR53" s="264"/>
      <c r="GS53" s="264"/>
      <c r="GU53" s="264"/>
      <c r="GV53" s="264"/>
      <c r="GX53" s="264"/>
      <c r="GY53" s="264"/>
      <c r="HA53" s="264"/>
      <c r="HB53" s="264"/>
      <c r="HD53" s="264"/>
      <c r="HE53" s="264"/>
      <c r="HG53" s="264"/>
      <c r="HH53" s="264"/>
      <c r="HJ53" s="264"/>
      <c r="HK53" s="264"/>
      <c r="HM53" s="264"/>
      <c r="HN53" s="264"/>
      <c r="HP53" s="264"/>
      <c r="HQ53" s="264"/>
      <c r="HS53" s="264"/>
      <c r="HT53" s="264"/>
      <c r="HV53" s="264"/>
      <c r="HW53" s="264"/>
      <c r="HY53" s="264"/>
      <c r="HZ53" s="264"/>
      <c r="IB53" s="264"/>
      <c r="IC53" s="264"/>
      <c r="IE53" s="264"/>
      <c r="IF53" s="264"/>
    </row>
    <row r="54" spans="1:240" x14ac:dyDescent="0.25">
      <c r="A54" s="264"/>
      <c r="C54" s="226" t="s">
        <v>621</v>
      </c>
      <c r="D54" s="334"/>
      <c r="E54" s="264"/>
      <c r="G54" s="265"/>
      <c r="J54" s="264"/>
      <c r="K54" s="264"/>
      <c r="M54" s="264"/>
      <c r="N54" s="264"/>
      <c r="P54" s="264"/>
      <c r="Q54" s="264"/>
      <c r="S54" s="264"/>
      <c r="T54" s="264"/>
      <c r="V54" s="264"/>
      <c r="W54" s="264"/>
      <c r="Y54" s="264"/>
      <c r="Z54" s="264"/>
      <c r="AB54" s="264"/>
      <c r="AC54" s="264"/>
      <c r="AE54" s="264"/>
      <c r="AF54" s="264"/>
      <c r="AG54" s="264"/>
      <c r="AI54" s="264"/>
      <c r="AJ54" s="264"/>
      <c r="AL54" s="264"/>
      <c r="AM54" s="264"/>
      <c r="AO54" s="264"/>
      <c r="AP54" s="264"/>
      <c r="AR54" s="264"/>
      <c r="AS54" s="264"/>
      <c r="AU54" s="264"/>
      <c r="AV54" s="264"/>
      <c r="AX54" s="264"/>
      <c r="AY54" s="264"/>
      <c r="BA54" s="264"/>
      <c r="BB54" s="264"/>
      <c r="BD54" s="264"/>
      <c r="BE54" s="264"/>
      <c r="BG54" s="264"/>
      <c r="BH54" s="264"/>
      <c r="BJ54" s="264"/>
      <c r="BK54" s="264"/>
      <c r="BM54" s="264"/>
      <c r="BN54" s="264"/>
      <c r="BP54" s="264"/>
      <c r="BQ54" s="264"/>
      <c r="BS54" s="264"/>
      <c r="BT54" s="264"/>
      <c r="BV54" s="264"/>
      <c r="BW54" s="264"/>
      <c r="BY54" s="264"/>
      <c r="BZ54" s="264"/>
      <c r="CB54" s="264"/>
      <c r="CC54" s="264"/>
      <c r="CE54" s="264"/>
      <c r="CF54" s="264"/>
      <c r="CH54" s="264"/>
      <c r="CI54" s="264"/>
      <c r="CK54" s="264"/>
      <c r="CL54" s="264"/>
      <c r="CN54" s="264"/>
      <c r="CO54" s="264"/>
      <c r="CQ54" s="264"/>
      <c r="CR54" s="264"/>
      <c r="CT54" s="264"/>
      <c r="CU54" s="264"/>
      <c r="CW54" s="264"/>
      <c r="CX54" s="264"/>
      <c r="CZ54" s="264"/>
      <c r="DA54" s="264"/>
      <c r="DC54" s="264"/>
      <c r="DD54" s="264"/>
      <c r="DF54" s="264"/>
      <c r="DG54" s="264"/>
      <c r="DI54" s="264"/>
      <c r="DJ54" s="264"/>
      <c r="DL54" s="264"/>
      <c r="DM54" s="264"/>
      <c r="DO54" s="264"/>
      <c r="DP54" s="264"/>
      <c r="DR54" s="264"/>
      <c r="DS54" s="264"/>
      <c r="DU54" s="264"/>
      <c r="DV54" s="264"/>
      <c r="DX54" s="264"/>
      <c r="DY54" s="264"/>
      <c r="EA54" s="264"/>
      <c r="EB54" s="252"/>
      <c r="ED54" s="264"/>
      <c r="EE54" s="264"/>
      <c r="EG54" s="264"/>
      <c r="EH54" s="264"/>
      <c r="EJ54" s="264"/>
      <c r="EK54" s="264"/>
      <c r="EM54" s="264"/>
      <c r="EN54" s="264"/>
      <c r="EP54" s="264"/>
      <c r="EQ54" s="264"/>
      <c r="ES54" s="264"/>
      <c r="ET54" s="264"/>
      <c r="EV54" s="264"/>
      <c r="EW54" s="264"/>
      <c r="EY54" s="264"/>
      <c r="EZ54" s="264"/>
      <c r="FB54" s="264"/>
      <c r="FC54" s="264"/>
      <c r="FE54" s="264"/>
      <c r="FF54" s="264"/>
      <c r="FH54" s="264"/>
      <c r="FI54" s="264"/>
      <c r="FK54" s="264"/>
      <c r="FL54" s="264"/>
      <c r="FN54" s="264"/>
      <c r="FO54" s="264"/>
      <c r="FQ54" s="264"/>
      <c r="FR54" s="264"/>
      <c r="FT54" s="264"/>
      <c r="FU54" s="264"/>
      <c r="FW54" s="264"/>
      <c r="FX54" s="264"/>
      <c r="FZ54" s="264"/>
      <c r="GA54" s="264"/>
      <c r="GC54" s="264"/>
      <c r="GD54" s="264"/>
      <c r="GF54" s="264"/>
      <c r="GG54" s="264"/>
      <c r="GI54" s="264"/>
      <c r="GJ54" s="264"/>
      <c r="GL54" s="264"/>
      <c r="GM54" s="264"/>
      <c r="GO54" s="264"/>
      <c r="GP54" s="264"/>
      <c r="GR54" s="264"/>
      <c r="GS54" s="264"/>
      <c r="GU54" s="264"/>
      <c r="GV54" s="264"/>
      <c r="GX54" s="264"/>
      <c r="GY54" s="264"/>
      <c r="HA54" s="264"/>
      <c r="HB54" s="264"/>
      <c r="HD54" s="264"/>
      <c r="HE54" s="264"/>
      <c r="HG54" s="264"/>
      <c r="HH54" s="264"/>
      <c r="HJ54" s="264"/>
      <c r="HK54" s="264"/>
      <c r="HM54" s="264"/>
      <c r="HN54" s="264"/>
      <c r="HP54" s="264"/>
      <c r="HQ54" s="264"/>
      <c r="HS54" s="264"/>
      <c r="HT54" s="264"/>
      <c r="HV54" s="264"/>
      <c r="HW54" s="264"/>
      <c r="HY54" s="264"/>
      <c r="HZ54" s="264"/>
      <c r="IB54" s="264"/>
      <c r="IC54" s="264"/>
      <c r="IE54" s="264"/>
      <c r="IF54" s="264"/>
    </row>
    <row r="55" spans="1:240" x14ac:dyDescent="0.25">
      <c r="A55" s="264"/>
      <c r="C55" s="226" t="s">
        <v>531</v>
      </c>
      <c r="D55" s="334"/>
      <c r="E55" s="264"/>
      <c r="G55" s="265"/>
      <c r="J55" s="264"/>
      <c r="K55" s="264"/>
      <c r="M55" s="264"/>
      <c r="N55" s="264"/>
      <c r="P55" s="264"/>
      <c r="Q55" s="264"/>
      <c r="S55" s="264"/>
      <c r="T55" s="264"/>
      <c r="V55" s="264"/>
      <c r="W55" s="264"/>
      <c r="Y55" s="264"/>
      <c r="Z55" s="264"/>
      <c r="AB55" s="264"/>
      <c r="AC55" s="264"/>
      <c r="AE55" s="264"/>
      <c r="AF55" s="264"/>
      <c r="AG55" s="264"/>
      <c r="AI55" s="264"/>
      <c r="AJ55" s="264"/>
      <c r="AL55" s="264"/>
      <c r="AM55" s="264"/>
      <c r="AO55" s="264"/>
      <c r="AP55" s="264"/>
      <c r="AR55" s="264"/>
      <c r="AS55" s="264"/>
      <c r="AU55" s="264"/>
      <c r="AV55" s="264"/>
      <c r="AX55" s="264"/>
      <c r="AY55" s="264"/>
      <c r="BA55" s="264"/>
      <c r="BB55" s="264"/>
      <c r="BD55" s="264"/>
      <c r="BE55" s="264"/>
      <c r="BG55" s="264"/>
      <c r="BH55" s="264"/>
      <c r="BJ55" s="264"/>
      <c r="BK55" s="264"/>
      <c r="BM55" s="264"/>
      <c r="BN55" s="264"/>
      <c r="BP55" s="264"/>
      <c r="BQ55" s="264"/>
      <c r="BS55" s="264"/>
      <c r="BT55" s="264"/>
      <c r="BV55" s="264"/>
      <c r="BW55" s="264"/>
      <c r="BY55" s="264"/>
      <c r="BZ55" s="264"/>
      <c r="CB55" s="264"/>
      <c r="CC55" s="264"/>
      <c r="CE55" s="264"/>
      <c r="CF55" s="264"/>
      <c r="CH55" s="264"/>
      <c r="CI55" s="264"/>
      <c r="CK55" s="264"/>
      <c r="CL55" s="264"/>
      <c r="CN55" s="264"/>
      <c r="CO55" s="264"/>
      <c r="CQ55" s="264"/>
      <c r="CR55" s="264"/>
      <c r="CT55" s="264"/>
      <c r="CU55" s="264"/>
      <c r="CW55" s="264"/>
      <c r="CX55" s="264"/>
      <c r="CZ55" s="264"/>
      <c r="DA55" s="264"/>
      <c r="DC55" s="264"/>
      <c r="DD55" s="264"/>
      <c r="DF55" s="264"/>
      <c r="DG55" s="264"/>
      <c r="DI55" s="264"/>
      <c r="DJ55" s="264"/>
      <c r="DL55" s="264"/>
      <c r="DM55" s="264"/>
      <c r="DO55" s="264"/>
      <c r="DP55" s="264"/>
      <c r="DR55" s="264"/>
      <c r="DS55" s="264"/>
      <c r="DU55" s="264"/>
      <c r="DV55" s="264"/>
      <c r="DX55" s="264"/>
      <c r="DY55" s="264"/>
      <c r="EA55" s="264"/>
      <c r="EB55" s="252"/>
      <c r="ED55" s="264"/>
      <c r="EE55" s="264"/>
      <c r="EG55" s="264"/>
      <c r="EH55" s="264"/>
      <c r="EJ55" s="264"/>
      <c r="EK55" s="264"/>
      <c r="EM55" s="264"/>
      <c r="EN55" s="264"/>
      <c r="EP55" s="264"/>
      <c r="EQ55" s="264"/>
      <c r="ES55" s="264"/>
      <c r="ET55" s="264"/>
      <c r="EV55" s="264"/>
      <c r="EW55" s="264"/>
      <c r="EY55" s="264"/>
      <c r="EZ55" s="264"/>
      <c r="FB55" s="264"/>
      <c r="FC55" s="264"/>
      <c r="FE55" s="264"/>
      <c r="FF55" s="264"/>
      <c r="FH55" s="264"/>
      <c r="FI55" s="264"/>
      <c r="FK55" s="264"/>
      <c r="FL55" s="264"/>
      <c r="FN55" s="264"/>
      <c r="FO55" s="264"/>
      <c r="FQ55" s="264"/>
      <c r="FR55" s="264"/>
      <c r="FT55" s="264"/>
      <c r="FU55" s="264"/>
      <c r="FW55" s="264"/>
      <c r="FX55" s="264"/>
      <c r="FZ55" s="264"/>
      <c r="GA55" s="264"/>
      <c r="GC55" s="264"/>
      <c r="GD55" s="264"/>
      <c r="GF55" s="264"/>
      <c r="GG55" s="264"/>
      <c r="GI55" s="264"/>
      <c r="GJ55" s="264"/>
      <c r="GL55" s="264"/>
      <c r="GM55" s="264"/>
      <c r="GO55" s="264"/>
      <c r="GP55" s="264"/>
      <c r="GR55" s="264"/>
      <c r="GS55" s="264"/>
      <c r="GU55" s="264"/>
      <c r="GV55" s="264"/>
      <c r="GX55" s="264"/>
      <c r="GY55" s="264"/>
      <c r="HA55" s="264"/>
      <c r="HB55" s="264"/>
      <c r="HD55" s="264"/>
      <c r="HE55" s="264"/>
      <c r="HG55" s="264"/>
      <c r="HH55" s="264"/>
      <c r="HJ55" s="264"/>
      <c r="HK55" s="264"/>
      <c r="HM55" s="264"/>
      <c r="HN55" s="264"/>
      <c r="HP55" s="264"/>
      <c r="HQ55" s="264"/>
      <c r="HS55" s="264"/>
      <c r="HT55" s="264"/>
      <c r="HV55" s="264"/>
      <c r="HW55" s="264"/>
      <c r="HY55" s="264"/>
      <c r="HZ55" s="264"/>
      <c r="IB55" s="264"/>
      <c r="IC55" s="264"/>
      <c r="IE55" s="264"/>
      <c r="IF55" s="264"/>
    </row>
    <row r="56" spans="1:240" x14ac:dyDescent="0.25">
      <c r="A56" s="264"/>
      <c r="C56" s="336" t="s">
        <v>481</v>
      </c>
      <c r="D56" s="334" t="s">
        <v>523</v>
      </c>
      <c r="E56" s="264"/>
      <c r="G56" s="265"/>
      <c r="J56" s="264"/>
      <c r="K56" s="264"/>
      <c r="M56" s="264"/>
      <c r="N56" s="264"/>
      <c r="P56" s="264"/>
      <c r="Q56" s="264"/>
      <c r="S56" s="264"/>
      <c r="T56" s="264"/>
      <c r="V56" s="264"/>
      <c r="W56" s="264"/>
      <c r="Y56" s="264"/>
      <c r="Z56" s="264"/>
      <c r="AB56" s="264"/>
      <c r="AC56" s="264"/>
      <c r="AE56" s="264"/>
      <c r="AF56" s="264"/>
      <c r="AG56" s="264"/>
      <c r="AI56" s="264"/>
      <c r="AJ56" s="264"/>
      <c r="AL56" s="264"/>
      <c r="AM56" s="264"/>
      <c r="AO56" s="264"/>
      <c r="AP56" s="264"/>
      <c r="AR56" s="264"/>
      <c r="AS56" s="264"/>
      <c r="AU56" s="264"/>
      <c r="AV56" s="264"/>
      <c r="AX56" s="264"/>
      <c r="AY56" s="264"/>
      <c r="BA56" s="264"/>
      <c r="BB56" s="264"/>
      <c r="BD56" s="264"/>
      <c r="BE56" s="264"/>
      <c r="BG56" s="264"/>
      <c r="BH56" s="264"/>
      <c r="BJ56" s="264"/>
      <c r="BK56" s="264"/>
      <c r="BM56" s="264"/>
      <c r="BN56" s="264"/>
      <c r="BP56" s="264"/>
      <c r="BQ56" s="264"/>
      <c r="BS56" s="264"/>
      <c r="BT56" s="264"/>
      <c r="BV56" s="264"/>
      <c r="BW56" s="264"/>
      <c r="BY56" s="264"/>
      <c r="BZ56" s="264"/>
      <c r="CB56" s="264"/>
      <c r="CC56" s="264"/>
      <c r="CE56" s="264"/>
      <c r="CF56" s="264"/>
      <c r="CH56" s="264"/>
      <c r="CI56" s="264"/>
      <c r="CK56" s="264"/>
      <c r="CL56" s="264"/>
      <c r="CN56" s="264"/>
      <c r="CO56" s="264"/>
      <c r="CQ56" s="264"/>
      <c r="CR56" s="264"/>
      <c r="CT56" s="264"/>
      <c r="CU56" s="264"/>
      <c r="CW56" s="264"/>
      <c r="CX56" s="264"/>
      <c r="CZ56" s="264"/>
      <c r="DA56" s="264"/>
      <c r="DC56" s="264"/>
      <c r="DD56" s="264"/>
      <c r="DF56" s="264"/>
      <c r="DG56" s="264"/>
      <c r="DI56" s="264"/>
      <c r="DJ56" s="264"/>
      <c r="DL56" s="264"/>
      <c r="DM56" s="264"/>
      <c r="DO56" s="264"/>
      <c r="DP56" s="264"/>
      <c r="DR56" s="264"/>
      <c r="DS56" s="264"/>
      <c r="DU56" s="264"/>
      <c r="DV56" s="264"/>
      <c r="DX56" s="264"/>
      <c r="DY56" s="264"/>
      <c r="EA56" s="264"/>
      <c r="EB56" s="252"/>
      <c r="ED56" s="264"/>
      <c r="EE56" s="264"/>
      <c r="EG56" s="264"/>
      <c r="EH56" s="264"/>
      <c r="EJ56" s="264"/>
      <c r="EK56" s="264"/>
      <c r="EM56" s="264"/>
      <c r="EN56" s="264"/>
      <c r="EP56" s="264"/>
      <c r="EQ56" s="264"/>
      <c r="ES56" s="264"/>
      <c r="ET56" s="264"/>
      <c r="EV56" s="264"/>
      <c r="EW56" s="264"/>
      <c r="EY56" s="264"/>
      <c r="EZ56" s="264"/>
      <c r="FB56" s="264"/>
      <c r="FC56" s="264"/>
      <c r="FE56" s="264"/>
      <c r="FF56" s="264"/>
      <c r="FH56" s="264"/>
      <c r="FI56" s="264"/>
      <c r="FK56" s="264"/>
      <c r="FL56" s="264"/>
      <c r="FN56" s="264"/>
      <c r="FO56" s="264"/>
      <c r="FQ56" s="264"/>
      <c r="FR56" s="264"/>
      <c r="FT56" s="264"/>
      <c r="FU56" s="264"/>
      <c r="FW56" s="264"/>
      <c r="FX56" s="264"/>
      <c r="FZ56" s="264"/>
      <c r="GA56" s="264"/>
      <c r="GC56" s="264"/>
      <c r="GD56" s="264"/>
      <c r="GF56" s="264"/>
      <c r="GG56" s="264"/>
      <c r="GI56" s="264"/>
      <c r="GJ56" s="264"/>
      <c r="GL56" s="264"/>
      <c r="GM56" s="264"/>
      <c r="GO56" s="264"/>
      <c r="GP56" s="264"/>
      <c r="GR56" s="264"/>
      <c r="GS56" s="264"/>
      <c r="GU56" s="264"/>
      <c r="GV56" s="264"/>
      <c r="GX56" s="264"/>
      <c r="GY56" s="264"/>
      <c r="HA56" s="264"/>
      <c r="HB56" s="264"/>
      <c r="HD56" s="264"/>
      <c r="HE56" s="264"/>
      <c r="HG56" s="264"/>
      <c r="HH56" s="264"/>
      <c r="HJ56" s="264"/>
      <c r="HK56" s="264"/>
      <c r="HM56" s="264"/>
      <c r="HN56" s="264"/>
      <c r="HP56" s="264"/>
      <c r="HQ56" s="264"/>
      <c r="HS56" s="264"/>
      <c r="HT56" s="264"/>
      <c r="HV56" s="264"/>
      <c r="HW56" s="264"/>
      <c r="HY56" s="264"/>
      <c r="HZ56" s="264"/>
      <c r="IB56" s="264"/>
      <c r="IC56" s="264"/>
      <c r="IE56" s="264"/>
      <c r="IF56" s="264"/>
    </row>
    <row r="57" spans="1:240" x14ac:dyDescent="0.25">
      <c r="A57" s="264"/>
      <c r="C57" s="336" t="s">
        <v>549</v>
      </c>
      <c r="D57" s="334" t="s">
        <v>523</v>
      </c>
      <c r="E57" s="264"/>
      <c r="G57" s="265"/>
      <c r="J57" s="264"/>
      <c r="K57" s="264"/>
      <c r="M57" s="264"/>
      <c r="N57" s="264"/>
      <c r="P57" s="264"/>
      <c r="Q57" s="264"/>
      <c r="S57" s="264"/>
      <c r="T57" s="264"/>
      <c r="V57" s="264"/>
      <c r="W57" s="264"/>
      <c r="Y57" s="264"/>
      <c r="Z57" s="264"/>
      <c r="AB57" s="264"/>
      <c r="AC57" s="264"/>
      <c r="AE57" s="264"/>
      <c r="AF57" s="264"/>
      <c r="AG57" s="264"/>
      <c r="AI57" s="264"/>
      <c r="AJ57" s="264"/>
      <c r="AL57" s="264"/>
      <c r="AM57" s="264"/>
      <c r="AO57" s="264"/>
      <c r="AP57" s="264"/>
      <c r="AR57" s="264"/>
      <c r="AS57" s="264"/>
      <c r="AU57" s="264"/>
      <c r="AV57" s="264"/>
      <c r="AX57" s="264"/>
      <c r="AY57" s="264"/>
      <c r="BA57" s="264"/>
      <c r="BB57" s="264"/>
      <c r="BD57" s="264"/>
      <c r="BE57" s="264"/>
      <c r="BG57" s="264"/>
      <c r="BH57" s="264"/>
      <c r="BJ57" s="264"/>
      <c r="BK57" s="264"/>
      <c r="BM57" s="264"/>
      <c r="BN57" s="264"/>
      <c r="BP57" s="264"/>
      <c r="BQ57" s="264"/>
      <c r="BS57" s="264"/>
      <c r="BT57" s="264"/>
      <c r="BV57" s="264"/>
      <c r="BW57" s="264"/>
      <c r="BY57" s="264"/>
      <c r="BZ57" s="264"/>
      <c r="CB57" s="264"/>
      <c r="CC57" s="264"/>
      <c r="CE57" s="264"/>
      <c r="CF57" s="264"/>
      <c r="CH57" s="264"/>
      <c r="CI57" s="264"/>
      <c r="CK57" s="264"/>
      <c r="CL57" s="264"/>
      <c r="CN57" s="264"/>
      <c r="CO57" s="264"/>
      <c r="CQ57" s="264"/>
      <c r="CR57" s="264"/>
      <c r="CT57" s="264"/>
      <c r="CU57" s="264"/>
      <c r="CW57" s="264"/>
      <c r="CX57" s="264"/>
      <c r="CZ57" s="264"/>
      <c r="DA57" s="264"/>
      <c r="DC57" s="264"/>
      <c r="DD57" s="264"/>
      <c r="DF57" s="264"/>
      <c r="DG57" s="264"/>
      <c r="DI57" s="264"/>
      <c r="DJ57" s="264"/>
      <c r="DL57" s="264"/>
      <c r="DM57" s="264"/>
      <c r="DO57" s="264"/>
      <c r="DP57" s="264"/>
      <c r="DR57" s="264"/>
      <c r="DS57" s="264"/>
      <c r="DU57" s="264"/>
      <c r="DV57" s="264"/>
      <c r="DX57" s="264"/>
      <c r="DY57" s="264"/>
      <c r="EA57" s="264"/>
      <c r="EB57" s="252"/>
      <c r="ED57" s="264"/>
      <c r="EE57" s="264"/>
      <c r="EG57" s="264"/>
      <c r="EH57" s="264"/>
      <c r="EJ57" s="264"/>
      <c r="EK57" s="264"/>
      <c r="EM57" s="264"/>
      <c r="EN57" s="264"/>
      <c r="EP57" s="264"/>
      <c r="EQ57" s="264"/>
      <c r="ES57" s="264"/>
      <c r="ET57" s="264"/>
      <c r="EV57" s="264"/>
      <c r="EW57" s="264"/>
      <c r="EY57" s="264"/>
      <c r="EZ57" s="264"/>
      <c r="FB57" s="264"/>
      <c r="FC57" s="264"/>
      <c r="FE57" s="264"/>
      <c r="FF57" s="264"/>
      <c r="FH57" s="264"/>
      <c r="FI57" s="264"/>
      <c r="FK57" s="264"/>
      <c r="FL57" s="264"/>
      <c r="FN57" s="264"/>
      <c r="FO57" s="264"/>
      <c r="FQ57" s="264"/>
      <c r="FR57" s="264"/>
      <c r="FT57" s="264"/>
      <c r="FU57" s="264"/>
      <c r="FW57" s="264"/>
      <c r="FX57" s="264"/>
      <c r="FZ57" s="264"/>
      <c r="GA57" s="264"/>
      <c r="GC57" s="264"/>
      <c r="GD57" s="264"/>
      <c r="GF57" s="264"/>
      <c r="GG57" s="264"/>
      <c r="GI57" s="264"/>
      <c r="GJ57" s="264"/>
      <c r="GL57" s="264"/>
      <c r="GM57" s="264"/>
      <c r="GO57" s="264"/>
      <c r="GP57" s="264"/>
      <c r="GR57" s="264"/>
      <c r="GS57" s="264"/>
      <c r="GU57" s="264"/>
      <c r="GV57" s="264"/>
      <c r="GX57" s="264"/>
      <c r="GY57" s="264"/>
      <c r="HA57" s="264"/>
      <c r="HB57" s="264"/>
      <c r="HD57" s="264"/>
      <c r="HE57" s="264"/>
      <c r="HG57" s="264"/>
      <c r="HH57" s="264"/>
      <c r="HJ57" s="264"/>
      <c r="HK57" s="264"/>
      <c r="HM57" s="264"/>
      <c r="HN57" s="264"/>
      <c r="HP57" s="264"/>
      <c r="HQ57" s="264"/>
      <c r="HS57" s="264"/>
      <c r="HT57" s="264"/>
      <c r="HV57" s="264"/>
      <c r="HW57" s="264"/>
      <c r="HY57" s="264"/>
      <c r="HZ57" s="264"/>
      <c r="IB57" s="264"/>
      <c r="IC57" s="264"/>
      <c r="IE57" s="264"/>
      <c r="IF57" s="264"/>
    </row>
    <row r="58" spans="1:240" x14ac:dyDescent="0.25">
      <c r="A58" s="264"/>
      <c r="C58" s="335" t="s">
        <v>441</v>
      </c>
      <c r="D58" s="334" t="s">
        <v>519</v>
      </c>
      <c r="E58" s="264"/>
      <c r="G58" s="265"/>
      <c r="J58" s="264"/>
      <c r="K58" s="264"/>
      <c r="M58" s="264"/>
      <c r="N58" s="264"/>
      <c r="P58" s="264"/>
      <c r="Q58" s="264"/>
      <c r="S58" s="264"/>
      <c r="T58" s="264"/>
      <c r="V58" s="264"/>
      <c r="W58" s="264"/>
      <c r="Y58" s="264"/>
      <c r="Z58" s="264"/>
      <c r="AB58" s="264"/>
      <c r="AC58" s="264"/>
      <c r="AE58" s="264"/>
      <c r="AF58" s="264"/>
      <c r="AG58" s="264"/>
      <c r="AI58" s="264"/>
      <c r="AJ58" s="264"/>
      <c r="AL58" s="264"/>
      <c r="AM58" s="264"/>
      <c r="AO58" s="264"/>
      <c r="AP58" s="264"/>
      <c r="AR58" s="264"/>
      <c r="AS58" s="264"/>
      <c r="AU58" s="264"/>
      <c r="AV58" s="264"/>
      <c r="AX58" s="264"/>
      <c r="AY58" s="264"/>
      <c r="BA58" s="264"/>
      <c r="BB58" s="264"/>
      <c r="BD58" s="264"/>
      <c r="BE58" s="264"/>
      <c r="BG58" s="264"/>
      <c r="BH58" s="264"/>
      <c r="BJ58" s="264"/>
      <c r="BK58" s="264"/>
      <c r="BM58" s="264"/>
      <c r="BN58" s="264"/>
      <c r="BP58" s="264"/>
      <c r="BQ58" s="264"/>
      <c r="BS58" s="264"/>
      <c r="BT58" s="264"/>
      <c r="BV58" s="264"/>
      <c r="BW58" s="264"/>
      <c r="BY58" s="264"/>
      <c r="BZ58" s="264"/>
      <c r="CB58" s="264"/>
      <c r="CC58" s="264"/>
      <c r="CE58" s="264"/>
      <c r="CF58" s="264"/>
      <c r="CH58" s="264"/>
      <c r="CI58" s="264"/>
      <c r="CK58" s="264"/>
      <c r="CL58" s="264"/>
      <c r="CN58" s="264"/>
      <c r="CO58" s="264"/>
      <c r="CQ58" s="264"/>
      <c r="CR58" s="264"/>
      <c r="CT58" s="264"/>
      <c r="CU58" s="264"/>
      <c r="CW58" s="264"/>
      <c r="CX58" s="264"/>
      <c r="CZ58" s="264"/>
      <c r="DA58" s="264"/>
      <c r="DC58" s="264"/>
      <c r="DD58" s="264"/>
      <c r="DF58" s="264"/>
      <c r="DG58" s="264"/>
      <c r="DI58" s="264"/>
      <c r="DJ58" s="264"/>
      <c r="DL58" s="264"/>
      <c r="DM58" s="264"/>
      <c r="DO58" s="264"/>
      <c r="DP58" s="264"/>
      <c r="DR58" s="264"/>
      <c r="DS58" s="264"/>
      <c r="DU58" s="264"/>
      <c r="DV58" s="264"/>
      <c r="DX58" s="264"/>
      <c r="DY58" s="264"/>
      <c r="EA58" s="264"/>
      <c r="EB58" s="252"/>
      <c r="ED58" s="264"/>
      <c r="EE58" s="264"/>
      <c r="EG58" s="264"/>
      <c r="EH58" s="264"/>
      <c r="EJ58" s="264"/>
      <c r="EK58" s="264"/>
      <c r="EM58" s="264"/>
      <c r="EN58" s="264"/>
      <c r="EP58" s="264"/>
      <c r="EQ58" s="264"/>
      <c r="ES58" s="264"/>
      <c r="ET58" s="264"/>
      <c r="EV58" s="264"/>
      <c r="EW58" s="264"/>
      <c r="EY58" s="264"/>
      <c r="EZ58" s="264"/>
      <c r="FB58" s="264"/>
      <c r="FC58" s="264"/>
      <c r="FE58" s="264"/>
      <c r="FF58" s="264"/>
      <c r="FH58" s="264"/>
      <c r="FI58" s="264"/>
      <c r="FK58" s="264"/>
      <c r="FL58" s="264"/>
      <c r="FN58" s="264"/>
      <c r="FO58" s="264"/>
      <c r="FQ58" s="264"/>
      <c r="FR58" s="264"/>
      <c r="FT58" s="264"/>
      <c r="FU58" s="264"/>
      <c r="FW58" s="264"/>
      <c r="FX58" s="264"/>
      <c r="FZ58" s="264"/>
      <c r="GA58" s="264"/>
      <c r="GC58" s="264"/>
      <c r="GD58" s="264"/>
      <c r="GF58" s="264"/>
      <c r="GG58" s="264"/>
      <c r="GI58" s="264"/>
      <c r="GJ58" s="264"/>
      <c r="GL58" s="264"/>
      <c r="GM58" s="264"/>
      <c r="GO58" s="264"/>
      <c r="GP58" s="264"/>
      <c r="GR58" s="264"/>
      <c r="GS58" s="264"/>
      <c r="GU58" s="264"/>
      <c r="GV58" s="264"/>
      <c r="GX58" s="264"/>
      <c r="GY58" s="264"/>
      <c r="HA58" s="264"/>
      <c r="HB58" s="264"/>
      <c r="HD58" s="264"/>
      <c r="HE58" s="264"/>
      <c r="HG58" s="264"/>
      <c r="HH58" s="264"/>
      <c r="HJ58" s="264"/>
      <c r="HK58" s="264"/>
      <c r="HM58" s="264"/>
      <c r="HN58" s="264"/>
      <c r="HP58" s="264"/>
      <c r="HQ58" s="264"/>
      <c r="HS58" s="264"/>
      <c r="HT58" s="264"/>
      <c r="HV58" s="264"/>
      <c r="HW58" s="264"/>
      <c r="HY58" s="264"/>
      <c r="HZ58" s="264"/>
      <c r="IB58" s="264"/>
      <c r="IC58" s="264"/>
      <c r="IE58" s="264"/>
      <c r="IF58" s="264"/>
    </row>
    <row r="59" spans="1:240" x14ac:dyDescent="0.25">
      <c r="A59" s="264"/>
      <c r="C59" s="226" t="s">
        <v>377</v>
      </c>
      <c r="D59" s="334"/>
      <c r="E59" s="264"/>
      <c r="G59" s="265"/>
      <c r="J59" s="264"/>
      <c r="K59" s="264"/>
      <c r="M59" s="264"/>
      <c r="N59" s="264"/>
      <c r="P59" s="264"/>
      <c r="Q59" s="264"/>
      <c r="S59" s="264"/>
      <c r="T59" s="264"/>
      <c r="V59" s="264"/>
      <c r="W59" s="264"/>
      <c r="Y59" s="264"/>
      <c r="Z59" s="264"/>
      <c r="AB59" s="264"/>
      <c r="AC59" s="264"/>
      <c r="AE59" s="264"/>
      <c r="AF59" s="264"/>
      <c r="AG59" s="264"/>
      <c r="AI59" s="264"/>
      <c r="AJ59" s="264"/>
      <c r="AL59" s="264"/>
      <c r="AM59" s="264"/>
      <c r="AO59" s="264"/>
      <c r="AP59" s="264"/>
      <c r="AR59" s="264"/>
      <c r="AS59" s="264"/>
      <c r="AU59" s="264"/>
      <c r="AV59" s="264"/>
      <c r="AX59" s="264"/>
      <c r="AY59" s="264"/>
      <c r="BA59" s="264"/>
      <c r="BB59" s="264"/>
      <c r="BD59" s="264"/>
      <c r="BE59" s="264"/>
      <c r="BG59" s="264"/>
      <c r="BH59" s="264"/>
      <c r="BJ59" s="264"/>
      <c r="BK59" s="264"/>
      <c r="BM59" s="264"/>
      <c r="BN59" s="264"/>
      <c r="BP59" s="264"/>
      <c r="BQ59" s="264"/>
      <c r="BS59" s="264"/>
      <c r="BT59" s="264"/>
      <c r="BV59" s="264"/>
      <c r="BW59" s="264"/>
      <c r="BY59" s="264"/>
      <c r="BZ59" s="264"/>
      <c r="CB59" s="264"/>
      <c r="CC59" s="264"/>
      <c r="CE59" s="264"/>
      <c r="CF59" s="264"/>
      <c r="CH59" s="264"/>
      <c r="CI59" s="264"/>
      <c r="CK59" s="264"/>
      <c r="CL59" s="264"/>
      <c r="CN59" s="264"/>
      <c r="CO59" s="264"/>
      <c r="CQ59" s="264"/>
      <c r="CR59" s="264"/>
      <c r="CT59" s="264"/>
      <c r="CU59" s="264"/>
      <c r="CW59" s="264"/>
      <c r="CX59" s="264"/>
      <c r="CZ59" s="264"/>
      <c r="DA59" s="264"/>
      <c r="DC59" s="264"/>
      <c r="DD59" s="264"/>
      <c r="DF59" s="264"/>
      <c r="DG59" s="264"/>
      <c r="DI59" s="264"/>
      <c r="DJ59" s="264"/>
      <c r="DL59" s="264"/>
      <c r="DM59" s="264"/>
      <c r="DO59" s="264"/>
      <c r="DP59" s="264"/>
      <c r="DR59" s="264"/>
      <c r="DS59" s="264"/>
      <c r="DU59" s="264"/>
      <c r="DV59" s="264"/>
      <c r="DX59" s="264"/>
      <c r="DY59" s="264"/>
      <c r="EA59" s="264"/>
      <c r="EB59" s="252"/>
      <c r="ED59" s="264"/>
      <c r="EE59" s="264"/>
      <c r="EG59" s="264"/>
      <c r="EH59" s="264"/>
      <c r="EJ59" s="264"/>
      <c r="EK59" s="264"/>
      <c r="EM59" s="264"/>
      <c r="EN59" s="264"/>
      <c r="EP59" s="264"/>
      <c r="EQ59" s="264"/>
      <c r="ES59" s="264"/>
      <c r="ET59" s="264"/>
      <c r="EV59" s="264"/>
      <c r="EW59" s="264"/>
      <c r="EY59" s="264"/>
      <c r="EZ59" s="264"/>
      <c r="FB59" s="264"/>
      <c r="FC59" s="264"/>
      <c r="FE59" s="264"/>
      <c r="FF59" s="264"/>
      <c r="FH59" s="264"/>
      <c r="FI59" s="264"/>
      <c r="FK59" s="264"/>
      <c r="FL59" s="264"/>
      <c r="FN59" s="264"/>
      <c r="FO59" s="264"/>
      <c r="FQ59" s="264"/>
      <c r="FR59" s="264"/>
      <c r="FT59" s="264"/>
      <c r="FU59" s="264"/>
      <c r="FW59" s="264"/>
      <c r="FX59" s="264"/>
      <c r="FZ59" s="264"/>
      <c r="GA59" s="264"/>
      <c r="GC59" s="264"/>
      <c r="GD59" s="264"/>
      <c r="GF59" s="264"/>
      <c r="GG59" s="264"/>
      <c r="GI59" s="264"/>
      <c r="GJ59" s="264"/>
      <c r="GL59" s="264"/>
      <c r="GM59" s="264"/>
      <c r="GO59" s="264"/>
      <c r="GP59" s="264"/>
      <c r="GR59" s="264"/>
      <c r="GS59" s="264"/>
      <c r="GU59" s="264"/>
      <c r="GV59" s="264"/>
      <c r="GX59" s="264"/>
      <c r="GY59" s="264"/>
      <c r="HA59" s="264"/>
      <c r="HB59" s="264"/>
      <c r="HD59" s="264"/>
      <c r="HE59" s="264"/>
      <c r="HG59" s="264"/>
      <c r="HH59" s="264"/>
      <c r="HJ59" s="264"/>
      <c r="HK59" s="264"/>
      <c r="HM59" s="264"/>
      <c r="HN59" s="264"/>
      <c r="HP59" s="264"/>
      <c r="HQ59" s="264"/>
      <c r="HS59" s="264"/>
      <c r="HT59" s="264"/>
      <c r="HV59" s="264"/>
      <c r="HW59" s="264"/>
      <c r="HY59" s="264"/>
      <c r="HZ59" s="264"/>
      <c r="IB59" s="264"/>
      <c r="IC59" s="264"/>
      <c r="IE59" s="264"/>
      <c r="IF59" s="264"/>
    </row>
    <row r="60" spans="1:240" x14ac:dyDescent="0.25">
      <c r="A60" s="264"/>
      <c r="C60" s="226" t="s">
        <v>379</v>
      </c>
      <c r="D60" s="334"/>
      <c r="E60" s="264"/>
      <c r="G60" s="265"/>
      <c r="J60" s="264"/>
      <c r="K60" s="264"/>
      <c r="M60" s="264"/>
      <c r="N60" s="264"/>
      <c r="P60" s="264"/>
      <c r="Q60" s="264"/>
      <c r="S60" s="264"/>
      <c r="T60" s="264"/>
      <c r="V60" s="264"/>
      <c r="W60" s="264"/>
      <c r="Y60" s="264"/>
      <c r="Z60" s="264"/>
      <c r="AB60" s="264"/>
      <c r="AC60" s="264"/>
      <c r="AE60" s="264"/>
      <c r="AF60" s="264"/>
      <c r="AG60" s="264"/>
      <c r="AI60" s="264"/>
      <c r="AJ60" s="264"/>
      <c r="AL60" s="264"/>
      <c r="AM60" s="264"/>
      <c r="AO60" s="264"/>
      <c r="AP60" s="264"/>
      <c r="AR60" s="264"/>
      <c r="AS60" s="264"/>
      <c r="AU60" s="264"/>
      <c r="AV60" s="264"/>
      <c r="AX60" s="264"/>
      <c r="AY60" s="264"/>
      <c r="BA60" s="264"/>
      <c r="BB60" s="264"/>
      <c r="BD60" s="264"/>
      <c r="BE60" s="264"/>
      <c r="BG60" s="264"/>
      <c r="BH60" s="264"/>
      <c r="BJ60" s="264"/>
      <c r="BK60" s="264"/>
      <c r="BM60" s="264"/>
      <c r="BN60" s="264"/>
      <c r="BP60" s="264"/>
      <c r="BQ60" s="264"/>
      <c r="BS60" s="264"/>
      <c r="BT60" s="264"/>
      <c r="BV60" s="264"/>
      <c r="BW60" s="264"/>
      <c r="BY60" s="264"/>
      <c r="BZ60" s="264"/>
      <c r="CB60" s="264"/>
      <c r="CC60" s="264"/>
      <c r="CE60" s="264"/>
      <c r="CF60" s="264"/>
      <c r="CH60" s="264"/>
      <c r="CI60" s="264"/>
      <c r="CK60" s="264"/>
      <c r="CL60" s="264"/>
      <c r="CN60" s="264"/>
      <c r="CO60" s="264"/>
      <c r="CQ60" s="264"/>
      <c r="CR60" s="264"/>
      <c r="CT60" s="264"/>
      <c r="CU60" s="264"/>
      <c r="CW60" s="264"/>
      <c r="CX60" s="264"/>
      <c r="CZ60" s="264"/>
      <c r="DA60" s="264"/>
      <c r="DC60" s="264"/>
      <c r="DD60" s="264"/>
      <c r="DF60" s="264"/>
      <c r="DG60" s="264"/>
      <c r="DI60" s="264"/>
      <c r="DJ60" s="264"/>
      <c r="DL60" s="264"/>
      <c r="DM60" s="264"/>
      <c r="DO60" s="264"/>
      <c r="DP60" s="264"/>
      <c r="DR60" s="264"/>
      <c r="DS60" s="264"/>
      <c r="DU60" s="264"/>
      <c r="DV60" s="264"/>
      <c r="DX60" s="264"/>
      <c r="DY60" s="264"/>
      <c r="EA60" s="264"/>
      <c r="EB60" s="252"/>
      <c r="ED60" s="264"/>
      <c r="EE60" s="264"/>
      <c r="EG60" s="264"/>
      <c r="EH60" s="264"/>
      <c r="EJ60" s="264"/>
      <c r="EK60" s="264"/>
      <c r="EM60" s="264"/>
      <c r="EN60" s="264"/>
      <c r="EP60" s="264"/>
      <c r="EQ60" s="264"/>
      <c r="ES60" s="264"/>
      <c r="ET60" s="264"/>
      <c r="EV60" s="264"/>
      <c r="EW60" s="264"/>
      <c r="EY60" s="264"/>
      <c r="EZ60" s="264"/>
      <c r="FB60" s="264"/>
      <c r="FC60" s="264"/>
      <c r="FE60" s="264"/>
      <c r="FF60" s="264"/>
      <c r="FH60" s="264"/>
      <c r="FI60" s="264"/>
      <c r="FK60" s="264"/>
      <c r="FL60" s="264"/>
      <c r="FN60" s="264"/>
      <c r="FO60" s="264"/>
      <c r="FQ60" s="264"/>
      <c r="FR60" s="264"/>
      <c r="FT60" s="264"/>
      <c r="FU60" s="264"/>
      <c r="FW60" s="264"/>
      <c r="FX60" s="264"/>
      <c r="FZ60" s="264"/>
      <c r="GA60" s="264"/>
      <c r="GC60" s="264"/>
      <c r="GD60" s="264"/>
      <c r="GF60" s="264"/>
      <c r="GG60" s="264"/>
      <c r="GI60" s="264"/>
      <c r="GJ60" s="264"/>
      <c r="GL60" s="264"/>
      <c r="GM60" s="264"/>
      <c r="GO60" s="264"/>
      <c r="GP60" s="264"/>
      <c r="GR60" s="264"/>
      <c r="GS60" s="264"/>
      <c r="GU60" s="264"/>
      <c r="GV60" s="264"/>
      <c r="GX60" s="264"/>
      <c r="GY60" s="264"/>
      <c r="HA60" s="264"/>
      <c r="HB60" s="264"/>
      <c r="HD60" s="264"/>
      <c r="HE60" s="264"/>
      <c r="HG60" s="264"/>
      <c r="HH60" s="264"/>
      <c r="HJ60" s="264"/>
      <c r="HK60" s="264"/>
      <c r="HM60" s="264"/>
      <c r="HN60" s="264"/>
      <c r="HP60" s="264"/>
      <c r="HQ60" s="264"/>
      <c r="HS60" s="264"/>
      <c r="HT60" s="264"/>
      <c r="HV60" s="264"/>
      <c r="HW60" s="264"/>
      <c r="HY60" s="264"/>
      <c r="HZ60" s="264"/>
      <c r="IB60" s="264"/>
      <c r="IC60" s="264"/>
      <c r="IE60" s="264"/>
      <c r="IF60" s="264"/>
    </row>
    <row r="61" spans="1:240" x14ac:dyDescent="0.25">
      <c r="A61" s="264"/>
      <c r="E61" s="264"/>
      <c r="G61" s="265"/>
      <c r="J61" s="264"/>
      <c r="K61" s="264"/>
      <c r="M61" s="264"/>
      <c r="N61" s="264"/>
      <c r="P61" s="264"/>
      <c r="Q61" s="264"/>
      <c r="S61" s="264"/>
      <c r="T61" s="264"/>
      <c r="V61" s="264"/>
      <c r="W61" s="264"/>
      <c r="Y61" s="264"/>
      <c r="Z61" s="264"/>
      <c r="AB61" s="264"/>
      <c r="AC61" s="264"/>
      <c r="AE61" s="264"/>
      <c r="AF61" s="264"/>
      <c r="AG61" s="264"/>
      <c r="AI61" s="264"/>
      <c r="AJ61" s="264"/>
      <c r="AL61" s="264"/>
      <c r="AM61" s="264"/>
      <c r="AO61" s="264"/>
      <c r="AP61" s="264"/>
      <c r="AR61" s="264"/>
      <c r="AS61" s="264"/>
      <c r="AU61" s="264"/>
      <c r="AV61" s="264"/>
      <c r="AX61" s="264"/>
      <c r="AY61" s="264"/>
      <c r="BA61" s="264"/>
      <c r="BB61" s="264"/>
      <c r="BD61" s="264"/>
      <c r="BE61" s="264"/>
      <c r="BG61" s="264"/>
      <c r="BH61" s="264"/>
      <c r="BJ61" s="264"/>
      <c r="BK61" s="264"/>
      <c r="BM61" s="264"/>
      <c r="BN61" s="264"/>
      <c r="BP61" s="264"/>
      <c r="BQ61" s="264"/>
      <c r="BS61" s="264"/>
      <c r="BT61" s="264"/>
      <c r="BV61" s="264"/>
      <c r="BW61" s="264"/>
      <c r="BY61" s="264"/>
      <c r="BZ61" s="264"/>
      <c r="CB61" s="264"/>
      <c r="CC61" s="264"/>
      <c r="CE61" s="264"/>
      <c r="CF61" s="264"/>
      <c r="CH61" s="264"/>
      <c r="CI61" s="264"/>
      <c r="CK61" s="264"/>
      <c r="CL61" s="264"/>
      <c r="CN61" s="264"/>
      <c r="CO61" s="264"/>
      <c r="CQ61" s="264"/>
      <c r="CR61" s="264"/>
      <c r="CT61" s="264"/>
      <c r="CU61" s="264"/>
      <c r="CW61" s="264"/>
      <c r="CX61" s="264"/>
      <c r="CZ61" s="264"/>
      <c r="DA61" s="264"/>
      <c r="DC61" s="264"/>
      <c r="DD61" s="264"/>
      <c r="DF61" s="264"/>
      <c r="DG61" s="264"/>
      <c r="DI61" s="264"/>
      <c r="DJ61" s="264"/>
      <c r="DL61" s="264"/>
      <c r="DM61" s="264"/>
      <c r="DO61" s="264"/>
      <c r="DP61" s="264"/>
      <c r="DR61" s="264"/>
      <c r="DS61" s="264"/>
      <c r="DU61" s="264"/>
      <c r="DV61" s="264"/>
      <c r="DX61" s="264"/>
      <c r="DY61" s="264"/>
      <c r="EA61" s="264"/>
      <c r="EB61" s="252"/>
      <c r="ED61" s="264"/>
      <c r="EE61" s="264"/>
      <c r="EG61" s="264"/>
      <c r="EH61" s="264"/>
      <c r="EJ61" s="264"/>
      <c r="EK61" s="264"/>
      <c r="EM61" s="264"/>
      <c r="EN61" s="264"/>
      <c r="EP61" s="264"/>
      <c r="EQ61" s="264"/>
      <c r="ES61" s="264"/>
      <c r="ET61" s="264"/>
      <c r="EV61" s="264"/>
      <c r="EW61" s="264"/>
      <c r="EY61" s="264"/>
      <c r="EZ61" s="264"/>
      <c r="FB61" s="264"/>
      <c r="FC61" s="264"/>
      <c r="FE61" s="264"/>
      <c r="FF61" s="264"/>
      <c r="FH61" s="264"/>
      <c r="FI61" s="264"/>
      <c r="FK61" s="264"/>
      <c r="FL61" s="264"/>
      <c r="FN61" s="264"/>
      <c r="FO61" s="264"/>
      <c r="FQ61" s="264"/>
      <c r="FR61" s="264"/>
      <c r="FT61" s="264"/>
      <c r="FU61" s="264"/>
      <c r="FW61" s="264"/>
      <c r="FX61" s="264"/>
      <c r="FZ61" s="264"/>
      <c r="GA61" s="264"/>
      <c r="GC61" s="264"/>
      <c r="GD61" s="264"/>
      <c r="GF61" s="264"/>
      <c r="GG61" s="264"/>
      <c r="GI61" s="264"/>
      <c r="GJ61" s="264"/>
      <c r="GL61" s="264"/>
      <c r="GM61" s="264"/>
      <c r="GO61" s="264"/>
      <c r="GP61" s="264"/>
      <c r="GR61" s="264"/>
      <c r="GS61" s="264"/>
      <c r="GU61" s="264"/>
      <c r="GV61" s="264"/>
      <c r="GX61" s="264"/>
      <c r="GY61" s="264"/>
      <c r="HA61" s="264"/>
      <c r="HB61" s="264"/>
      <c r="HD61" s="264"/>
      <c r="HE61" s="264"/>
      <c r="HG61" s="264"/>
      <c r="HH61" s="264"/>
      <c r="HJ61" s="264"/>
      <c r="HK61" s="264"/>
      <c r="HM61" s="264"/>
      <c r="HN61" s="264"/>
      <c r="HP61" s="264"/>
      <c r="HQ61" s="264"/>
      <c r="HS61" s="264"/>
      <c r="HT61" s="264"/>
      <c r="HV61" s="264"/>
      <c r="HW61" s="264"/>
      <c r="HY61" s="264"/>
      <c r="HZ61" s="264"/>
      <c r="IB61" s="264"/>
      <c r="IC61" s="264"/>
      <c r="IE61" s="264"/>
      <c r="IF61" s="264"/>
    </row>
    <row r="62" spans="1:240" x14ac:dyDescent="0.25">
      <c r="A62" s="264"/>
      <c r="E62" s="264"/>
      <c r="G62" s="265"/>
      <c r="J62" s="264"/>
      <c r="K62" s="264"/>
      <c r="M62" s="264"/>
      <c r="N62" s="264"/>
      <c r="P62" s="264"/>
      <c r="Q62" s="264"/>
      <c r="S62" s="264"/>
      <c r="T62" s="264"/>
      <c r="V62" s="264"/>
      <c r="W62" s="264"/>
      <c r="Y62" s="264"/>
      <c r="Z62" s="264"/>
      <c r="AB62" s="264"/>
      <c r="AC62" s="264"/>
      <c r="AE62" s="264"/>
      <c r="AF62" s="264"/>
      <c r="AG62" s="264"/>
      <c r="AI62" s="264"/>
      <c r="AJ62" s="264"/>
      <c r="AL62" s="264"/>
      <c r="AM62" s="264"/>
      <c r="AO62" s="264"/>
      <c r="AP62" s="264"/>
      <c r="AR62" s="264"/>
      <c r="AS62" s="264"/>
      <c r="AU62" s="264"/>
      <c r="AV62" s="264"/>
      <c r="AX62" s="264"/>
      <c r="AY62" s="264"/>
      <c r="BA62" s="264"/>
      <c r="BB62" s="264"/>
      <c r="BD62" s="264"/>
      <c r="BE62" s="264"/>
      <c r="BG62" s="264"/>
      <c r="BH62" s="264"/>
      <c r="BJ62" s="264"/>
      <c r="BK62" s="264"/>
      <c r="BM62" s="264"/>
      <c r="BN62" s="264"/>
      <c r="BP62" s="264"/>
      <c r="BQ62" s="264"/>
      <c r="BS62" s="264"/>
      <c r="BT62" s="264"/>
      <c r="BV62" s="264"/>
      <c r="BW62" s="264"/>
      <c r="BY62" s="264"/>
      <c r="BZ62" s="264"/>
      <c r="CB62" s="264"/>
      <c r="CC62" s="264"/>
      <c r="CE62" s="264"/>
      <c r="CF62" s="264"/>
      <c r="CH62" s="264"/>
      <c r="CI62" s="264"/>
      <c r="CK62" s="264"/>
      <c r="CL62" s="264"/>
      <c r="CN62" s="264"/>
      <c r="CO62" s="264"/>
      <c r="CQ62" s="264"/>
      <c r="CR62" s="264"/>
      <c r="CT62" s="264"/>
      <c r="CU62" s="264"/>
      <c r="CW62" s="264"/>
      <c r="CX62" s="264"/>
      <c r="CZ62" s="264"/>
      <c r="DA62" s="264"/>
      <c r="DC62" s="264"/>
      <c r="DD62" s="264"/>
      <c r="DF62" s="264"/>
      <c r="DG62" s="264"/>
      <c r="DI62" s="264"/>
      <c r="DJ62" s="264"/>
      <c r="DL62" s="264"/>
      <c r="DM62" s="264"/>
      <c r="DO62" s="264"/>
      <c r="DP62" s="264"/>
      <c r="DR62" s="264"/>
      <c r="DS62" s="264"/>
      <c r="DU62" s="264"/>
      <c r="DV62" s="264"/>
      <c r="DX62" s="264"/>
      <c r="DY62" s="264"/>
      <c r="EA62" s="264"/>
      <c r="EB62" s="252"/>
      <c r="ED62" s="264"/>
      <c r="EE62" s="264"/>
      <c r="EG62" s="264"/>
      <c r="EH62" s="264"/>
      <c r="EJ62" s="264"/>
      <c r="EK62" s="264"/>
      <c r="EM62" s="264"/>
      <c r="EN62" s="264"/>
      <c r="EP62" s="264"/>
      <c r="EQ62" s="264"/>
      <c r="ES62" s="264"/>
      <c r="ET62" s="264"/>
      <c r="EV62" s="264"/>
      <c r="EW62" s="264"/>
      <c r="EY62" s="264"/>
      <c r="EZ62" s="264"/>
      <c r="FB62" s="264"/>
      <c r="FC62" s="264"/>
      <c r="FE62" s="264"/>
      <c r="FF62" s="264"/>
      <c r="FH62" s="264"/>
      <c r="FI62" s="264"/>
      <c r="FK62" s="264"/>
      <c r="FL62" s="264"/>
      <c r="FN62" s="264"/>
      <c r="FO62" s="264"/>
      <c r="FQ62" s="264"/>
      <c r="FR62" s="264"/>
      <c r="FT62" s="264"/>
      <c r="FU62" s="264"/>
      <c r="FW62" s="264"/>
      <c r="FX62" s="264"/>
      <c r="FZ62" s="264"/>
      <c r="GA62" s="264"/>
      <c r="GC62" s="264"/>
      <c r="GD62" s="264"/>
      <c r="GF62" s="264"/>
      <c r="GG62" s="264"/>
      <c r="GI62" s="264"/>
      <c r="GJ62" s="264"/>
      <c r="GL62" s="264"/>
      <c r="GM62" s="264"/>
      <c r="GO62" s="264"/>
      <c r="GP62" s="264"/>
      <c r="GR62" s="264"/>
      <c r="GS62" s="264"/>
      <c r="GU62" s="264"/>
      <c r="GV62" s="264"/>
      <c r="GX62" s="264"/>
      <c r="GY62" s="264"/>
      <c r="HA62" s="264"/>
      <c r="HB62" s="264"/>
      <c r="HD62" s="264"/>
      <c r="HE62" s="264"/>
      <c r="HG62" s="264"/>
      <c r="HH62" s="264"/>
      <c r="HJ62" s="264"/>
      <c r="HK62" s="264"/>
      <c r="HM62" s="264"/>
      <c r="HN62" s="264"/>
      <c r="HP62" s="264"/>
      <c r="HQ62" s="264"/>
      <c r="HS62" s="264"/>
      <c r="HT62" s="264"/>
      <c r="HV62" s="264"/>
      <c r="HW62" s="264"/>
      <c r="HY62" s="264"/>
      <c r="HZ62" s="264"/>
      <c r="IB62" s="264"/>
      <c r="IC62" s="264"/>
      <c r="IE62" s="264"/>
      <c r="IF62" s="264"/>
    </row>
    <row r="63" spans="1:240" x14ac:dyDescent="0.25">
      <c r="A63" s="264"/>
      <c r="E63" s="264"/>
      <c r="G63" s="265"/>
      <c r="J63" s="264"/>
      <c r="K63" s="264"/>
      <c r="M63" s="264"/>
      <c r="N63" s="264"/>
      <c r="P63" s="264"/>
      <c r="Q63" s="264"/>
      <c r="S63" s="264"/>
      <c r="T63" s="264"/>
      <c r="V63" s="264"/>
      <c r="W63" s="264"/>
      <c r="Y63" s="264"/>
      <c r="Z63" s="264"/>
      <c r="AB63" s="264"/>
      <c r="AC63" s="264"/>
      <c r="AE63" s="264"/>
      <c r="AF63" s="264"/>
      <c r="AG63" s="264"/>
      <c r="AI63" s="264"/>
      <c r="AJ63" s="264"/>
      <c r="AL63" s="264"/>
      <c r="AM63" s="264"/>
      <c r="AO63" s="264"/>
      <c r="AP63" s="264"/>
      <c r="AR63" s="264"/>
      <c r="AS63" s="264"/>
      <c r="AU63" s="264"/>
      <c r="AV63" s="264"/>
      <c r="AX63" s="264"/>
      <c r="AY63" s="264"/>
      <c r="BA63" s="264"/>
      <c r="BB63" s="264"/>
      <c r="BD63" s="264"/>
      <c r="BE63" s="264"/>
      <c r="BG63" s="264"/>
      <c r="BH63" s="264"/>
      <c r="BJ63" s="264"/>
      <c r="BK63" s="264"/>
      <c r="BM63" s="264"/>
      <c r="BN63" s="264"/>
      <c r="BP63" s="264"/>
      <c r="BQ63" s="264"/>
      <c r="BS63" s="264"/>
      <c r="BT63" s="264"/>
      <c r="BV63" s="264"/>
      <c r="BW63" s="264"/>
      <c r="BY63" s="264"/>
      <c r="BZ63" s="264"/>
      <c r="CB63" s="264"/>
      <c r="CC63" s="264"/>
      <c r="CE63" s="264"/>
      <c r="CF63" s="264"/>
      <c r="CH63" s="264"/>
      <c r="CI63" s="264"/>
      <c r="CK63" s="264"/>
      <c r="CL63" s="264"/>
      <c r="CN63" s="264"/>
      <c r="CO63" s="264"/>
      <c r="CQ63" s="264"/>
      <c r="CR63" s="264"/>
      <c r="CT63" s="264"/>
      <c r="CU63" s="264"/>
      <c r="CW63" s="264"/>
      <c r="CX63" s="264"/>
      <c r="CZ63" s="264"/>
      <c r="DA63" s="264"/>
      <c r="DC63" s="264"/>
      <c r="DD63" s="264"/>
      <c r="DF63" s="264"/>
      <c r="DG63" s="264"/>
      <c r="DI63" s="264"/>
      <c r="DJ63" s="264"/>
      <c r="DL63" s="264"/>
      <c r="DM63" s="264"/>
      <c r="DO63" s="264"/>
      <c r="DP63" s="264"/>
      <c r="DR63" s="264"/>
      <c r="DS63" s="264"/>
      <c r="DU63" s="264"/>
      <c r="DV63" s="264"/>
      <c r="DX63" s="264"/>
      <c r="DY63" s="264"/>
      <c r="EA63" s="264"/>
      <c r="EB63" s="252"/>
      <c r="ED63" s="264"/>
      <c r="EE63" s="264"/>
      <c r="EG63" s="264"/>
      <c r="EH63" s="264"/>
      <c r="EJ63" s="264"/>
      <c r="EK63" s="264"/>
      <c r="EM63" s="264"/>
      <c r="EN63" s="264"/>
      <c r="EP63" s="264"/>
      <c r="EQ63" s="264"/>
      <c r="ES63" s="264"/>
      <c r="ET63" s="264"/>
      <c r="EV63" s="264"/>
      <c r="EW63" s="264"/>
      <c r="EY63" s="264"/>
      <c r="EZ63" s="264"/>
      <c r="FB63" s="264"/>
      <c r="FC63" s="264"/>
      <c r="FE63" s="264"/>
      <c r="FF63" s="264"/>
      <c r="FH63" s="264"/>
      <c r="FI63" s="264"/>
      <c r="FK63" s="264"/>
      <c r="FL63" s="264"/>
      <c r="FN63" s="264"/>
      <c r="FO63" s="264"/>
      <c r="FQ63" s="264"/>
      <c r="FR63" s="264"/>
      <c r="FT63" s="264"/>
      <c r="FU63" s="264"/>
      <c r="FW63" s="264"/>
      <c r="FX63" s="264"/>
      <c r="FZ63" s="264"/>
      <c r="GA63" s="264"/>
      <c r="GC63" s="264"/>
      <c r="GD63" s="264"/>
      <c r="GF63" s="264"/>
      <c r="GG63" s="264"/>
      <c r="GI63" s="264"/>
      <c r="GJ63" s="264"/>
      <c r="GL63" s="264"/>
      <c r="GM63" s="264"/>
      <c r="GO63" s="264"/>
      <c r="GP63" s="264"/>
      <c r="GR63" s="264"/>
      <c r="GS63" s="264"/>
      <c r="GU63" s="264"/>
      <c r="GV63" s="264"/>
      <c r="GX63" s="264"/>
      <c r="GY63" s="264"/>
      <c r="HA63" s="264"/>
      <c r="HB63" s="264"/>
      <c r="HD63" s="264"/>
      <c r="HE63" s="264"/>
      <c r="HG63" s="264"/>
      <c r="HH63" s="264"/>
      <c r="HJ63" s="264"/>
      <c r="HK63" s="264"/>
      <c r="HM63" s="264"/>
      <c r="HN63" s="264"/>
      <c r="HP63" s="264"/>
      <c r="HQ63" s="264"/>
      <c r="HS63" s="264"/>
      <c r="HT63" s="264"/>
      <c r="HV63" s="264"/>
      <c r="HW63" s="264"/>
      <c r="HY63" s="264"/>
      <c r="HZ63" s="264"/>
      <c r="IB63" s="264"/>
      <c r="IC63" s="264"/>
      <c r="IE63" s="264"/>
      <c r="IF63" s="264"/>
    </row>
    <row r="64" spans="1:240" x14ac:dyDescent="0.25">
      <c r="A64" s="264"/>
      <c r="E64" s="264"/>
      <c r="G64" s="265"/>
      <c r="J64" s="264"/>
      <c r="K64" s="264"/>
      <c r="M64" s="264"/>
      <c r="N64" s="264"/>
      <c r="P64" s="264"/>
      <c r="Q64" s="264"/>
      <c r="S64" s="264"/>
      <c r="T64" s="264"/>
      <c r="V64" s="264"/>
      <c r="W64" s="264"/>
      <c r="Y64" s="264"/>
      <c r="Z64" s="264"/>
      <c r="AB64" s="264"/>
      <c r="AC64" s="264"/>
      <c r="AE64" s="264"/>
      <c r="AF64" s="264"/>
      <c r="AG64" s="264"/>
      <c r="AI64" s="264"/>
      <c r="AJ64" s="264"/>
      <c r="AL64" s="264"/>
      <c r="AM64" s="264"/>
      <c r="AO64" s="264"/>
      <c r="AP64" s="264"/>
      <c r="AR64" s="264"/>
      <c r="AS64" s="264"/>
      <c r="AU64" s="264"/>
      <c r="AV64" s="264"/>
      <c r="AX64" s="264"/>
      <c r="AY64" s="264"/>
      <c r="BA64" s="264"/>
      <c r="BB64" s="264"/>
      <c r="BD64" s="264"/>
      <c r="BE64" s="264"/>
      <c r="BG64" s="264"/>
      <c r="BH64" s="264"/>
      <c r="BJ64" s="264"/>
      <c r="BK64" s="264"/>
      <c r="BM64" s="264"/>
      <c r="BN64" s="264"/>
      <c r="BP64" s="264"/>
      <c r="BQ64" s="264"/>
      <c r="BS64" s="264"/>
      <c r="BT64" s="264"/>
      <c r="BV64" s="264"/>
      <c r="BW64" s="264"/>
      <c r="BY64" s="264"/>
      <c r="BZ64" s="264"/>
      <c r="CB64" s="264"/>
      <c r="CC64" s="264"/>
      <c r="CE64" s="264"/>
      <c r="CF64" s="264"/>
      <c r="CH64" s="264"/>
      <c r="CI64" s="264"/>
      <c r="CK64" s="264"/>
      <c r="CL64" s="264"/>
      <c r="CN64" s="264"/>
      <c r="CO64" s="264"/>
      <c r="CQ64" s="264"/>
      <c r="CR64" s="264"/>
      <c r="CT64" s="264"/>
      <c r="CU64" s="264"/>
      <c r="CW64" s="264"/>
      <c r="CX64" s="264"/>
      <c r="CZ64" s="264"/>
      <c r="DA64" s="264"/>
      <c r="DC64" s="264"/>
      <c r="DD64" s="264"/>
      <c r="DF64" s="264"/>
      <c r="DG64" s="264"/>
      <c r="DI64" s="264"/>
      <c r="DJ64" s="264"/>
      <c r="DL64" s="264"/>
      <c r="DM64" s="264"/>
      <c r="DO64" s="264"/>
      <c r="DP64" s="264"/>
      <c r="DR64" s="264"/>
      <c r="DS64" s="264"/>
      <c r="DU64" s="264"/>
      <c r="DV64" s="264"/>
      <c r="DX64" s="264"/>
      <c r="DY64" s="264"/>
      <c r="EA64" s="264"/>
      <c r="EB64" s="252"/>
      <c r="ED64" s="264"/>
      <c r="EE64" s="264"/>
      <c r="EG64" s="264"/>
      <c r="EH64" s="264"/>
      <c r="EJ64" s="264"/>
      <c r="EK64" s="264"/>
      <c r="EM64" s="264"/>
      <c r="EN64" s="264"/>
      <c r="EP64" s="264"/>
      <c r="EQ64" s="264"/>
      <c r="ES64" s="264"/>
      <c r="ET64" s="264"/>
      <c r="EV64" s="264"/>
      <c r="EW64" s="264"/>
      <c r="EY64" s="264"/>
      <c r="EZ64" s="264"/>
      <c r="FB64" s="264"/>
      <c r="FC64" s="264"/>
      <c r="FE64" s="264"/>
      <c r="FF64" s="264"/>
      <c r="FH64" s="264"/>
      <c r="FI64" s="264"/>
      <c r="FK64" s="264"/>
      <c r="FL64" s="264"/>
      <c r="FN64" s="264"/>
      <c r="FO64" s="264"/>
      <c r="FQ64" s="264"/>
      <c r="FR64" s="264"/>
      <c r="FT64" s="264"/>
      <c r="FU64" s="264"/>
      <c r="FW64" s="264"/>
      <c r="FX64" s="264"/>
      <c r="FZ64" s="264"/>
      <c r="GA64" s="264"/>
      <c r="GC64" s="264"/>
      <c r="GD64" s="264"/>
      <c r="GF64" s="264"/>
      <c r="GG64" s="264"/>
      <c r="GI64" s="264"/>
      <c r="GJ64" s="264"/>
      <c r="GL64" s="264"/>
      <c r="GM64" s="264"/>
      <c r="GO64" s="264"/>
      <c r="GP64" s="264"/>
      <c r="GR64" s="264"/>
      <c r="GS64" s="264"/>
      <c r="GU64" s="264"/>
      <c r="GV64" s="264"/>
      <c r="GX64" s="264"/>
      <c r="GY64" s="264"/>
      <c r="HA64" s="264"/>
      <c r="HB64" s="264"/>
      <c r="HD64" s="264"/>
      <c r="HE64" s="264"/>
      <c r="HG64" s="264"/>
      <c r="HH64" s="264"/>
      <c r="HJ64" s="264"/>
      <c r="HK64" s="264"/>
      <c r="HM64" s="264"/>
      <c r="HN64" s="264"/>
      <c r="HP64" s="264"/>
      <c r="HQ64" s="264"/>
      <c r="HS64" s="264"/>
      <c r="HT64" s="264"/>
      <c r="HV64" s="264"/>
      <c r="HW64" s="264"/>
      <c r="HY64" s="264"/>
      <c r="HZ64" s="264"/>
      <c r="IB64" s="264"/>
      <c r="IC64" s="264"/>
      <c r="IE64" s="264"/>
      <c r="IF64" s="264"/>
    </row>
    <row r="65" spans="1:240" x14ac:dyDescent="0.25">
      <c r="A65" s="264"/>
      <c r="C65" s="177"/>
      <c r="D65" s="334"/>
      <c r="E65" s="264"/>
      <c r="G65" s="265"/>
      <c r="J65" s="264"/>
      <c r="K65" s="264"/>
      <c r="M65" s="264"/>
      <c r="N65" s="264"/>
      <c r="P65" s="264"/>
      <c r="Q65" s="264"/>
      <c r="S65" s="264"/>
      <c r="T65" s="264"/>
      <c r="V65" s="264"/>
      <c r="W65" s="264"/>
      <c r="Y65" s="264"/>
      <c r="Z65" s="264"/>
      <c r="AB65" s="264"/>
      <c r="AC65" s="264"/>
      <c r="AE65" s="264"/>
      <c r="AF65" s="264"/>
      <c r="AG65" s="264"/>
      <c r="AI65" s="264"/>
      <c r="AJ65" s="264"/>
      <c r="AL65" s="264"/>
      <c r="AM65" s="264"/>
      <c r="AO65" s="264"/>
      <c r="AP65" s="264"/>
      <c r="AR65" s="264"/>
      <c r="AS65" s="264"/>
      <c r="AU65" s="264"/>
      <c r="AV65" s="264"/>
      <c r="AX65" s="264"/>
      <c r="AY65" s="264"/>
      <c r="BA65" s="264"/>
      <c r="BB65" s="264"/>
      <c r="BD65" s="264"/>
      <c r="BE65" s="264"/>
      <c r="BG65" s="264"/>
      <c r="BH65" s="264"/>
      <c r="BJ65" s="264"/>
      <c r="BK65" s="264"/>
      <c r="BM65" s="264"/>
      <c r="BN65" s="264"/>
      <c r="BP65" s="264"/>
      <c r="BQ65" s="264"/>
      <c r="BS65" s="264"/>
      <c r="BT65" s="264"/>
      <c r="BV65" s="264"/>
      <c r="BW65" s="264"/>
      <c r="BY65" s="264"/>
      <c r="BZ65" s="264"/>
      <c r="CB65" s="264"/>
      <c r="CC65" s="264"/>
      <c r="CE65" s="264"/>
      <c r="CF65" s="264"/>
      <c r="CH65" s="264"/>
      <c r="CI65" s="264"/>
      <c r="CK65" s="264"/>
      <c r="CL65" s="264"/>
      <c r="CN65" s="264"/>
      <c r="CO65" s="264"/>
      <c r="CQ65" s="264"/>
      <c r="CR65" s="264"/>
      <c r="CT65" s="264"/>
      <c r="CU65" s="264"/>
      <c r="CW65" s="264"/>
      <c r="CX65" s="264"/>
      <c r="CZ65" s="264"/>
      <c r="DA65" s="264"/>
      <c r="DC65" s="264"/>
      <c r="DD65" s="264"/>
      <c r="DF65" s="264"/>
      <c r="DG65" s="264"/>
      <c r="DI65" s="264"/>
      <c r="DJ65" s="264"/>
      <c r="DL65" s="264"/>
      <c r="DM65" s="264"/>
      <c r="DO65" s="264"/>
      <c r="DP65" s="264"/>
      <c r="DR65" s="264"/>
      <c r="DS65" s="264"/>
      <c r="DU65" s="264"/>
      <c r="DV65" s="264"/>
      <c r="DX65" s="264"/>
      <c r="DY65" s="264"/>
      <c r="EA65" s="264"/>
      <c r="EB65" s="252"/>
      <c r="ED65" s="264"/>
      <c r="EE65" s="264"/>
      <c r="EG65" s="264"/>
      <c r="EH65" s="264"/>
      <c r="EJ65" s="264"/>
      <c r="EK65" s="264"/>
      <c r="EM65" s="264"/>
      <c r="EN65" s="264"/>
      <c r="EP65" s="264"/>
      <c r="EQ65" s="264"/>
      <c r="ES65" s="264"/>
      <c r="ET65" s="264"/>
      <c r="EV65" s="264"/>
      <c r="EW65" s="264"/>
      <c r="EY65" s="264"/>
      <c r="EZ65" s="264"/>
      <c r="FB65" s="264"/>
      <c r="FC65" s="264"/>
      <c r="FE65" s="264"/>
      <c r="FF65" s="264"/>
      <c r="FH65" s="264"/>
      <c r="FI65" s="264"/>
      <c r="FK65" s="264"/>
      <c r="FL65" s="264"/>
      <c r="FN65" s="264"/>
      <c r="FO65" s="264"/>
      <c r="FQ65" s="264"/>
      <c r="FR65" s="264"/>
      <c r="FT65" s="264"/>
      <c r="FU65" s="264"/>
      <c r="FW65" s="264"/>
      <c r="FX65" s="264"/>
      <c r="FZ65" s="264"/>
      <c r="GA65" s="264"/>
      <c r="GC65" s="264"/>
      <c r="GD65" s="264"/>
      <c r="GF65" s="264"/>
      <c r="GG65" s="264"/>
      <c r="GI65" s="264"/>
      <c r="GJ65" s="264"/>
      <c r="GL65" s="264"/>
      <c r="GM65" s="264"/>
      <c r="GO65" s="264"/>
      <c r="GP65" s="264"/>
      <c r="GR65" s="264"/>
      <c r="GS65" s="264"/>
      <c r="GU65" s="264"/>
      <c r="GV65" s="264"/>
      <c r="GX65" s="264"/>
      <c r="GY65" s="264"/>
      <c r="HA65" s="264"/>
      <c r="HB65" s="264"/>
      <c r="HD65" s="264"/>
      <c r="HE65" s="264"/>
      <c r="HG65" s="264"/>
      <c r="HH65" s="264"/>
      <c r="HJ65" s="264"/>
      <c r="HK65" s="264"/>
      <c r="HM65" s="264"/>
      <c r="HN65" s="264"/>
      <c r="HP65" s="264"/>
      <c r="HQ65" s="264"/>
      <c r="HS65" s="264"/>
      <c r="HT65" s="264"/>
      <c r="HV65" s="264"/>
      <c r="HW65" s="264"/>
      <c r="HY65" s="264"/>
      <c r="HZ65" s="264"/>
      <c r="IB65" s="264"/>
      <c r="IC65" s="264"/>
      <c r="IE65" s="264"/>
      <c r="IF65" s="264"/>
    </row>
    <row r="66" spans="1:240" x14ac:dyDescent="0.25">
      <c r="A66" s="264"/>
      <c r="C66" s="177"/>
      <c r="D66" s="334"/>
      <c r="E66" s="264"/>
      <c r="G66" s="265"/>
      <c r="J66" s="264"/>
      <c r="K66" s="264"/>
      <c r="M66" s="264"/>
      <c r="N66" s="264"/>
      <c r="P66" s="264"/>
      <c r="Q66" s="264"/>
      <c r="S66" s="264"/>
      <c r="T66" s="264"/>
      <c r="V66" s="264"/>
      <c r="W66" s="264"/>
      <c r="Y66" s="264"/>
      <c r="Z66" s="264"/>
      <c r="AB66" s="264"/>
      <c r="AC66" s="264"/>
      <c r="AE66" s="264"/>
      <c r="AF66" s="264"/>
      <c r="AG66" s="264"/>
      <c r="AI66" s="264"/>
      <c r="AJ66" s="264"/>
      <c r="AL66" s="264"/>
      <c r="AM66" s="264"/>
      <c r="AO66" s="264"/>
      <c r="AP66" s="264"/>
      <c r="AR66" s="264"/>
      <c r="AS66" s="264"/>
      <c r="AU66" s="264"/>
      <c r="AV66" s="264"/>
      <c r="AX66" s="264"/>
      <c r="AY66" s="264"/>
      <c r="BA66" s="264"/>
      <c r="BB66" s="264"/>
      <c r="BD66" s="264"/>
      <c r="BE66" s="264"/>
      <c r="BG66" s="264"/>
      <c r="BH66" s="264"/>
      <c r="BJ66" s="264"/>
      <c r="BK66" s="264"/>
      <c r="BM66" s="264"/>
      <c r="BN66" s="264"/>
      <c r="BP66" s="264"/>
      <c r="BQ66" s="264"/>
      <c r="BS66" s="264"/>
      <c r="BT66" s="264"/>
      <c r="BV66" s="264"/>
      <c r="BW66" s="264"/>
      <c r="BY66" s="264"/>
      <c r="BZ66" s="264"/>
      <c r="CB66" s="264"/>
      <c r="CC66" s="264"/>
      <c r="CE66" s="264"/>
      <c r="CF66" s="264"/>
      <c r="CH66" s="264"/>
      <c r="CI66" s="264"/>
      <c r="CK66" s="264"/>
      <c r="CL66" s="264"/>
      <c r="CN66" s="264"/>
      <c r="CO66" s="264"/>
      <c r="CQ66" s="264"/>
      <c r="CR66" s="264"/>
      <c r="CT66" s="264"/>
      <c r="CU66" s="264"/>
      <c r="CW66" s="264"/>
      <c r="CX66" s="264"/>
      <c r="CZ66" s="264"/>
      <c r="DA66" s="264"/>
      <c r="DC66" s="264"/>
      <c r="DD66" s="264"/>
      <c r="DF66" s="264"/>
      <c r="DG66" s="264"/>
      <c r="DI66" s="264"/>
      <c r="DJ66" s="264"/>
      <c r="DL66" s="264"/>
      <c r="DM66" s="264"/>
      <c r="DO66" s="264"/>
      <c r="DP66" s="264"/>
      <c r="DR66" s="264"/>
      <c r="DS66" s="264"/>
      <c r="DU66" s="264"/>
      <c r="DV66" s="264"/>
      <c r="DX66" s="264"/>
      <c r="DY66" s="264"/>
      <c r="EA66" s="264"/>
      <c r="EB66" s="252"/>
      <c r="ED66" s="264"/>
      <c r="EE66" s="264"/>
      <c r="EG66" s="264"/>
      <c r="EH66" s="264"/>
      <c r="EJ66" s="264"/>
      <c r="EK66" s="264"/>
      <c r="EM66" s="264"/>
      <c r="EN66" s="264"/>
      <c r="EP66" s="264"/>
      <c r="EQ66" s="264"/>
      <c r="ES66" s="264"/>
      <c r="ET66" s="264"/>
      <c r="EV66" s="264"/>
      <c r="EW66" s="264"/>
      <c r="EY66" s="264"/>
      <c r="EZ66" s="264"/>
      <c r="FB66" s="264"/>
      <c r="FC66" s="264"/>
      <c r="FE66" s="264"/>
      <c r="FF66" s="264"/>
      <c r="FH66" s="264"/>
      <c r="FI66" s="264"/>
      <c r="FK66" s="264"/>
      <c r="FL66" s="264"/>
      <c r="FN66" s="264"/>
      <c r="FO66" s="264"/>
      <c r="FQ66" s="264"/>
      <c r="FR66" s="264"/>
      <c r="FT66" s="264"/>
      <c r="FU66" s="264"/>
      <c r="FW66" s="264"/>
      <c r="FX66" s="264"/>
      <c r="FZ66" s="264"/>
      <c r="GA66" s="264"/>
      <c r="GC66" s="264"/>
      <c r="GD66" s="264"/>
      <c r="GF66" s="264"/>
      <c r="GG66" s="264"/>
      <c r="GI66" s="264"/>
      <c r="GJ66" s="264"/>
      <c r="GL66" s="264"/>
      <c r="GM66" s="264"/>
      <c r="GO66" s="264"/>
      <c r="GP66" s="264"/>
      <c r="GR66" s="264"/>
      <c r="GS66" s="264"/>
      <c r="GU66" s="264"/>
      <c r="GV66" s="264"/>
      <c r="GX66" s="264"/>
      <c r="GY66" s="264"/>
      <c r="HA66" s="264"/>
      <c r="HB66" s="264"/>
      <c r="HD66" s="264"/>
      <c r="HE66" s="264"/>
      <c r="HG66" s="264"/>
      <c r="HH66" s="264"/>
      <c r="HJ66" s="264"/>
      <c r="HK66" s="264"/>
      <c r="HM66" s="264"/>
      <c r="HN66" s="264"/>
      <c r="HP66" s="264"/>
      <c r="HQ66" s="264"/>
      <c r="HS66" s="264"/>
      <c r="HT66" s="264"/>
      <c r="HV66" s="264"/>
      <c r="HW66" s="264"/>
      <c r="HY66" s="264"/>
      <c r="HZ66" s="264"/>
      <c r="IB66" s="264"/>
      <c r="IC66" s="264"/>
      <c r="IE66" s="264"/>
      <c r="IF66" s="264"/>
    </row>
    <row r="67" spans="1:240" x14ac:dyDescent="0.25">
      <c r="A67" s="264"/>
      <c r="C67" s="177"/>
      <c r="D67" s="334"/>
      <c r="E67" s="264"/>
      <c r="G67" s="265"/>
      <c r="J67" s="264"/>
      <c r="K67" s="264"/>
      <c r="M67" s="264"/>
      <c r="N67" s="264"/>
      <c r="P67" s="264"/>
      <c r="Q67" s="264"/>
      <c r="S67" s="264"/>
      <c r="T67" s="264"/>
      <c r="V67" s="264"/>
      <c r="W67" s="264"/>
      <c r="Y67" s="264"/>
      <c r="Z67" s="264"/>
      <c r="AB67" s="264"/>
      <c r="AC67" s="264"/>
      <c r="AE67" s="264"/>
      <c r="AF67" s="264"/>
      <c r="AG67" s="264"/>
      <c r="AI67" s="264"/>
      <c r="AJ67" s="264"/>
      <c r="AL67" s="264"/>
      <c r="AM67" s="264"/>
      <c r="AO67" s="264"/>
      <c r="AP67" s="264"/>
      <c r="AR67" s="264"/>
      <c r="AS67" s="264"/>
      <c r="AU67" s="264"/>
      <c r="AV67" s="264"/>
      <c r="AX67" s="264"/>
      <c r="AY67" s="264"/>
      <c r="BA67" s="264"/>
      <c r="BB67" s="264"/>
      <c r="BD67" s="264"/>
      <c r="BE67" s="264"/>
      <c r="BG67" s="264"/>
      <c r="BH67" s="264"/>
      <c r="BJ67" s="264"/>
      <c r="BK67" s="264"/>
      <c r="BM67" s="264"/>
      <c r="BN67" s="264"/>
      <c r="BP67" s="264"/>
      <c r="BQ67" s="264"/>
      <c r="BS67" s="264"/>
      <c r="BT67" s="264"/>
      <c r="BV67" s="264"/>
      <c r="BW67" s="264"/>
      <c r="BY67" s="264"/>
      <c r="BZ67" s="264"/>
      <c r="CB67" s="264"/>
      <c r="CC67" s="264"/>
      <c r="CE67" s="264"/>
      <c r="CF67" s="264"/>
      <c r="CH67" s="264"/>
      <c r="CI67" s="264"/>
      <c r="CK67" s="264"/>
      <c r="CL67" s="264"/>
      <c r="CN67" s="264"/>
      <c r="CO67" s="264"/>
      <c r="CQ67" s="264"/>
      <c r="CR67" s="264"/>
      <c r="CT67" s="264"/>
      <c r="CU67" s="264"/>
      <c r="CW67" s="264"/>
      <c r="CX67" s="264"/>
      <c r="CZ67" s="264"/>
      <c r="DA67" s="264"/>
      <c r="DC67" s="264"/>
      <c r="DD67" s="264"/>
      <c r="DF67" s="264"/>
      <c r="DG67" s="264"/>
      <c r="DI67" s="264"/>
      <c r="DJ67" s="264"/>
      <c r="DL67" s="264"/>
      <c r="DM67" s="264"/>
      <c r="DO67" s="264"/>
      <c r="DP67" s="264"/>
      <c r="DR67" s="264"/>
      <c r="DS67" s="264"/>
      <c r="DU67" s="264"/>
      <c r="DV67" s="264"/>
      <c r="DX67" s="264"/>
      <c r="DY67" s="264"/>
      <c r="EA67" s="264"/>
      <c r="EB67" s="252"/>
      <c r="ED67" s="264"/>
      <c r="EE67" s="264"/>
      <c r="EG67" s="264"/>
      <c r="EH67" s="264"/>
      <c r="EJ67" s="264"/>
      <c r="EK67" s="264"/>
      <c r="EM67" s="264"/>
      <c r="EN67" s="264"/>
      <c r="EP67" s="264"/>
      <c r="EQ67" s="264"/>
      <c r="ES67" s="264"/>
      <c r="ET67" s="264"/>
      <c r="EV67" s="264"/>
      <c r="EW67" s="264"/>
      <c r="EY67" s="264"/>
      <c r="EZ67" s="264"/>
      <c r="FB67" s="264"/>
      <c r="FC67" s="264"/>
      <c r="FE67" s="264"/>
      <c r="FF67" s="264"/>
      <c r="FH67" s="264"/>
      <c r="FI67" s="264"/>
      <c r="FK67" s="264"/>
      <c r="FL67" s="264"/>
      <c r="FN67" s="264"/>
      <c r="FO67" s="264"/>
      <c r="FQ67" s="264"/>
      <c r="FR67" s="264"/>
      <c r="FT67" s="264"/>
      <c r="FU67" s="264"/>
      <c r="FW67" s="264"/>
      <c r="FX67" s="264"/>
      <c r="FZ67" s="264"/>
      <c r="GA67" s="264"/>
      <c r="GC67" s="264"/>
      <c r="GD67" s="264"/>
      <c r="GF67" s="264"/>
      <c r="GG67" s="264"/>
      <c r="GI67" s="264"/>
      <c r="GJ67" s="264"/>
      <c r="GL67" s="264"/>
      <c r="GM67" s="264"/>
      <c r="GO67" s="264"/>
      <c r="GP67" s="264"/>
      <c r="GR67" s="264"/>
      <c r="GS67" s="264"/>
      <c r="GU67" s="264"/>
      <c r="GV67" s="264"/>
      <c r="GX67" s="264"/>
      <c r="GY67" s="264"/>
      <c r="HA67" s="264"/>
      <c r="HB67" s="264"/>
      <c r="HD67" s="264"/>
      <c r="HE67" s="264"/>
      <c r="HG67" s="264"/>
      <c r="HH67" s="264"/>
      <c r="HJ67" s="264"/>
      <c r="HK67" s="264"/>
      <c r="HM67" s="264"/>
      <c r="HN67" s="264"/>
      <c r="HP67" s="264"/>
      <c r="HQ67" s="264"/>
      <c r="HS67" s="264"/>
      <c r="HT67" s="264"/>
      <c r="HV67" s="264"/>
      <c r="HW67" s="264"/>
      <c r="HY67" s="264"/>
      <c r="HZ67" s="264"/>
      <c r="IB67" s="264"/>
      <c r="IC67" s="264"/>
      <c r="IE67" s="264"/>
      <c r="IF67" s="264"/>
    </row>
    <row r="68" spans="1:240" x14ac:dyDescent="0.25">
      <c r="A68" s="264"/>
      <c r="C68" s="177"/>
      <c r="D68" s="334"/>
      <c r="E68" s="264"/>
      <c r="G68" s="265"/>
      <c r="J68" s="264"/>
      <c r="K68" s="264"/>
      <c r="M68" s="264"/>
      <c r="N68" s="264"/>
      <c r="P68" s="264"/>
      <c r="Q68" s="264"/>
      <c r="S68" s="264"/>
      <c r="T68" s="264"/>
      <c r="V68" s="264"/>
      <c r="W68" s="264"/>
      <c r="Y68" s="264"/>
      <c r="Z68" s="264"/>
      <c r="AB68" s="264"/>
      <c r="AC68" s="264"/>
      <c r="AE68" s="264"/>
      <c r="AF68" s="264"/>
      <c r="AG68" s="264"/>
      <c r="AI68" s="264"/>
      <c r="AJ68" s="264"/>
      <c r="AL68" s="264"/>
      <c r="AM68" s="264"/>
      <c r="AO68" s="264"/>
      <c r="AP68" s="264"/>
      <c r="AR68" s="264"/>
      <c r="AS68" s="264"/>
      <c r="AU68" s="264"/>
      <c r="AV68" s="264"/>
      <c r="AX68" s="264"/>
      <c r="AY68" s="264"/>
      <c r="BA68" s="264"/>
      <c r="BB68" s="264"/>
      <c r="BD68" s="264"/>
      <c r="BE68" s="264"/>
      <c r="BG68" s="264"/>
      <c r="BH68" s="264"/>
      <c r="BJ68" s="264"/>
      <c r="BK68" s="264"/>
      <c r="BM68" s="264"/>
      <c r="BN68" s="264"/>
      <c r="BP68" s="264"/>
      <c r="BQ68" s="264"/>
      <c r="BS68" s="264"/>
      <c r="BT68" s="264"/>
      <c r="BV68" s="264"/>
      <c r="BW68" s="264"/>
      <c r="BY68" s="264"/>
      <c r="BZ68" s="264"/>
      <c r="CB68" s="264"/>
      <c r="CC68" s="264"/>
      <c r="CE68" s="264"/>
      <c r="CF68" s="264"/>
      <c r="CH68" s="264"/>
      <c r="CI68" s="264"/>
      <c r="CK68" s="264"/>
      <c r="CL68" s="264"/>
      <c r="CN68" s="264"/>
      <c r="CO68" s="264"/>
      <c r="CQ68" s="264"/>
      <c r="CR68" s="264"/>
      <c r="CT68" s="264"/>
      <c r="CU68" s="264"/>
      <c r="CW68" s="264"/>
      <c r="CX68" s="264"/>
      <c r="CZ68" s="264"/>
      <c r="DA68" s="264"/>
      <c r="DC68" s="264"/>
      <c r="DD68" s="264"/>
      <c r="DF68" s="264"/>
      <c r="DG68" s="264"/>
      <c r="DI68" s="264"/>
      <c r="DJ68" s="264"/>
      <c r="DL68" s="264"/>
      <c r="DM68" s="264"/>
      <c r="DO68" s="264"/>
      <c r="DP68" s="264"/>
      <c r="DR68" s="264"/>
      <c r="DS68" s="264"/>
      <c r="DU68" s="264"/>
      <c r="DV68" s="264"/>
      <c r="DX68" s="264"/>
      <c r="DY68" s="264"/>
      <c r="EA68" s="264"/>
      <c r="EB68" s="252"/>
      <c r="ED68" s="264"/>
      <c r="EE68" s="264"/>
      <c r="EG68" s="264"/>
      <c r="EH68" s="264"/>
      <c r="EJ68" s="264"/>
      <c r="EK68" s="264"/>
      <c r="EM68" s="264"/>
      <c r="EN68" s="264"/>
      <c r="EP68" s="264"/>
      <c r="EQ68" s="264"/>
      <c r="ES68" s="264"/>
      <c r="ET68" s="264"/>
      <c r="EV68" s="264"/>
      <c r="EW68" s="264"/>
      <c r="EY68" s="264"/>
      <c r="EZ68" s="264"/>
      <c r="FB68" s="264"/>
      <c r="FC68" s="264"/>
      <c r="FE68" s="264"/>
      <c r="FF68" s="264"/>
      <c r="FH68" s="264"/>
      <c r="FI68" s="264"/>
      <c r="FK68" s="264"/>
      <c r="FL68" s="264"/>
      <c r="FN68" s="264"/>
      <c r="FO68" s="264"/>
      <c r="FQ68" s="264"/>
      <c r="FR68" s="264"/>
      <c r="FT68" s="264"/>
      <c r="FU68" s="264"/>
      <c r="FW68" s="264"/>
      <c r="FX68" s="264"/>
      <c r="FZ68" s="264"/>
      <c r="GA68" s="264"/>
      <c r="GC68" s="264"/>
      <c r="GD68" s="264"/>
      <c r="GF68" s="264"/>
      <c r="GG68" s="264"/>
      <c r="GI68" s="264"/>
      <c r="GJ68" s="264"/>
      <c r="GL68" s="264"/>
      <c r="GM68" s="264"/>
      <c r="GO68" s="264"/>
      <c r="GP68" s="264"/>
      <c r="GR68" s="264"/>
      <c r="GS68" s="264"/>
      <c r="GU68" s="264"/>
      <c r="GV68" s="264"/>
      <c r="GX68" s="264"/>
      <c r="GY68" s="264"/>
      <c r="HA68" s="264"/>
      <c r="HB68" s="264"/>
      <c r="HD68" s="264"/>
      <c r="HE68" s="264"/>
      <c r="HG68" s="264"/>
      <c r="HH68" s="264"/>
      <c r="HJ68" s="264"/>
      <c r="HK68" s="264"/>
      <c r="HM68" s="264"/>
      <c r="HN68" s="264"/>
      <c r="HP68" s="264"/>
      <c r="HQ68" s="264"/>
      <c r="HS68" s="264"/>
      <c r="HT68" s="264"/>
      <c r="HV68" s="264"/>
      <c r="HW68" s="264"/>
      <c r="HY68" s="264"/>
      <c r="HZ68" s="264"/>
      <c r="IB68" s="264"/>
      <c r="IC68" s="264"/>
      <c r="IE68" s="264"/>
      <c r="IF68" s="264"/>
    </row>
    <row r="69" spans="1:240" x14ac:dyDescent="0.25">
      <c r="A69" s="264"/>
      <c r="C69" s="177"/>
      <c r="D69" s="334"/>
      <c r="E69" s="264"/>
      <c r="G69" s="265"/>
      <c r="J69" s="264"/>
      <c r="K69" s="264"/>
      <c r="M69" s="264"/>
      <c r="N69" s="264"/>
      <c r="P69" s="264"/>
      <c r="Q69" s="264"/>
      <c r="S69" s="264"/>
      <c r="T69" s="264"/>
      <c r="V69" s="264"/>
      <c r="W69" s="264"/>
      <c r="Y69" s="264"/>
      <c r="Z69" s="264"/>
      <c r="AB69" s="264"/>
      <c r="AC69" s="264"/>
      <c r="AE69" s="264"/>
      <c r="AF69" s="264"/>
      <c r="AG69" s="264"/>
      <c r="AI69" s="264"/>
      <c r="AJ69" s="264"/>
      <c r="AL69" s="264"/>
      <c r="AM69" s="264"/>
      <c r="AO69" s="264"/>
      <c r="AP69" s="264"/>
      <c r="AR69" s="264"/>
      <c r="AS69" s="264"/>
      <c r="AU69" s="264"/>
      <c r="AV69" s="264"/>
      <c r="AX69" s="264"/>
      <c r="AY69" s="264"/>
      <c r="BA69" s="264"/>
      <c r="BB69" s="264"/>
      <c r="BD69" s="264"/>
      <c r="BE69" s="264"/>
      <c r="BG69" s="264"/>
      <c r="BH69" s="264"/>
      <c r="BJ69" s="264"/>
      <c r="BK69" s="264"/>
      <c r="BM69" s="264"/>
      <c r="BN69" s="264"/>
      <c r="BP69" s="264"/>
      <c r="BQ69" s="264"/>
      <c r="BS69" s="264"/>
      <c r="BT69" s="264"/>
      <c r="BV69" s="264"/>
      <c r="BW69" s="264"/>
      <c r="BY69" s="264"/>
      <c r="BZ69" s="264"/>
      <c r="CB69" s="264"/>
      <c r="CC69" s="264"/>
      <c r="CE69" s="264"/>
      <c r="CF69" s="264"/>
      <c r="CH69" s="264"/>
      <c r="CI69" s="264"/>
      <c r="CK69" s="264"/>
      <c r="CL69" s="264"/>
      <c r="CN69" s="264"/>
      <c r="CO69" s="264"/>
      <c r="CQ69" s="264"/>
      <c r="CR69" s="264"/>
      <c r="CT69" s="264"/>
      <c r="CU69" s="264"/>
      <c r="CW69" s="264"/>
      <c r="CX69" s="264"/>
      <c r="CZ69" s="264"/>
      <c r="DA69" s="264"/>
      <c r="DC69" s="264"/>
      <c r="DD69" s="264"/>
      <c r="DF69" s="264"/>
      <c r="DG69" s="264"/>
      <c r="DI69" s="264"/>
      <c r="DJ69" s="264"/>
      <c r="DL69" s="264"/>
      <c r="DM69" s="264"/>
      <c r="DO69" s="264"/>
      <c r="DP69" s="264"/>
      <c r="DR69" s="264"/>
      <c r="DS69" s="264"/>
      <c r="DU69" s="264"/>
      <c r="DV69" s="264"/>
      <c r="DX69" s="264"/>
      <c r="DY69" s="264"/>
      <c r="EA69" s="264"/>
      <c r="EB69" s="252"/>
      <c r="ED69" s="264"/>
      <c r="EE69" s="264"/>
      <c r="EG69" s="264"/>
      <c r="EH69" s="264"/>
      <c r="EJ69" s="264"/>
      <c r="EK69" s="264"/>
      <c r="EM69" s="264"/>
      <c r="EN69" s="264"/>
      <c r="EP69" s="264"/>
      <c r="EQ69" s="264"/>
      <c r="ES69" s="264"/>
      <c r="ET69" s="264"/>
      <c r="EV69" s="264"/>
      <c r="EW69" s="264"/>
      <c r="EY69" s="264"/>
      <c r="EZ69" s="264"/>
      <c r="FB69" s="264"/>
      <c r="FC69" s="264"/>
      <c r="FE69" s="264"/>
      <c r="FF69" s="264"/>
      <c r="FH69" s="264"/>
      <c r="FI69" s="264"/>
      <c r="FK69" s="264"/>
      <c r="FL69" s="264"/>
      <c r="FN69" s="264"/>
      <c r="FO69" s="264"/>
      <c r="FQ69" s="264"/>
      <c r="FR69" s="264"/>
      <c r="FT69" s="264"/>
      <c r="FU69" s="264"/>
      <c r="FW69" s="264"/>
      <c r="FX69" s="264"/>
      <c r="FZ69" s="264"/>
      <c r="GA69" s="264"/>
      <c r="GC69" s="264"/>
      <c r="GD69" s="264"/>
      <c r="GF69" s="264"/>
      <c r="GG69" s="264"/>
      <c r="GI69" s="264"/>
      <c r="GJ69" s="264"/>
      <c r="GL69" s="264"/>
      <c r="GM69" s="264"/>
      <c r="GO69" s="264"/>
      <c r="GP69" s="264"/>
      <c r="GR69" s="264"/>
      <c r="GS69" s="264"/>
      <c r="GU69" s="264"/>
      <c r="GV69" s="264"/>
      <c r="GX69" s="264"/>
      <c r="GY69" s="264"/>
      <c r="HA69" s="264"/>
      <c r="HB69" s="264"/>
      <c r="HD69" s="264"/>
      <c r="HE69" s="264"/>
      <c r="HG69" s="264"/>
      <c r="HH69" s="264"/>
      <c r="HJ69" s="264"/>
      <c r="HK69" s="264"/>
      <c r="HM69" s="264"/>
      <c r="HN69" s="264"/>
      <c r="HP69" s="264"/>
      <c r="HQ69" s="264"/>
      <c r="HS69" s="264"/>
      <c r="HT69" s="264"/>
      <c r="HV69" s="264"/>
      <c r="HW69" s="264"/>
      <c r="HY69" s="264"/>
      <c r="HZ69" s="264"/>
      <c r="IB69" s="264"/>
      <c r="IC69" s="264"/>
      <c r="IE69" s="264"/>
      <c r="IF69" s="264"/>
    </row>
    <row r="70" spans="1:240" x14ac:dyDescent="0.25">
      <c r="A70" s="264"/>
      <c r="C70" s="177"/>
      <c r="D70" s="334"/>
      <c r="E70" s="264"/>
      <c r="G70" s="265"/>
      <c r="J70" s="264"/>
      <c r="K70" s="264"/>
      <c r="M70" s="264"/>
      <c r="N70" s="264"/>
      <c r="P70" s="264"/>
      <c r="Q70" s="264"/>
      <c r="S70" s="264"/>
      <c r="T70" s="264"/>
      <c r="V70" s="264"/>
      <c r="W70" s="264"/>
      <c r="Y70" s="264"/>
      <c r="Z70" s="264"/>
      <c r="AB70" s="264"/>
      <c r="AC70" s="264"/>
      <c r="AE70" s="264"/>
      <c r="AF70" s="264"/>
      <c r="AG70" s="264"/>
      <c r="AI70" s="264"/>
      <c r="AJ70" s="264"/>
      <c r="AL70" s="264"/>
      <c r="AM70" s="264"/>
      <c r="AO70" s="264"/>
      <c r="AP70" s="264"/>
      <c r="AR70" s="264"/>
      <c r="AS70" s="264"/>
      <c r="AU70" s="264"/>
      <c r="AV70" s="264"/>
      <c r="AX70" s="264"/>
      <c r="AY70" s="264"/>
      <c r="BA70" s="264"/>
      <c r="BB70" s="264"/>
      <c r="BD70" s="264"/>
      <c r="BE70" s="264"/>
      <c r="BG70" s="264"/>
      <c r="BH70" s="264"/>
      <c r="BJ70" s="264"/>
      <c r="BK70" s="264"/>
      <c r="BM70" s="264"/>
      <c r="BN70" s="264"/>
      <c r="BP70" s="264"/>
      <c r="BQ70" s="264"/>
      <c r="BS70" s="264"/>
      <c r="BT70" s="264"/>
      <c r="BV70" s="264"/>
      <c r="BW70" s="264"/>
      <c r="BY70" s="264"/>
      <c r="BZ70" s="264"/>
      <c r="CB70" s="264"/>
      <c r="CC70" s="264"/>
      <c r="CE70" s="264"/>
      <c r="CF70" s="264"/>
      <c r="CH70" s="264"/>
      <c r="CI70" s="264"/>
      <c r="CK70" s="264"/>
      <c r="CL70" s="264"/>
      <c r="CN70" s="264"/>
      <c r="CO70" s="264"/>
      <c r="CQ70" s="264"/>
      <c r="CR70" s="264"/>
      <c r="CT70" s="264"/>
      <c r="CU70" s="264"/>
      <c r="CW70" s="264"/>
      <c r="CX70" s="264"/>
      <c r="CZ70" s="264"/>
      <c r="DA70" s="264"/>
      <c r="DC70" s="264"/>
      <c r="DD70" s="264"/>
      <c r="DF70" s="264"/>
      <c r="DG70" s="264"/>
      <c r="DI70" s="264"/>
      <c r="DJ70" s="264"/>
      <c r="DL70" s="264"/>
      <c r="DM70" s="264"/>
      <c r="DO70" s="264"/>
      <c r="DP70" s="264"/>
      <c r="DR70" s="264"/>
      <c r="DS70" s="264"/>
      <c r="DU70" s="264"/>
      <c r="DV70" s="264"/>
      <c r="DX70" s="264"/>
      <c r="DY70" s="264"/>
      <c r="EA70" s="264"/>
      <c r="EB70" s="252"/>
      <c r="ED70" s="264"/>
      <c r="EE70" s="264"/>
      <c r="EG70" s="264"/>
      <c r="EH70" s="264"/>
      <c r="EJ70" s="264"/>
      <c r="EK70" s="264"/>
      <c r="EM70" s="264"/>
      <c r="EN70" s="264"/>
      <c r="EP70" s="264"/>
      <c r="EQ70" s="264"/>
      <c r="ES70" s="264"/>
      <c r="ET70" s="264"/>
      <c r="EV70" s="264"/>
      <c r="EW70" s="264"/>
      <c r="EY70" s="264"/>
      <c r="EZ70" s="264"/>
      <c r="FB70" s="264"/>
      <c r="FC70" s="264"/>
      <c r="FE70" s="264"/>
      <c r="FF70" s="264"/>
      <c r="FH70" s="264"/>
      <c r="FI70" s="264"/>
      <c r="FK70" s="264"/>
      <c r="FL70" s="264"/>
      <c r="FN70" s="264"/>
      <c r="FO70" s="264"/>
      <c r="FQ70" s="264"/>
      <c r="FR70" s="264"/>
      <c r="FT70" s="264"/>
      <c r="FU70" s="264"/>
      <c r="FW70" s="264"/>
      <c r="FX70" s="264"/>
      <c r="FZ70" s="264"/>
      <c r="GA70" s="264"/>
      <c r="GC70" s="264"/>
      <c r="GD70" s="264"/>
      <c r="GF70" s="264"/>
      <c r="GG70" s="264"/>
      <c r="GI70" s="264"/>
      <c r="GJ70" s="264"/>
      <c r="GL70" s="264"/>
      <c r="GM70" s="264"/>
      <c r="GO70" s="264"/>
      <c r="GP70" s="264"/>
      <c r="GR70" s="264"/>
      <c r="GS70" s="264"/>
      <c r="GU70" s="264"/>
      <c r="GV70" s="264"/>
      <c r="GX70" s="264"/>
      <c r="GY70" s="264"/>
      <c r="HA70" s="264"/>
      <c r="HB70" s="264"/>
      <c r="HD70" s="264"/>
      <c r="HE70" s="264"/>
      <c r="HG70" s="264"/>
      <c r="HH70" s="264"/>
      <c r="HJ70" s="264"/>
      <c r="HK70" s="264"/>
      <c r="HM70" s="264"/>
      <c r="HN70" s="264"/>
      <c r="HP70" s="264"/>
      <c r="HQ70" s="264"/>
      <c r="HS70" s="264"/>
      <c r="HT70" s="264"/>
      <c r="HV70" s="264"/>
      <c r="HW70" s="264"/>
      <c r="HY70" s="264"/>
      <c r="HZ70" s="264"/>
      <c r="IB70" s="264"/>
      <c r="IC70" s="264"/>
      <c r="IE70" s="264"/>
      <c r="IF70" s="264"/>
    </row>
    <row r="71" spans="1:240" x14ac:dyDescent="0.25">
      <c r="A71" s="264"/>
      <c r="C71" s="177"/>
      <c r="D71" s="334"/>
      <c r="E71" s="264"/>
      <c r="G71" s="265"/>
      <c r="J71" s="264"/>
      <c r="K71" s="264"/>
      <c r="M71" s="264"/>
      <c r="N71" s="264"/>
      <c r="P71" s="264"/>
      <c r="Q71" s="264"/>
      <c r="S71" s="264"/>
      <c r="T71" s="264"/>
      <c r="V71" s="264"/>
      <c r="W71" s="264"/>
      <c r="Y71" s="264"/>
      <c r="Z71" s="264"/>
      <c r="AB71" s="264"/>
      <c r="AC71" s="264"/>
      <c r="AE71" s="264"/>
      <c r="AF71" s="264"/>
      <c r="AG71" s="264"/>
      <c r="AI71" s="264"/>
      <c r="AJ71" s="264"/>
      <c r="AL71" s="264"/>
      <c r="AM71" s="264"/>
      <c r="AO71" s="264"/>
      <c r="AP71" s="264"/>
      <c r="AR71" s="264"/>
      <c r="AS71" s="264"/>
      <c r="AU71" s="264"/>
      <c r="AV71" s="264"/>
      <c r="AX71" s="264"/>
      <c r="AY71" s="264"/>
      <c r="BA71" s="264"/>
      <c r="BB71" s="264"/>
      <c r="BD71" s="264"/>
      <c r="BE71" s="264"/>
      <c r="BG71" s="264"/>
      <c r="BH71" s="264"/>
      <c r="BJ71" s="264"/>
      <c r="BK71" s="264"/>
      <c r="BM71" s="264"/>
      <c r="BN71" s="264"/>
      <c r="BP71" s="264"/>
      <c r="BQ71" s="264"/>
      <c r="BS71" s="264"/>
      <c r="BT71" s="264"/>
      <c r="BV71" s="264"/>
      <c r="BW71" s="264"/>
      <c r="BY71" s="264"/>
      <c r="BZ71" s="264"/>
      <c r="CB71" s="264"/>
      <c r="CC71" s="264"/>
      <c r="CE71" s="264"/>
      <c r="CF71" s="264"/>
      <c r="CH71" s="264"/>
      <c r="CI71" s="264"/>
      <c r="CK71" s="264"/>
      <c r="CL71" s="264"/>
      <c r="CN71" s="264"/>
      <c r="CO71" s="264"/>
      <c r="CQ71" s="264"/>
      <c r="CR71" s="264"/>
      <c r="CT71" s="264"/>
      <c r="CU71" s="264"/>
      <c r="CW71" s="264"/>
      <c r="CX71" s="264"/>
      <c r="CZ71" s="264"/>
      <c r="DA71" s="264"/>
      <c r="DC71" s="264"/>
      <c r="DD71" s="264"/>
      <c r="DF71" s="264"/>
      <c r="DG71" s="264"/>
      <c r="DI71" s="264"/>
      <c r="DJ71" s="264"/>
      <c r="DL71" s="264"/>
      <c r="DM71" s="264"/>
      <c r="DO71" s="264"/>
      <c r="DP71" s="264"/>
      <c r="DR71" s="264"/>
      <c r="DS71" s="264"/>
      <c r="DU71" s="264"/>
      <c r="DV71" s="264"/>
      <c r="DX71" s="264"/>
      <c r="DY71" s="264"/>
      <c r="EA71" s="264"/>
      <c r="EB71" s="252"/>
      <c r="ED71" s="264"/>
      <c r="EE71" s="264"/>
      <c r="EG71" s="264"/>
      <c r="EH71" s="264"/>
      <c r="EJ71" s="264"/>
      <c r="EK71" s="264"/>
      <c r="EM71" s="264"/>
      <c r="EN71" s="264"/>
      <c r="EP71" s="264"/>
      <c r="EQ71" s="264"/>
      <c r="ES71" s="264"/>
      <c r="ET71" s="264"/>
      <c r="EV71" s="264"/>
      <c r="EW71" s="264"/>
      <c r="EY71" s="264"/>
      <c r="EZ71" s="264"/>
      <c r="FB71" s="264"/>
      <c r="FC71" s="264"/>
      <c r="FE71" s="264"/>
      <c r="FF71" s="264"/>
      <c r="FH71" s="264"/>
      <c r="FI71" s="264"/>
      <c r="FK71" s="264"/>
      <c r="FL71" s="264"/>
      <c r="FN71" s="264"/>
      <c r="FO71" s="264"/>
      <c r="FQ71" s="264"/>
      <c r="FR71" s="264"/>
      <c r="FT71" s="264"/>
      <c r="FU71" s="264"/>
      <c r="FW71" s="264"/>
      <c r="FX71" s="264"/>
      <c r="FZ71" s="264"/>
      <c r="GA71" s="264"/>
      <c r="GC71" s="264"/>
      <c r="GD71" s="264"/>
      <c r="GF71" s="264"/>
      <c r="GG71" s="264"/>
      <c r="GI71" s="264"/>
      <c r="GJ71" s="264"/>
      <c r="GL71" s="264"/>
      <c r="GM71" s="264"/>
      <c r="GO71" s="264"/>
      <c r="GP71" s="264"/>
      <c r="GR71" s="264"/>
      <c r="GS71" s="264"/>
      <c r="GU71" s="264"/>
      <c r="GV71" s="264"/>
      <c r="GX71" s="264"/>
      <c r="GY71" s="264"/>
      <c r="HA71" s="264"/>
      <c r="HB71" s="264"/>
      <c r="HD71" s="264"/>
      <c r="HE71" s="264"/>
      <c r="HG71" s="264"/>
      <c r="HH71" s="264"/>
      <c r="HJ71" s="264"/>
      <c r="HK71" s="264"/>
      <c r="HM71" s="264"/>
      <c r="HN71" s="264"/>
      <c r="HP71" s="264"/>
      <c r="HQ71" s="264"/>
      <c r="HS71" s="264"/>
      <c r="HT71" s="264"/>
      <c r="HV71" s="264"/>
      <c r="HW71" s="264"/>
      <c r="HY71" s="264"/>
      <c r="HZ71" s="264"/>
      <c r="IB71" s="264"/>
      <c r="IC71" s="264"/>
      <c r="IE71" s="264"/>
      <c r="IF71" s="264"/>
    </row>
    <row r="72" spans="1:240" x14ac:dyDescent="0.25">
      <c r="A72" s="264"/>
      <c r="C72" s="177"/>
      <c r="D72" s="334"/>
      <c r="E72" s="264"/>
      <c r="G72" s="265"/>
      <c r="J72" s="264"/>
      <c r="K72" s="264"/>
      <c r="M72" s="264"/>
      <c r="N72" s="264"/>
      <c r="P72" s="264"/>
      <c r="Q72" s="264"/>
      <c r="S72" s="264"/>
      <c r="T72" s="264"/>
      <c r="V72" s="264"/>
      <c r="W72" s="264"/>
      <c r="Y72" s="264"/>
      <c r="Z72" s="264"/>
      <c r="AB72" s="264"/>
      <c r="AC72" s="264"/>
      <c r="AE72" s="264"/>
      <c r="AF72" s="264"/>
      <c r="AG72" s="264"/>
      <c r="AI72" s="264"/>
      <c r="AJ72" s="264"/>
      <c r="AL72" s="264"/>
      <c r="AM72" s="264"/>
      <c r="AO72" s="264"/>
      <c r="AP72" s="264"/>
      <c r="AR72" s="264"/>
      <c r="AS72" s="264"/>
      <c r="AU72" s="264"/>
      <c r="AV72" s="264"/>
      <c r="AX72" s="264"/>
      <c r="AY72" s="264"/>
      <c r="BA72" s="264"/>
      <c r="BB72" s="264"/>
      <c r="BD72" s="264"/>
      <c r="BE72" s="264"/>
      <c r="BG72" s="264"/>
      <c r="BH72" s="264"/>
      <c r="BJ72" s="264"/>
      <c r="BK72" s="264"/>
      <c r="BM72" s="264"/>
      <c r="BN72" s="264"/>
      <c r="BP72" s="264"/>
      <c r="BQ72" s="264"/>
      <c r="BS72" s="264"/>
      <c r="BT72" s="264"/>
      <c r="BV72" s="264"/>
      <c r="BW72" s="264"/>
      <c r="BY72" s="264"/>
      <c r="BZ72" s="264"/>
      <c r="CB72" s="264"/>
      <c r="CC72" s="264"/>
      <c r="CE72" s="264"/>
      <c r="CF72" s="264"/>
      <c r="CH72" s="264"/>
      <c r="CI72" s="264"/>
      <c r="CK72" s="264"/>
      <c r="CL72" s="264"/>
      <c r="CN72" s="264"/>
      <c r="CO72" s="264"/>
      <c r="CQ72" s="264"/>
      <c r="CR72" s="264"/>
      <c r="CT72" s="264"/>
      <c r="CU72" s="264"/>
      <c r="CW72" s="264"/>
      <c r="CX72" s="264"/>
      <c r="CZ72" s="264"/>
      <c r="DA72" s="264"/>
      <c r="DC72" s="264"/>
      <c r="DD72" s="264"/>
      <c r="DF72" s="264"/>
      <c r="DG72" s="264"/>
      <c r="DI72" s="264"/>
      <c r="DJ72" s="264"/>
      <c r="DL72" s="264"/>
      <c r="DM72" s="264"/>
      <c r="DO72" s="264"/>
      <c r="DP72" s="264"/>
      <c r="DR72" s="264"/>
      <c r="DS72" s="264"/>
      <c r="DU72" s="264"/>
      <c r="DV72" s="264"/>
      <c r="DX72" s="264"/>
      <c r="DY72" s="264"/>
      <c r="EA72" s="264"/>
      <c r="EB72" s="252"/>
      <c r="ED72" s="264"/>
      <c r="EE72" s="264"/>
      <c r="EG72" s="264"/>
      <c r="EH72" s="264"/>
      <c r="EJ72" s="264"/>
      <c r="EK72" s="264"/>
      <c r="EM72" s="264"/>
      <c r="EN72" s="264"/>
      <c r="EP72" s="264"/>
      <c r="EQ72" s="264"/>
      <c r="ES72" s="264"/>
      <c r="ET72" s="264"/>
      <c r="EV72" s="264"/>
      <c r="EW72" s="264"/>
      <c r="EY72" s="264"/>
      <c r="EZ72" s="264"/>
      <c r="FB72" s="264"/>
      <c r="FC72" s="264"/>
      <c r="FE72" s="264"/>
      <c r="FF72" s="264"/>
      <c r="FH72" s="264"/>
      <c r="FI72" s="264"/>
      <c r="FK72" s="264"/>
      <c r="FL72" s="264"/>
      <c r="FN72" s="264"/>
      <c r="FO72" s="264"/>
      <c r="FQ72" s="264"/>
      <c r="FR72" s="264"/>
      <c r="FT72" s="264"/>
      <c r="FU72" s="264"/>
      <c r="FW72" s="264"/>
      <c r="FX72" s="264"/>
      <c r="FZ72" s="264"/>
      <c r="GA72" s="264"/>
      <c r="GC72" s="264"/>
      <c r="GD72" s="264"/>
      <c r="GF72" s="264"/>
      <c r="GG72" s="264"/>
      <c r="GI72" s="264"/>
      <c r="GJ72" s="264"/>
      <c r="GL72" s="264"/>
      <c r="GM72" s="264"/>
      <c r="GO72" s="264"/>
      <c r="GP72" s="264"/>
      <c r="GR72" s="264"/>
      <c r="GS72" s="264"/>
      <c r="GU72" s="264"/>
      <c r="GV72" s="264"/>
      <c r="GX72" s="264"/>
      <c r="GY72" s="264"/>
      <c r="HA72" s="264"/>
      <c r="HB72" s="264"/>
      <c r="HD72" s="264"/>
      <c r="HE72" s="264"/>
      <c r="HG72" s="264"/>
      <c r="HH72" s="264"/>
      <c r="HJ72" s="264"/>
      <c r="HK72" s="264"/>
      <c r="HM72" s="264"/>
      <c r="HN72" s="264"/>
      <c r="HP72" s="264"/>
      <c r="HQ72" s="264"/>
      <c r="HS72" s="264"/>
      <c r="HT72" s="264"/>
      <c r="HV72" s="264"/>
      <c r="HW72" s="264"/>
      <c r="HY72" s="264"/>
      <c r="HZ72" s="264"/>
      <c r="IB72" s="264"/>
      <c r="IC72" s="264"/>
      <c r="IE72" s="264"/>
      <c r="IF72" s="264"/>
    </row>
    <row r="73" spans="1:240" x14ac:dyDescent="0.25">
      <c r="A73" s="264"/>
      <c r="C73" s="177"/>
      <c r="D73" s="334"/>
      <c r="E73" s="264"/>
      <c r="G73" s="265"/>
      <c r="J73" s="264"/>
      <c r="K73" s="264"/>
      <c r="M73" s="264"/>
      <c r="N73" s="264"/>
      <c r="P73" s="264"/>
      <c r="Q73" s="264"/>
      <c r="S73" s="264"/>
      <c r="T73" s="264"/>
      <c r="V73" s="264"/>
      <c r="W73" s="264"/>
      <c r="Y73" s="264"/>
      <c r="Z73" s="264"/>
      <c r="AB73" s="264"/>
      <c r="AC73" s="264"/>
      <c r="AE73" s="264"/>
      <c r="AF73" s="264"/>
      <c r="AG73" s="264"/>
      <c r="AI73" s="264"/>
      <c r="AJ73" s="264"/>
      <c r="AL73" s="264"/>
      <c r="AM73" s="264"/>
      <c r="AO73" s="264"/>
      <c r="AP73" s="264"/>
      <c r="AR73" s="264"/>
      <c r="AS73" s="264"/>
      <c r="AU73" s="264"/>
      <c r="AV73" s="264"/>
      <c r="AX73" s="264"/>
      <c r="AY73" s="264"/>
      <c r="BA73" s="264"/>
      <c r="BB73" s="264"/>
      <c r="BD73" s="264"/>
      <c r="BE73" s="264"/>
      <c r="BG73" s="264"/>
      <c r="BH73" s="264"/>
      <c r="BJ73" s="264"/>
      <c r="BK73" s="264"/>
      <c r="BM73" s="264"/>
      <c r="BN73" s="264"/>
      <c r="BP73" s="264"/>
      <c r="BQ73" s="264"/>
      <c r="BS73" s="264"/>
      <c r="BT73" s="264"/>
      <c r="BV73" s="264"/>
      <c r="BW73" s="264"/>
      <c r="BY73" s="264"/>
      <c r="BZ73" s="264"/>
      <c r="CB73" s="264"/>
      <c r="CC73" s="264"/>
      <c r="CE73" s="264"/>
      <c r="CF73" s="264"/>
      <c r="CH73" s="264"/>
      <c r="CI73" s="264"/>
      <c r="CK73" s="264"/>
      <c r="CL73" s="264"/>
      <c r="CN73" s="264"/>
      <c r="CO73" s="264"/>
      <c r="CQ73" s="264"/>
      <c r="CR73" s="264"/>
      <c r="CT73" s="264"/>
      <c r="CU73" s="264"/>
      <c r="CW73" s="264"/>
      <c r="CX73" s="264"/>
      <c r="CZ73" s="264"/>
      <c r="DA73" s="264"/>
      <c r="DC73" s="264"/>
      <c r="DD73" s="264"/>
      <c r="DF73" s="264"/>
      <c r="DG73" s="264"/>
      <c r="DI73" s="264"/>
      <c r="DJ73" s="264"/>
      <c r="DL73" s="264"/>
      <c r="DM73" s="264"/>
      <c r="DO73" s="264"/>
      <c r="DP73" s="264"/>
      <c r="DR73" s="264"/>
      <c r="DS73" s="264"/>
      <c r="DU73" s="264"/>
      <c r="DV73" s="264"/>
      <c r="DX73" s="264"/>
      <c r="DY73" s="264"/>
      <c r="EA73" s="264"/>
      <c r="EB73" s="252"/>
      <c r="ED73" s="264"/>
      <c r="EE73" s="264"/>
      <c r="EG73" s="264"/>
      <c r="EH73" s="264"/>
      <c r="EJ73" s="264"/>
      <c r="EK73" s="264"/>
      <c r="EM73" s="264"/>
      <c r="EN73" s="264"/>
      <c r="EP73" s="264"/>
      <c r="EQ73" s="264"/>
      <c r="ES73" s="264"/>
      <c r="ET73" s="264"/>
      <c r="EV73" s="264"/>
      <c r="EW73" s="264"/>
      <c r="EY73" s="264"/>
      <c r="EZ73" s="264"/>
      <c r="FB73" s="264"/>
      <c r="FC73" s="264"/>
      <c r="FE73" s="264"/>
      <c r="FF73" s="264"/>
      <c r="FH73" s="264"/>
      <c r="FI73" s="264"/>
      <c r="FK73" s="264"/>
      <c r="FL73" s="264"/>
      <c r="FN73" s="264"/>
      <c r="FO73" s="264"/>
      <c r="FQ73" s="264"/>
      <c r="FR73" s="264"/>
      <c r="FT73" s="264"/>
      <c r="FU73" s="264"/>
      <c r="FW73" s="264"/>
      <c r="FX73" s="264"/>
      <c r="FZ73" s="264"/>
      <c r="GA73" s="264"/>
      <c r="GC73" s="264"/>
      <c r="GD73" s="264"/>
      <c r="GF73" s="264"/>
      <c r="GG73" s="264"/>
      <c r="GI73" s="264"/>
      <c r="GJ73" s="264"/>
      <c r="GL73" s="264"/>
      <c r="GM73" s="264"/>
      <c r="GO73" s="264"/>
      <c r="GP73" s="264"/>
      <c r="GR73" s="264"/>
      <c r="GS73" s="264"/>
      <c r="GU73" s="264"/>
      <c r="GV73" s="264"/>
      <c r="GX73" s="264"/>
      <c r="GY73" s="264"/>
      <c r="HA73" s="264"/>
      <c r="HB73" s="264"/>
      <c r="HD73" s="264"/>
      <c r="HE73" s="264"/>
      <c r="HG73" s="264"/>
      <c r="HH73" s="264"/>
      <c r="HJ73" s="264"/>
      <c r="HK73" s="264"/>
      <c r="HM73" s="264"/>
      <c r="HN73" s="264"/>
      <c r="HP73" s="264"/>
      <c r="HQ73" s="264"/>
      <c r="HS73" s="264"/>
      <c r="HT73" s="264"/>
      <c r="HV73" s="264"/>
      <c r="HW73" s="264"/>
      <c r="HY73" s="264"/>
      <c r="HZ73" s="264"/>
      <c r="IB73" s="264"/>
      <c r="IC73" s="264"/>
      <c r="IE73" s="264"/>
      <c r="IF73" s="264"/>
    </row>
    <row r="74" spans="1:240" x14ac:dyDescent="0.25">
      <c r="A74" s="264"/>
      <c r="C74" s="177"/>
      <c r="D74" s="334"/>
      <c r="E74" s="264"/>
      <c r="G74" s="265"/>
      <c r="J74" s="264"/>
      <c r="K74" s="264"/>
      <c r="M74" s="264"/>
      <c r="N74" s="264"/>
      <c r="P74" s="264"/>
      <c r="Q74" s="264"/>
      <c r="S74" s="264"/>
      <c r="T74" s="264"/>
      <c r="V74" s="264"/>
      <c r="W74" s="264"/>
      <c r="Y74" s="264"/>
      <c r="Z74" s="264"/>
      <c r="AB74" s="264"/>
      <c r="AC74" s="264"/>
      <c r="AE74" s="264"/>
      <c r="AF74" s="264"/>
      <c r="AG74" s="264"/>
      <c r="AI74" s="264"/>
      <c r="AJ74" s="264"/>
      <c r="AL74" s="264"/>
      <c r="AM74" s="264"/>
      <c r="AO74" s="264"/>
      <c r="AP74" s="264"/>
      <c r="AR74" s="264"/>
      <c r="AS74" s="264"/>
      <c r="AU74" s="264"/>
      <c r="AV74" s="264"/>
      <c r="AX74" s="264"/>
      <c r="AY74" s="264"/>
      <c r="BA74" s="264"/>
      <c r="BB74" s="264"/>
      <c r="BD74" s="264"/>
      <c r="BE74" s="264"/>
      <c r="BG74" s="264"/>
      <c r="BH74" s="264"/>
      <c r="BJ74" s="264"/>
      <c r="BK74" s="264"/>
      <c r="BM74" s="264"/>
      <c r="BN74" s="264"/>
      <c r="BP74" s="264"/>
      <c r="BQ74" s="264"/>
      <c r="BS74" s="264"/>
      <c r="BT74" s="264"/>
      <c r="BV74" s="264"/>
      <c r="BW74" s="264"/>
      <c r="BY74" s="264"/>
      <c r="BZ74" s="264"/>
      <c r="CB74" s="264"/>
      <c r="CC74" s="264"/>
      <c r="CE74" s="264"/>
      <c r="CF74" s="264"/>
      <c r="CH74" s="264"/>
      <c r="CI74" s="264"/>
      <c r="CK74" s="264"/>
      <c r="CL74" s="264"/>
      <c r="CN74" s="264"/>
      <c r="CO74" s="264"/>
      <c r="CQ74" s="264"/>
      <c r="CR74" s="264"/>
      <c r="CT74" s="264"/>
      <c r="CU74" s="264"/>
      <c r="CW74" s="264"/>
      <c r="CX74" s="264"/>
      <c r="CZ74" s="264"/>
      <c r="DA74" s="264"/>
      <c r="DC74" s="264"/>
      <c r="DD74" s="264"/>
      <c r="DF74" s="264"/>
      <c r="DG74" s="264"/>
      <c r="DI74" s="264"/>
      <c r="DJ74" s="264"/>
      <c r="DL74" s="264"/>
      <c r="DM74" s="264"/>
      <c r="DO74" s="264"/>
      <c r="DP74" s="264"/>
      <c r="DR74" s="264"/>
      <c r="DS74" s="264"/>
      <c r="DU74" s="264"/>
      <c r="DV74" s="264"/>
      <c r="DX74" s="264"/>
      <c r="DY74" s="264"/>
      <c r="EA74" s="264"/>
      <c r="EB74" s="252"/>
      <c r="ED74" s="264"/>
      <c r="EE74" s="264"/>
      <c r="EG74" s="264"/>
      <c r="EH74" s="264"/>
      <c r="EJ74" s="264"/>
      <c r="EK74" s="264"/>
      <c r="EM74" s="264"/>
      <c r="EN74" s="264"/>
      <c r="EP74" s="264"/>
      <c r="EQ74" s="264"/>
      <c r="ES74" s="264"/>
      <c r="ET74" s="264"/>
      <c r="EV74" s="264"/>
      <c r="EW74" s="264"/>
      <c r="EY74" s="264"/>
      <c r="EZ74" s="264"/>
      <c r="FB74" s="264"/>
      <c r="FC74" s="264"/>
      <c r="FE74" s="264"/>
      <c r="FF74" s="264"/>
      <c r="FH74" s="264"/>
      <c r="FI74" s="264"/>
      <c r="FK74" s="264"/>
      <c r="FL74" s="264"/>
      <c r="FN74" s="264"/>
      <c r="FO74" s="264"/>
      <c r="FQ74" s="264"/>
      <c r="FR74" s="264"/>
      <c r="FT74" s="264"/>
      <c r="FU74" s="264"/>
      <c r="FW74" s="264"/>
      <c r="FX74" s="264"/>
      <c r="FZ74" s="264"/>
      <c r="GA74" s="264"/>
      <c r="GC74" s="264"/>
      <c r="GD74" s="264"/>
      <c r="GF74" s="264"/>
      <c r="GG74" s="264"/>
      <c r="GI74" s="264"/>
      <c r="GJ74" s="264"/>
      <c r="GL74" s="264"/>
      <c r="GM74" s="264"/>
      <c r="GO74" s="264"/>
      <c r="GP74" s="264"/>
      <c r="GR74" s="264"/>
      <c r="GS74" s="264"/>
      <c r="GU74" s="264"/>
      <c r="GV74" s="264"/>
      <c r="GX74" s="264"/>
      <c r="GY74" s="264"/>
      <c r="HA74" s="264"/>
      <c r="HB74" s="264"/>
      <c r="HD74" s="264"/>
      <c r="HE74" s="264"/>
      <c r="HG74" s="264"/>
      <c r="HH74" s="264"/>
      <c r="HJ74" s="264"/>
      <c r="HK74" s="264"/>
      <c r="HM74" s="264"/>
      <c r="HN74" s="264"/>
      <c r="HP74" s="264"/>
      <c r="HQ74" s="264"/>
      <c r="HS74" s="264"/>
      <c r="HT74" s="264"/>
      <c r="HV74" s="264"/>
      <c r="HW74" s="264"/>
      <c r="HY74" s="264"/>
      <c r="HZ74" s="264"/>
      <c r="IB74" s="264"/>
      <c r="IC74" s="264"/>
      <c r="IE74" s="264"/>
      <c r="IF74" s="264"/>
    </row>
    <row r="75" spans="1:240" x14ac:dyDescent="0.25">
      <c r="A75" s="264"/>
      <c r="C75" s="177"/>
      <c r="D75" s="334"/>
      <c r="E75" s="264"/>
      <c r="G75" s="265"/>
      <c r="J75" s="264"/>
      <c r="K75" s="264"/>
      <c r="M75" s="264"/>
      <c r="N75" s="264"/>
      <c r="P75" s="264"/>
      <c r="Q75" s="264"/>
      <c r="S75" s="264"/>
      <c r="T75" s="264"/>
      <c r="V75" s="264"/>
      <c r="W75" s="264"/>
      <c r="Y75" s="264"/>
      <c r="Z75" s="264"/>
      <c r="AB75" s="264"/>
      <c r="AC75" s="264"/>
      <c r="AE75" s="264"/>
      <c r="AF75" s="264"/>
      <c r="AG75" s="264"/>
      <c r="AI75" s="264"/>
      <c r="AJ75" s="264"/>
      <c r="AL75" s="264"/>
      <c r="AM75" s="264"/>
      <c r="AO75" s="264"/>
      <c r="AP75" s="264"/>
      <c r="AR75" s="264"/>
      <c r="AS75" s="264"/>
      <c r="AU75" s="264"/>
      <c r="AV75" s="264"/>
      <c r="AX75" s="264"/>
      <c r="AY75" s="264"/>
      <c r="BA75" s="264"/>
      <c r="BB75" s="264"/>
      <c r="BD75" s="264"/>
      <c r="BE75" s="264"/>
      <c r="BG75" s="264"/>
      <c r="BH75" s="264"/>
      <c r="BJ75" s="264"/>
      <c r="BK75" s="264"/>
      <c r="BM75" s="264"/>
      <c r="BN75" s="264"/>
      <c r="BP75" s="264"/>
      <c r="BQ75" s="264"/>
      <c r="BS75" s="264"/>
      <c r="BT75" s="264"/>
      <c r="BV75" s="264"/>
      <c r="BW75" s="264"/>
      <c r="BY75" s="264"/>
      <c r="BZ75" s="264"/>
      <c r="CB75" s="264"/>
      <c r="CC75" s="264"/>
      <c r="CE75" s="264"/>
      <c r="CF75" s="264"/>
      <c r="CH75" s="264"/>
      <c r="CI75" s="264"/>
      <c r="CK75" s="264"/>
      <c r="CL75" s="264"/>
      <c r="CN75" s="264"/>
      <c r="CO75" s="264"/>
      <c r="CQ75" s="264"/>
      <c r="CR75" s="264"/>
      <c r="CT75" s="264"/>
      <c r="CU75" s="264"/>
      <c r="CW75" s="264"/>
      <c r="CX75" s="264"/>
      <c r="CZ75" s="264"/>
      <c r="DA75" s="264"/>
      <c r="DC75" s="264"/>
      <c r="DD75" s="264"/>
      <c r="DF75" s="264"/>
      <c r="DG75" s="264"/>
      <c r="DI75" s="264"/>
      <c r="DJ75" s="264"/>
      <c r="DL75" s="264"/>
      <c r="DM75" s="264"/>
      <c r="DO75" s="264"/>
      <c r="DP75" s="264"/>
      <c r="DR75" s="264"/>
      <c r="DS75" s="264"/>
      <c r="DU75" s="264"/>
      <c r="DV75" s="264"/>
      <c r="DX75" s="264"/>
      <c r="DY75" s="264"/>
      <c r="EA75" s="264"/>
      <c r="EB75" s="252"/>
      <c r="ED75" s="264"/>
      <c r="EE75" s="264"/>
      <c r="EG75" s="264"/>
      <c r="EH75" s="264"/>
      <c r="EJ75" s="264"/>
      <c r="EK75" s="264"/>
      <c r="EM75" s="264"/>
      <c r="EN75" s="264"/>
      <c r="EP75" s="264"/>
      <c r="EQ75" s="264"/>
      <c r="ES75" s="264"/>
      <c r="ET75" s="264"/>
      <c r="EV75" s="264"/>
      <c r="EW75" s="264"/>
      <c r="EY75" s="264"/>
      <c r="EZ75" s="264"/>
      <c r="FB75" s="264"/>
      <c r="FC75" s="264"/>
      <c r="FE75" s="264"/>
      <c r="FF75" s="264"/>
      <c r="FH75" s="264"/>
      <c r="FI75" s="264"/>
      <c r="FK75" s="264"/>
      <c r="FL75" s="264"/>
      <c r="FN75" s="264"/>
      <c r="FO75" s="264"/>
      <c r="FQ75" s="264"/>
      <c r="FR75" s="264"/>
      <c r="FT75" s="264"/>
      <c r="FU75" s="264"/>
      <c r="FW75" s="264"/>
      <c r="FX75" s="264"/>
      <c r="FZ75" s="264"/>
      <c r="GA75" s="264"/>
      <c r="GC75" s="264"/>
      <c r="GD75" s="264"/>
      <c r="GF75" s="264"/>
      <c r="GG75" s="264"/>
      <c r="GI75" s="264"/>
      <c r="GJ75" s="264"/>
      <c r="GL75" s="264"/>
      <c r="GM75" s="264"/>
      <c r="GO75" s="264"/>
      <c r="GP75" s="264"/>
      <c r="GR75" s="264"/>
      <c r="GS75" s="264"/>
      <c r="GU75" s="264"/>
      <c r="GV75" s="264"/>
      <c r="GX75" s="264"/>
      <c r="GY75" s="264"/>
      <c r="HA75" s="264"/>
      <c r="HB75" s="264"/>
      <c r="HD75" s="264"/>
      <c r="HE75" s="264"/>
      <c r="HG75" s="264"/>
      <c r="HH75" s="264"/>
      <c r="HJ75" s="264"/>
      <c r="HK75" s="264"/>
      <c r="HM75" s="264"/>
      <c r="HN75" s="264"/>
      <c r="HP75" s="264"/>
      <c r="HQ75" s="264"/>
      <c r="HS75" s="264"/>
      <c r="HT75" s="264"/>
      <c r="HV75" s="264"/>
      <c r="HW75" s="264"/>
      <c r="HY75" s="264"/>
      <c r="HZ75" s="264"/>
      <c r="IB75" s="264"/>
      <c r="IC75" s="264"/>
      <c r="IE75" s="264"/>
      <c r="IF75" s="264"/>
    </row>
    <row r="76" spans="1:240" x14ac:dyDescent="0.25">
      <c r="A76" s="264"/>
      <c r="C76" s="177"/>
      <c r="D76" s="334"/>
      <c r="E76" s="264"/>
      <c r="G76" s="265"/>
      <c r="J76" s="264"/>
      <c r="K76" s="264"/>
      <c r="M76" s="264"/>
      <c r="N76" s="264"/>
      <c r="P76" s="264"/>
      <c r="Q76" s="264"/>
      <c r="S76" s="264"/>
      <c r="T76" s="264"/>
      <c r="V76" s="264"/>
      <c r="W76" s="264"/>
      <c r="Y76" s="264"/>
      <c r="Z76" s="264"/>
      <c r="AB76" s="264"/>
      <c r="AC76" s="264"/>
      <c r="AE76" s="264"/>
      <c r="AF76" s="264"/>
      <c r="AG76" s="264"/>
      <c r="AI76" s="264"/>
      <c r="AJ76" s="264"/>
      <c r="AL76" s="264"/>
      <c r="AM76" s="264"/>
      <c r="AO76" s="264"/>
      <c r="AP76" s="264"/>
      <c r="AR76" s="264"/>
      <c r="AS76" s="264"/>
      <c r="AU76" s="264"/>
      <c r="AV76" s="264"/>
      <c r="AX76" s="264"/>
      <c r="AY76" s="264"/>
      <c r="BA76" s="264"/>
      <c r="BB76" s="264"/>
      <c r="BD76" s="264"/>
      <c r="BE76" s="264"/>
      <c r="BG76" s="264"/>
      <c r="BH76" s="264"/>
      <c r="BJ76" s="264"/>
      <c r="BK76" s="264"/>
      <c r="BM76" s="264"/>
      <c r="BN76" s="264"/>
      <c r="BP76" s="264"/>
      <c r="BQ76" s="264"/>
      <c r="BS76" s="264"/>
      <c r="BT76" s="264"/>
      <c r="BV76" s="264"/>
      <c r="BW76" s="264"/>
      <c r="BY76" s="264"/>
      <c r="BZ76" s="264"/>
      <c r="CB76" s="264"/>
      <c r="CC76" s="264"/>
      <c r="CE76" s="264"/>
      <c r="CF76" s="264"/>
      <c r="CH76" s="264"/>
      <c r="CI76" s="264"/>
      <c r="CK76" s="264"/>
      <c r="CL76" s="264"/>
      <c r="CN76" s="264"/>
      <c r="CO76" s="264"/>
      <c r="CQ76" s="264"/>
      <c r="CR76" s="264"/>
      <c r="CT76" s="264"/>
      <c r="CU76" s="264"/>
      <c r="CW76" s="264"/>
      <c r="CX76" s="264"/>
      <c r="CZ76" s="264"/>
      <c r="DA76" s="264"/>
      <c r="DC76" s="264"/>
      <c r="DD76" s="264"/>
      <c r="DF76" s="264"/>
      <c r="DG76" s="264"/>
      <c r="DI76" s="264"/>
      <c r="DJ76" s="264"/>
      <c r="DL76" s="264"/>
      <c r="DM76" s="264"/>
      <c r="DO76" s="264"/>
      <c r="DP76" s="264"/>
      <c r="DR76" s="264"/>
      <c r="DS76" s="264"/>
      <c r="DU76" s="264"/>
      <c r="DV76" s="264"/>
      <c r="DX76" s="264"/>
      <c r="DY76" s="264"/>
      <c r="EA76" s="264"/>
      <c r="EB76" s="252"/>
      <c r="ED76" s="264"/>
      <c r="EE76" s="264"/>
      <c r="EG76" s="264"/>
      <c r="EH76" s="264"/>
      <c r="EJ76" s="264"/>
      <c r="EK76" s="264"/>
      <c r="EM76" s="264"/>
      <c r="EN76" s="264"/>
      <c r="EP76" s="264"/>
      <c r="EQ76" s="264"/>
      <c r="ES76" s="264"/>
      <c r="ET76" s="264"/>
      <c r="EV76" s="264"/>
      <c r="EW76" s="264"/>
      <c r="EY76" s="264"/>
      <c r="EZ76" s="264"/>
      <c r="FB76" s="264"/>
      <c r="FC76" s="264"/>
      <c r="FE76" s="264"/>
      <c r="FF76" s="264"/>
      <c r="FH76" s="264"/>
      <c r="FI76" s="264"/>
      <c r="FK76" s="264"/>
      <c r="FL76" s="264"/>
      <c r="FN76" s="264"/>
      <c r="FO76" s="264"/>
      <c r="FQ76" s="264"/>
      <c r="FR76" s="264"/>
      <c r="FT76" s="264"/>
      <c r="FU76" s="264"/>
      <c r="FW76" s="264"/>
      <c r="FX76" s="264"/>
      <c r="FZ76" s="264"/>
      <c r="GA76" s="264"/>
      <c r="GC76" s="264"/>
      <c r="GD76" s="264"/>
      <c r="GF76" s="264"/>
      <c r="GG76" s="264"/>
      <c r="GI76" s="264"/>
      <c r="GJ76" s="264"/>
      <c r="GL76" s="264"/>
      <c r="GM76" s="264"/>
      <c r="GO76" s="264"/>
      <c r="GP76" s="264"/>
      <c r="GR76" s="264"/>
      <c r="GS76" s="264"/>
      <c r="GU76" s="264"/>
      <c r="GV76" s="264"/>
      <c r="GX76" s="264"/>
      <c r="GY76" s="264"/>
      <c r="HA76" s="264"/>
      <c r="HB76" s="264"/>
      <c r="HD76" s="264"/>
      <c r="HE76" s="264"/>
      <c r="HG76" s="264"/>
      <c r="HH76" s="264"/>
      <c r="HJ76" s="264"/>
      <c r="HK76" s="264"/>
      <c r="HM76" s="264"/>
      <c r="HN76" s="264"/>
      <c r="HP76" s="264"/>
      <c r="HQ76" s="264"/>
      <c r="HS76" s="264"/>
      <c r="HT76" s="264"/>
      <c r="HV76" s="264"/>
      <c r="HW76" s="264"/>
      <c r="HY76" s="264"/>
      <c r="HZ76" s="264"/>
      <c r="IB76" s="264"/>
      <c r="IC76" s="264"/>
      <c r="IE76" s="264"/>
      <c r="IF76" s="264"/>
    </row>
    <row r="77" spans="1:240" x14ac:dyDescent="0.25">
      <c r="A77" s="264"/>
      <c r="C77" s="177"/>
      <c r="D77" s="334"/>
      <c r="E77" s="264"/>
      <c r="G77" s="265"/>
      <c r="J77" s="264"/>
      <c r="K77" s="264"/>
      <c r="M77" s="264"/>
      <c r="N77" s="264"/>
      <c r="P77" s="264"/>
      <c r="Q77" s="264"/>
      <c r="S77" s="264"/>
      <c r="T77" s="264"/>
      <c r="V77" s="264"/>
      <c r="W77" s="264"/>
      <c r="Y77" s="264"/>
      <c r="Z77" s="264"/>
      <c r="AB77" s="264"/>
      <c r="AC77" s="264"/>
      <c r="AE77" s="264"/>
      <c r="AF77" s="264"/>
      <c r="AG77" s="264"/>
      <c r="AI77" s="264"/>
      <c r="AJ77" s="264"/>
      <c r="AL77" s="264"/>
      <c r="AM77" s="264"/>
      <c r="AO77" s="264"/>
      <c r="AP77" s="264"/>
      <c r="AR77" s="264"/>
      <c r="AS77" s="264"/>
      <c r="AU77" s="264"/>
      <c r="AV77" s="264"/>
      <c r="AX77" s="264"/>
      <c r="AY77" s="264"/>
      <c r="BA77" s="264"/>
      <c r="BB77" s="264"/>
      <c r="BD77" s="264"/>
      <c r="BE77" s="264"/>
      <c r="BG77" s="264"/>
      <c r="BH77" s="264"/>
      <c r="BJ77" s="264"/>
      <c r="BK77" s="264"/>
      <c r="BM77" s="264"/>
      <c r="BN77" s="264"/>
      <c r="BP77" s="264"/>
      <c r="BQ77" s="264"/>
      <c r="BS77" s="264"/>
      <c r="BT77" s="264"/>
      <c r="BV77" s="264"/>
      <c r="BW77" s="264"/>
      <c r="BY77" s="264"/>
      <c r="BZ77" s="264"/>
      <c r="CB77" s="264"/>
      <c r="CC77" s="264"/>
      <c r="CE77" s="264"/>
      <c r="CF77" s="264"/>
      <c r="CH77" s="264"/>
      <c r="CI77" s="264"/>
      <c r="CK77" s="264"/>
      <c r="CL77" s="264"/>
      <c r="CN77" s="264"/>
      <c r="CO77" s="264"/>
      <c r="CQ77" s="264"/>
      <c r="CR77" s="264"/>
      <c r="CT77" s="264"/>
      <c r="CU77" s="264"/>
      <c r="CW77" s="264"/>
      <c r="CX77" s="264"/>
      <c r="CZ77" s="264"/>
      <c r="DA77" s="264"/>
      <c r="DC77" s="264"/>
      <c r="DD77" s="264"/>
      <c r="DF77" s="264"/>
      <c r="DG77" s="264"/>
      <c r="DI77" s="264"/>
      <c r="DJ77" s="264"/>
      <c r="DL77" s="264"/>
      <c r="DM77" s="264"/>
      <c r="DO77" s="264"/>
      <c r="DP77" s="264"/>
      <c r="DR77" s="264"/>
      <c r="DS77" s="264"/>
      <c r="DU77" s="264"/>
      <c r="DV77" s="264"/>
      <c r="DX77" s="264"/>
      <c r="DY77" s="264"/>
      <c r="EA77" s="264"/>
      <c r="EB77" s="252"/>
      <c r="ED77" s="264"/>
      <c r="EE77" s="264"/>
      <c r="EG77" s="264"/>
      <c r="EH77" s="264"/>
      <c r="EJ77" s="264"/>
      <c r="EK77" s="264"/>
      <c r="EM77" s="264"/>
      <c r="EN77" s="264"/>
      <c r="EP77" s="264"/>
      <c r="EQ77" s="264"/>
      <c r="ES77" s="264"/>
      <c r="ET77" s="264"/>
      <c r="EV77" s="264"/>
      <c r="EW77" s="264"/>
      <c r="EY77" s="264"/>
      <c r="EZ77" s="264"/>
      <c r="FB77" s="264"/>
      <c r="FC77" s="264"/>
      <c r="FE77" s="264"/>
      <c r="FF77" s="264"/>
      <c r="FH77" s="264"/>
      <c r="FI77" s="264"/>
      <c r="FK77" s="264"/>
      <c r="FL77" s="264"/>
      <c r="FN77" s="264"/>
      <c r="FO77" s="264"/>
      <c r="FQ77" s="264"/>
      <c r="FR77" s="264"/>
      <c r="FT77" s="264"/>
      <c r="FU77" s="264"/>
      <c r="FW77" s="264"/>
      <c r="FX77" s="264"/>
      <c r="FZ77" s="264"/>
      <c r="GA77" s="264"/>
      <c r="GC77" s="264"/>
      <c r="GD77" s="264"/>
      <c r="GF77" s="264"/>
      <c r="GG77" s="264"/>
      <c r="GI77" s="264"/>
      <c r="GJ77" s="264"/>
      <c r="GL77" s="264"/>
      <c r="GM77" s="264"/>
      <c r="GO77" s="264"/>
      <c r="GP77" s="264"/>
      <c r="GR77" s="264"/>
      <c r="GS77" s="264"/>
      <c r="GU77" s="264"/>
      <c r="GV77" s="264"/>
      <c r="GX77" s="264"/>
      <c r="GY77" s="264"/>
      <c r="HA77" s="264"/>
      <c r="HB77" s="264"/>
      <c r="HD77" s="264"/>
      <c r="HE77" s="264"/>
      <c r="HG77" s="264"/>
      <c r="HH77" s="264"/>
      <c r="HJ77" s="264"/>
      <c r="HK77" s="264"/>
      <c r="HM77" s="264"/>
      <c r="HN77" s="264"/>
      <c r="HP77" s="264"/>
      <c r="HQ77" s="264"/>
      <c r="HS77" s="264"/>
      <c r="HT77" s="264"/>
      <c r="HV77" s="264"/>
      <c r="HW77" s="264"/>
      <c r="HY77" s="264"/>
      <c r="HZ77" s="264"/>
      <c r="IB77" s="264"/>
      <c r="IC77" s="264"/>
      <c r="IE77" s="264"/>
      <c r="IF77" s="264"/>
    </row>
    <row r="78" spans="1:240" x14ac:dyDescent="0.25">
      <c r="A78" s="264"/>
      <c r="C78" s="177"/>
      <c r="D78" s="334"/>
      <c r="E78" s="264"/>
      <c r="G78" s="265"/>
      <c r="J78" s="264"/>
      <c r="K78" s="264"/>
      <c r="M78" s="264"/>
      <c r="N78" s="264"/>
      <c r="P78" s="264"/>
      <c r="Q78" s="264"/>
      <c r="S78" s="264"/>
      <c r="T78" s="264"/>
      <c r="V78" s="264"/>
      <c r="W78" s="264"/>
      <c r="Y78" s="264"/>
      <c r="Z78" s="264"/>
      <c r="AB78" s="264"/>
      <c r="AC78" s="264"/>
      <c r="AE78" s="264"/>
      <c r="AF78" s="264"/>
      <c r="AG78" s="264"/>
      <c r="AI78" s="264"/>
      <c r="AJ78" s="264"/>
      <c r="AL78" s="264"/>
      <c r="AM78" s="264"/>
      <c r="AO78" s="264"/>
      <c r="AP78" s="264"/>
      <c r="AR78" s="264"/>
      <c r="AS78" s="264"/>
      <c r="AU78" s="264"/>
      <c r="AV78" s="264"/>
      <c r="AX78" s="264"/>
      <c r="AY78" s="264"/>
      <c r="BA78" s="264"/>
      <c r="BB78" s="264"/>
      <c r="BD78" s="264"/>
      <c r="BE78" s="264"/>
      <c r="BG78" s="264"/>
      <c r="BH78" s="264"/>
      <c r="BJ78" s="264"/>
      <c r="BK78" s="264"/>
      <c r="BM78" s="264"/>
      <c r="BN78" s="264"/>
      <c r="BP78" s="264"/>
      <c r="BQ78" s="264"/>
      <c r="BS78" s="264"/>
      <c r="BT78" s="264"/>
      <c r="BV78" s="264"/>
      <c r="BW78" s="264"/>
      <c r="BY78" s="264"/>
      <c r="BZ78" s="264"/>
      <c r="CB78" s="264"/>
      <c r="CC78" s="264"/>
      <c r="CE78" s="264"/>
      <c r="CF78" s="264"/>
      <c r="CH78" s="264"/>
      <c r="CI78" s="264"/>
      <c r="CK78" s="264"/>
      <c r="CL78" s="264"/>
      <c r="CN78" s="264"/>
      <c r="CO78" s="264"/>
      <c r="CQ78" s="264"/>
      <c r="CR78" s="264"/>
      <c r="CT78" s="264"/>
      <c r="CU78" s="264"/>
      <c r="CW78" s="264"/>
      <c r="CX78" s="264"/>
      <c r="CZ78" s="264"/>
      <c r="DA78" s="264"/>
      <c r="DC78" s="264"/>
      <c r="DD78" s="264"/>
      <c r="DF78" s="264"/>
      <c r="DG78" s="264"/>
      <c r="DI78" s="264"/>
      <c r="DJ78" s="264"/>
      <c r="DL78" s="264"/>
      <c r="DM78" s="264"/>
      <c r="DO78" s="264"/>
      <c r="DP78" s="264"/>
      <c r="DR78" s="264"/>
      <c r="DS78" s="264"/>
      <c r="DU78" s="264"/>
      <c r="DV78" s="264"/>
      <c r="DX78" s="264"/>
      <c r="DY78" s="264"/>
      <c r="EA78" s="264"/>
      <c r="EB78" s="252"/>
      <c r="ED78" s="264"/>
      <c r="EE78" s="264"/>
      <c r="EG78" s="264"/>
      <c r="EH78" s="264"/>
      <c r="EJ78" s="264"/>
      <c r="EK78" s="264"/>
      <c r="EM78" s="264"/>
      <c r="EN78" s="264"/>
      <c r="EP78" s="264"/>
      <c r="EQ78" s="264"/>
      <c r="ES78" s="264"/>
      <c r="ET78" s="264"/>
      <c r="EV78" s="264"/>
      <c r="EW78" s="264"/>
      <c r="EY78" s="264"/>
      <c r="EZ78" s="264"/>
      <c r="FB78" s="264"/>
      <c r="FC78" s="264"/>
      <c r="FE78" s="264"/>
      <c r="FF78" s="264"/>
      <c r="FH78" s="264"/>
      <c r="FI78" s="264"/>
      <c r="FK78" s="264"/>
      <c r="FL78" s="264"/>
      <c r="FN78" s="264"/>
      <c r="FO78" s="264"/>
      <c r="FQ78" s="264"/>
      <c r="FR78" s="264"/>
      <c r="FT78" s="264"/>
      <c r="FU78" s="264"/>
      <c r="FW78" s="264"/>
      <c r="FX78" s="264"/>
      <c r="FZ78" s="264"/>
      <c r="GA78" s="264"/>
      <c r="GC78" s="264"/>
      <c r="GD78" s="264"/>
      <c r="GF78" s="264"/>
      <c r="GG78" s="264"/>
      <c r="GI78" s="264"/>
      <c r="GJ78" s="264"/>
      <c r="GL78" s="264"/>
      <c r="GM78" s="264"/>
      <c r="GO78" s="264"/>
      <c r="GP78" s="264"/>
      <c r="GR78" s="264"/>
      <c r="GS78" s="264"/>
      <c r="GU78" s="264"/>
      <c r="GV78" s="264"/>
      <c r="GX78" s="264"/>
      <c r="GY78" s="264"/>
      <c r="HA78" s="264"/>
      <c r="HB78" s="264"/>
      <c r="HD78" s="264"/>
      <c r="HE78" s="264"/>
      <c r="HG78" s="264"/>
      <c r="HH78" s="264"/>
      <c r="HJ78" s="264"/>
      <c r="HK78" s="264"/>
      <c r="HM78" s="264"/>
      <c r="HN78" s="264"/>
      <c r="HP78" s="264"/>
      <c r="HQ78" s="264"/>
      <c r="HS78" s="264"/>
      <c r="HT78" s="264"/>
      <c r="HV78" s="264"/>
      <c r="HW78" s="264"/>
      <c r="HY78" s="264"/>
      <c r="HZ78" s="264"/>
      <c r="IB78" s="264"/>
      <c r="IC78" s="264"/>
      <c r="IE78" s="264"/>
      <c r="IF78" s="264"/>
    </row>
    <row r="79" spans="1:240" x14ac:dyDescent="0.25">
      <c r="A79" s="264"/>
      <c r="C79" s="177"/>
      <c r="D79" s="334"/>
      <c r="E79" s="264"/>
      <c r="G79" s="265"/>
      <c r="J79" s="264"/>
      <c r="K79" s="264"/>
      <c r="M79" s="264"/>
      <c r="N79" s="264"/>
      <c r="P79" s="264"/>
      <c r="Q79" s="264"/>
      <c r="S79" s="264"/>
      <c r="T79" s="264"/>
      <c r="V79" s="264"/>
      <c r="W79" s="264"/>
      <c r="Y79" s="264"/>
      <c r="Z79" s="264"/>
      <c r="AB79" s="264"/>
      <c r="AC79" s="264"/>
      <c r="AE79" s="264"/>
      <c r="AF79" s="264"/>
      <c r="AG79" s="264"/>
      <c r="AI79" s="264"/>
      <c r="AJ79" s="264"/>
      <c r="AL79" s="264"/>
      <c r="AM79" s="264"/>
      <c r="AO79" s="264"/>
      <c r="AP79" s="264"/>
      <c r="AR79" s="264"/>
      <c r="AS79" s="264"/>
      <c r="AU79" s="264"/>
      <c r="AV79" s="264"/>
      <c r="AX79" s="264"/>
      <c r="AY79" s="264"/>
      <c r="BA79" s="264"/>
      <c r="BB79" s="264"/>
      <c r="BD79" s="264"/>
      <c r="BE79" s="264"/>
      <c r="BG79" s="264"/>
      <c r="BH79" s="264"/>
      <c r="BJ79" s="264"/>
      <c r="BK79" s="264"/>
      <c r="BM79" s="264"/>
      <c r="BN79" s="264"/>
      <c r="BP79" s="264"/>
      <c r="BQ79" s="264"/>
      <c r="BS79" s="264"/>
      <c r="BT79" s="264"/>
      <c r="BV79" s="264"/>
      <c r="BW79" s="264"/>
      <c r="BY79" s="264"/>
      <c r="BZ79" s="264"/>
      <c r="CB79" s="264"/>
      <c r="CC79" s="264"/>
      <c r="CE79" s="264"/>
      <c r="CF79" s="264"/>
      <c r="CH79" s="264"/>
      <c r="CI79" s="264"/>
      <c r="CK79" s="264"/>
      <c r="CL79" s="264"/>
      <c r="CN79" s="264"/>
      <c r="CO79" s="264"/>
      <c r="CQ79" s="264"/>
      <c r="CR79" s="264"/>
      <c r="CT79" s="264"/>
      <c r="CU79" s="264"/>
      <c r="CW79" s="264"/>
      <c r="CX79" s="264"/>
      <c r="CZ79" s="264"/>
      <c r="DA79" s="264"/>
      <c r="DC79" s="264"/>
      <c r="DD79" s="264"/>
      <c r="DF79" s="264"/>
      <c r="DG79" s="264"/>
      <c r="DI79" s="264"/>
      <c r="DJ79" s="264"/>
      <c r="DL79" s="264"/>
      <c r="DM79" s="264"/>
      <c r="DO79" s="264"/>
      <c r="DP79" s="264"/>
      <c r="DR79" s="264"/>
      <c r="DS79" s="264"/>
      <c r="DU79" s="264"/>
      <c r="DV79" s="264"/>
      <c r="DX79" s="264"/>
      <c r="DY79" s="264"/>
      <c r="EA79" s="264"/>
      <c r="EB79" s="252"/>
      <c r="ED79" s="264"/>
      <c r="EE79" s="264"/>
      <c r="EG79" s="264"/>
      <c r="EH79" s="264"/>
      <c r="EJ79" s="264"/>
      <c r="EK79" s="264"/>
      <c r="EM79" s="264"/>
      <c r="EN79" s="264"/>
      <c r="EP79" s="264"/>
      <c r="EQ79" s="264"/>
      <c r="ES79" s="264"/>
      <c r="ET79" s="264"/>
      <c r="EV79" s="264"/>
      <c r="EW79" s="264"/>
      <c r="EY79" s="264"/>
      <c r="EZ79" s="264"/>
      <c r="FB79" s="264"/>
      <c r="FC79" s="264"/>
      <c r="FE79" s="264"/>
      <c r="FF79" s="264"/>
      <c r="FH79" s="264"/>
      <c r="FI79" s="264"/>
      <c r="FK79" s="264"/>
      <c r="FL79" s="264"/>
      <c r="FN79" s="264"/>
      <c r="FO79" s="264"/>
      <c r="FQ79" s="264"/>
      <c r="FR79" s="264"/>
      <c r="FT79" s="264"/>
      <c r="FU79" s="264"/>
      <c r="FW79" s="264"/>
      <c r="FX79" s="264"/>
      <c r="FZ79" s="264"/>
      <c r="GA79" s="264"/>
      <c r="GC79" s="264"/>
      <c r="GD79" s="264"/>
      <c r="GF79" s="264"/>
      <c r="GG79" s="264"/>
      <c r="GI79" s="264"/>
      <c r="GJ79" s="264"/>
      <c r="GL79" s="264"/>
      <c r="GM79" s="264"/>
      <c r="GO79" s="264"/>
      <c r="GP79" s="264"/>
      <c r="GR79" s="264"/>
      <c r="GS79" s="264"/>
      <c r="GU79" s="264"/>
      <c r="GV79" s="264"/>
      <c r="GX79" s="264"/>
      <c r="GY79" s="264"/>
      <c r="HA79" s="264"/>
      <c r="HB79" s="264"/>
      <c r="HD79" s="264"/>
      <c r="HE79" s="264"/>
      <c r="HG79" s="264"/>
      <c r="HH79" s="264"/>
      <c r="HJ79" s="264"/>
      <c r="HK79" s="264"/>
      <c r="HM79" s="264"/>
      <c r="HN79" s="264"/>
      <c r="HP79" s="264"/>
      <c r="HQ79" s="264"/>
      <c r="HS79" s="264"/>
      <c r="HT79" s="264"/>
      <c r="HV79" s="264"/>
      <c r="HW79" s="264"/>
      <c r="HY79" s="264"/>
      <c r="HZ79" s="264"/>
      <c r="IB79" s="264"/>
      <c r="IC79" s="264"/>
      <c r="IE79" s="264"/>
      <c r="IF79" s="264"/>
    </row>
    <row r="80" spans="1:240" x14ac:dyDescent="0.25">
      <c r="A80" s="264"/>
      <c r="C80" s="177"/>
      <c r="D80" s="334"/>
      <c r="E80" s="264"/>
      <c r="G80" s="265"/>
      <c r="J80" s="264"/>
      <c r="K80" s="264"/>
      <c r="M80" s="264"/>
      <c r="N80" s="264"/>
      <c r="P80" s="264"/>
      <c r="Q80" s="264"/>
      <c r="S80" s="264"/>
      <c r="T80" s="264"/>
      <c r="V80" s="264"/>
      <c r="W80" s="264"/>
      <c r="Y80" s="264"/>
      <c r="Z80" s="264"/>
      <c r="AB80" s="264"/>
      <c r="AC80" s="264"/>
      <c r="AE80" s="264"/>
      <c r="AF80" s="264"/>
      <c r="AG80" s="264"/>
      <c r="AI80" s="264"/>
      <c r="AJ80" s="264"/>
      <c r="AL80" s="264"/>
      <c r="AM80" s="264"/>
      <c r="AO80" s="264"/>
      <c r="AP80" s="264"/>
      <c r="AR80" s="264"/>
      <c r="AS80" s="264"/>
      <c r="AU80" s="264"/>
      <c r="AV80" s="264"/>
      <c r="AX80" s="264"/>
      <c r="AY80" s="264"/>
      <c r="BA80" s="264"/>
      <c r="BB80" s="264"/>
      <c r="BD80" s="264"/>
      <c r="BE80" s="264"/>
      <c r="BG80" s="264"/>
      <c r="BH80" s="264"/>
      <c r="BJ80" s="264"/>
      <c r="BK80" s="264"/>
      <c r="BM80" s="264"/>
      <c r="BN80" s="264"/>
      <c r="BP80" s="264"/>
      <c r="BQ80" s="264"/>
      <c r="BS80" s="264"/>
      <c r="BT80" s="264"/>
      <c r="BV80" s="264"/>
      <c r="BW80" s="264"/>
      <c r="BY80" s="264"/>
      <c r="BZ80" s="264"/>
      <c r="CB80" s="264"/>
      <c r="CC80" s="264"/>
      <c r="CE80" s="264"/>
      <c r="CF80" s="264"/>
      <c r="CH80" s="264"/>
      <c r="CI80" s="264"/>
      <c r="CK80" s="264"/>
      <c r="CL80" s="264"/>
      <c r="CN80" s="264"/>
      <c r="CO80" s="264"/>
      <c r="CQ80" s="264"/>
      <c r="CR80" s="264"/>
      <c r="CT80" s="264"/>
      <c r="CU80" s="264"/>
      <c r="CW80" s="264"/>
      <c r="CX80" s="264"/>
      <c r="CZ80" s="264"/>
      <c r="DA80" s="264"/>
      <c r="DC80" s="264"/>
      <c r="DD80" s="264"/>
      <c r="DF80" s="264"/>
      <c r="DG80" s="264"/>
      <c r="DI80" s="264"/>
      <c r="DJ80" s="264"/>
      <c r="DL80" s="264"/>
      <c r="DM80" s="264"/>
      <c r="DO80" s="264"/>
      <c r="DP80" s="264"/>
      <c r="DR80" s="264"/>
      <c r="DS80" s="264"/>
      <c r="DU80" s="264"/>
      <c r="DV80" s="264"/>
      <c r="DX80" s="264"/>
      <c r="DY80" s="264"/>
      <c r="EA80" s="264"/>
      <c r="EB80" s="252"/>
      <c r="ED80" s="264"/>
      <c r="EE80" s="264"/>
      <c r="EG80" s="264"/>
      <c r="EH80" s="264"/>
      <c r="EJ80" s="264"/>
      <c r="EK80" s="264"/>
      <c r="EM80" s="264"/>
      <c r="EN80" s="264"/>
      <c r="EP80" s="264"/>
      <c r="EQ80" s="264"/>
      <c r="ES80" s="264"/>
      <c r="ET80" s="264"/>
      <c r="EV80" s="264"/>
      <c r="EW80" s="264"/>
      <c r="EY80" s="264"/>
      <c r="EZ80" s="264"/>
      <c r="FB80" s="264"/>
      <c r="FC80" s="264"/>
      <c r="FE80" s="264"/>
      <c r="FF80" s="264"/>
      <c r="FH80" s="264"/>
      <c r="FI80" s="264"/>
      <c r="FK80" s="264"/>
      <c r="FL80" s="264"/>
      <c r="FN80" s="264"/>
      <c r="FO80" s="264"/>
      <c r="FQ80" s="264"/>
      <c r="FR80" s="264"/>
      <c r="FT80" s="264"/>
      <c r="FU80" s="264"/>
      <c r="FW80" s="264"/>
      <c r="FX80" s="264"/>
      <c r="FZ80" s="264"/>
      <c r="GA80" s="264"/>
      <c r="GC80" s="264"/>
      <c r="GD80" s="264"/>
      <c r="GF80" s="264"/>
      <c r="GG80" s="264"/>
      <c r="GI80" s="264"/>
      <c r="GJ80" s="264"/>
      <c r="GL80" s="264"/>
      <c r="GM80" s="264"/>
      <c r="GO80" s="264"/>
      <c r="GP80" s="264"/>
      <c r="GR80" s="264"/>
      <c r="GS80" s="264"/>
      <c r="GU80" s="264"/>
      <c r="GV80" s="264"/>
      <c r="GX80" s="264"/>
      <c r="GY80" s="264"/>
      <c r="HA80" s="264"/>
      <c r="HB80" s="264"/>
      <c r="HD80" s="264"/>
      <c r="HE80" s="264"/>
      <c r="HG80" s="264"/>
      <c r="HH80" s="264"/>
      <c r="HJ80" s="264"/>
      <c r="HK80" s="264"/>
      <c r="HM80" s="264"/>
      <c r="HN80" s="264"/>
      <c r="HP80" s="264"/>
      <c r="HQ80" s="264"/>
      <c r="HS80" s="264"/>
      <c r="HT80" s="264"/>
      <c r="HV80" s="264"/>
      <c r="HW80" s="264"/>
      <c r="HY80" s="264"/>
      <c r="HZ80" s="264"/>
      <c r="IB80" s="264"/>
      <c r="IC80" s="264"/>
      <c r="IE80" s="264"/>
      <c r="IF80" s="264"/>
    </row>
    <row r="81" spans="1:240" ht="39" customHeight="1" x14ac:dyDescent="0.25">
      <c r="A81" s="264"/>
      <c r="D81" s="260"/>
      <c r="E81" s="264"/>
      <c r="G81" s="265"/>
      <c r="J81" s="264"/>
      <c r="K81" s="264"/>
      <c r="M81" s="264"/>
      <c r="N81" s="264"/>
      <c r="P81" s="264"/>
      <c r="Q81" s="264"/>
      <c r="S81" s="264"/>
      <c r="T81" s="264"/>
      <c r="V81" s="264"/>
      <c r="W81" s="264"/>
      <c r="Y81" s="264"/>
      <c r="Z81" s="264"/>
      <c r="AB81" s="264"/>
      <c r="AC81" s="264"/>
      <c r="AE81" s="264"/>
      <c r="AF81" s="264"/>
      <c r="AG81" s="264"/>
      <c r="AI81" s="264"/>
      <c r="AJ81" s="264"/>
      <c r="AL81" s="264"/>
      <c r="AM81" s="264"/>
      <c r="AO81" s="264"/>
      <c r="AP81" s="264"/>
      <c r="AR81" s="264"/>
      <c r="AS81" s="264"/>
      <c r="AU81" s="264"/>
      <c r="AV81" s="264"/>
      <c r="AX81" s="264"/>
      <c r="AY81" s="264"/>
      <c r="BA81" s="264"/>
      <c r="BB81" s="264"/>
      <c r="BD81" s="264"/>
      <c r="BE81" s="264"/>
      <c r="BG81" s="264"/>
      <c r="BH81" s="264"/>
      <c r="BJ81" s="264"/>
      <c r="BK81" s="264"/>
      <c r="BM81" s="264"/>
      <c r="BN81" s="264"/>
      <c r="BP81" s="264"/>
      <c r="BQ81" s="264"/>
      <c r="BS81" s="264"/>
      <c r="BT81" s="264"/>
      <c r="BV81" s="264"/>
      <c r="BW81" s="264"/>
      <c r="BY81" s="264"/>
      <c r="BZ81" s="264"/>
      <c r="CB81" s="264"/>
      <c r="CC81" s="264"/>
      <c r="CE81" s="264"/>
      <c r="CF81" s="264"/>
      <c r="CH81" s="264"/>
      <c r="CI81" s="264"/>
      <c r="CK81" s="264"/>
      <c r="CL81" s="264"/>
      <c r="CN81" s="264"/>
      <c r="CO81" s="264"/>
      <c r="CQ81" s="264"/>
      <c r="CR81" s="264"/>
      <c r="CT81" s="264"/>
      <c r="CU81" s="264"/>
      <c r="CW81" s="264"/>
      <c r="CX81" s="264"/>
      <c r="CZ81" s="264"/>
      <c r="DA81" s="264"/>
      <c r="DC81" s="264"/>
      <c r="DD81" s="264"/>
      <c r="DF81" s="264"/>
      <c r="DG81" s="264"/>
      <c r="DI81" s="264"/>
      <c r="DJ81" s="264"/>
      <c r="DL81" s="264"/>
      <c r="DM81" s="264"/>
      <c r="DO81" s="264"/>
      <c r="DP81" s="264"/>
      <c r="DR81" s="264"/>
      <c r="DS81" s="264"/>
      <c r="DU81" s="264"/>
      <c r="DV81" s="264"/>
      <c r="DX81" s="264"/>
      <c r="DY81" s="264"/>
      <c r="EA81" s="264"/>
      <c r="EB81" s="252"/>
      <c r="ED81" s="264"/>
      <c r="EE81" s="264"/>
      <c r="EG81" s="264"/>
      <c r="EH81" s="264"/>
      <c r="EJ81" s="264"/>
      <c r="EK81" s="264"/>
      <c r="EM81" s="264"/>
      <c r="EN81" s="264"/>
      <c r="EP81" s="264"/>
      <c r="EQ81" s="264"/>
      <c r="ES81" s="264"/>
      <c r="ET81" s="264"/>
      <c r="EV81" s="264"/>
      <c r="EW81" s="264"/>
      <c r="EY81" s="264"/>
      <c r="EZ81" s="264"/>
      <c r="FB81" s="264"/>
      <c r="FC81" s="264"/>
      <c r="FE81" s="264"/>
      <c r="FF81" s="264"/>
      <c r="FH81" s="264"/>
      <c r="FI81" s="264"/>
      <c r="FK81" s="264"/>
      <c r="FL81" s="264"/>
      <c r="FN81" s="264"/>
      <c r="FO81" s="264"/>
      <c r="FQ81" s="264"/>
      <c r="FR81" s="264"/>
      <c r="FT81" s="264"/>
      <c r="FU81" s="264"/>
      <c r="FW81" s="264"/>
      <c r="FX81" s="264"/>
      <c r="FZ81" s="264"/>
      <c r="GA81" s="264"/>
      <c r="GC81" s="264"/>
      <c r="GD81" s="264"/>
      <c r="GF81" s="264"/>
      <c r="GG81" s="264"/>
      <c r="GI81" s="264"/>
      <c r="GJ81" s="264"/>
      <c r="GL81" s="264"/>
      <c r="GM81" s="264"/>
      <c r="GO81" s="264"/>
      <c r="GP81" s="264"/>
      <c r="GR81" s="264"/>
      <c r="GS81" s="264"/>
      <c r="GU81" s="264"/>
      <c r="GV81" s="264"/>
      <c r="GX81" s="264"/>
      <c r="GY81" s="264"/>
      <c r="HA81" s="264"/>
      <c r="HB81" s="264"/>
      <c r="HD81" s="264"/>
      <c r="HE81" s="264"/>
      <c r="HG81" s="264"/>
      <c r="HH81" s="264"/>
      <c r="HJ81" s="264"/>
      <c r="HK81" s="264"/>
      <c r="HM81" s="264"/>
      <c r="HN81" s="264"/>
      <c r="HP81" s="264"/>
      <c r="HQ81" s="264"/>
      <c r="HS81" s="264"/>
      <c r="HT81" s="264"/>
      <c r="HV81" s="264"/>
      <c r="HW81" s="264"/>
      <c r="HY81" s="264"/>
      <c r="HZ81" s="264"/>
      <c r="IB81" s="264"/>
      <c r="IC81" s="264"/>
      <c r="IE81" s="264"/>
      <c r="IF81" s="264"/>
    </row>
    <row r="82" spans="1:240" x14ac:dyDescent="0.25">
      <c r="A82" s="258" t="s">
        <v>93</v>
      </c>
      <c r="B82" s="257" t="s">
        <v>94</v>
      </c>
      <c r="C82" s="256" t="s">
        <v>95</v>
      </c>
      <c r="D82" s="257" t="s">
        <v>96</v>
      </c>
      <c r="E82" s="257" t="s">
        <v>97</v>
      </c>
      <c r="F82" s="257" t="s">
        <v>98</v>
      </c>
      <c r="G82" s="257" t="s">
        <v>99</v>
      </c>
      <c r="H82" s="257" t="s">
        <v>100</v>
      </c>
      <c r="I82" s="257" t="s">
        <v>101</v>
      </c>
      <c r="J82" s="257" t="s">
        <v>102</v>
      </c>
      <c r="K82" s="257" t="s">
        <v>103</v>
      </c>
      <c r="L82" s="257" t="s">
        <v>104</v>
      </c>
      <c r="M82" s="257" t="s">
        <v>105</v>
      </c>
      <c r="N82" s="257" t="s">
        <v>106</v>
      </c>
      <c r="O82" s="257" t="s">
        <v>107</v>
      </c>
      <c r="P82" s="257" t="s">
        <v>48</v>
      </c>
      <c r="Q82" s="257" t="s">
        <v>108</v>
      </c>
      <c r="R82" s="257" t="s">
        <v>482</v>
      </c>
      <c r="S82" s="256" t="s">
        <v>157</v>
      </c>
      <c r="T82" s="255"/>
      <c r="U82" s="255"/>
      <c r="V82" s="255"/>
      <c r="W82" s="255"/>
      <c r="X82" s="255"/>
      <c r="Y82" s="255"/>
      <c r="Z82" s="255"/>
      <c r="AA82" s="255"/>
      <c r="EB82" s="252"/>
    </row>
    <row r="83" spans="1:240" x14ac:dyDescent="0.25">
      <c r="A83" s="254" t="s">
        <v>50</v>
      </c>
      <c r="B83" s="226" t="s">
        <v>128</v>
      </c>
      <c r="C83" s="253" t="s">
        <v>130</v>
      </c>
      <c r="D83" s="226" t="s">
        <v>135</v>
      </c>
      <c r="E83" s="226" t="s">
        <v>137</v>
      </c>
      <c r="F83" s="226" t="s">
        <v>138</v>
      </c>
      <c r="G83" s="226" t="s">
        <v>139</v>
      </c>
      <c r="H83" s="226" t="s">
        <v>141</v>
      </c>
      <c r="I83" s="226" t="s">
        <v>143</v>
      </c>
      <c r="J83" s="226" t="s">
        <v>145</v>
      </c>
      <c r="K83" s="226" t="s">
        <v>149</v>
      </c>
      <c r="L83" s="226" t="s">
        <v>150</v>
      </c>
      <c r="M83" s="226" t="s">
        <v>151</v>
      </c>
      <c r="N83" s="226" t="s">
        <v>70</v>
      </c>
      <c r="O83" s="226" t="s">
        <v>154</v>
      </c>
      <c r="P83" s="226" t="s">
        <v>156</v>
      </c>
      <c r="Q83" s="331" t="s">
        <v>514</v>
      </c>
      <c r="R83" s="226" t="s">
        <v>515</v>
      </c>
      <c r="S83" s="333" t="s">
        <v>517</v>
      </c>
      <c r="T83" s="177"/>
      <c r="U83" s="177"/>
      <c r="V83" s="177"/>
      <c r="W83" s="177"/>
      <c r="X83" s="177"/>
      <c r="Y83" s="177"/>
      <c r="Z83" s="177"/>
      <c r="AA83" s="177"/>
      <c r="EB83" s="252"/>
    </row>
    <row r="84" spans="1:240" x14ac:dyDescent="0.25">
      <c r="A84" s="254" t="s">
        <v>52</v>
      </c>
      <c r="B84" s="226" t="s">
        <v>71</v>
      </c>
      <c r="C84" s="253" t="s">
        <v>135</v>
      </c>
      <c r="D84" s="226" t="s">
        <v>136</v>
      </c>
      <c r="E84" s="226" t="s">
        <v>378</v>
      </c>
      <c r="F84" s="226" t="s">
        <v>378</v>
      </c>
      <c r="G84" s="226" t="s">
        <v>140</v>
      </c>
      <c r="H84" s="226" t="s">
        <v>88</v>
      </c>
      <c r="I84" s="226" t="s">
        <v>54</v>
      </c>
      <c r="J84" s="226" t="s">
        <v>51</v>
      </c>
      <c r="K84" s="226" t="s">
        <v>81</v>
      </c>
      <c r="L84" s="226" t="s">
        <v>77</v>
      </c>
      <c r="M84" s="226" t="s">
        <v>152</v>
      </c>
      <c r="N84" s="226" t="s">
        <v>75</v>
      </c>
      <c r="O84" s="226" t="s">
        <v>155</v>
      </c>
      <c r="P84" s="226" t="s">
        <v>49</v>
      </c>
      <c r="Q84" s="226" t="s">
        <v>377</v>
      </c>
      <c r="R84" s="158" t="s">
        <v>377</v>
      </c>
      <c r="S84" s="253" t="s">
        <v>377</v>
      </c>
      <c r="T84" s="177"/>
      <c r="U84" s="177"/>
      <c r="V84" s="177"/>
      <c r="W84" s="177"/>
      <c r="X84" s="177"/>
      <c r="Y84" s="32"/>
      <c r="Z84" s="32"/>
      <c r="AA84" s="32"/>
      <c r="EB84" s="252"/>
    </row>
    <row r="85" spans="1:240" x14ac:dyDescent="0.25">
      <c r="A85" s="254" t="s">
        <v>53</v>
      </c>
      <c r="B85" s="226" t="s">
        <v>72</v>
      </c>
      <c r="C85" s="253" t="s">
        <v>131</v>
      </c>
      <c r="D85" s="226" t="s">
        <v>125</v>
      </c>
      <c r="E85" s="226" t="s">
        <v>377</v>
      </c>
      <c r="F85" s="226" t="s">
        <v>377</v>
      </c>
      <c r="G85" s="226" t="s">
        <v>69</v>
      </c>
      <c r="H85" s="226" t="s">
        <v>89</v>
      </c>
      <c r="I85" s="226" t="s">
        <v>144</v>
      </c>
      <c r="J85" s="226" t="s">
        <v>146</v>
      </c>
      <c r="K85" s="226" t="s">
        <v>87</v>
      </c>
      <c r="L85" s="226" t="s">
        <v>378</v>
      </c>
      <c r="M85" s="226" t="s">
        <v>82</v>
      </c>
      <c r="N85" s="226" t="s">
        <v>83</v>
      </c>
      <c r="O85" s="226" t="s">
        <v>80</v>
      </c>
      <c r="P85" s="226" t="s">
        <v>73</v>
      </c>
      <c r="Q85" s="158"/>
      <c r="R85" s="158"/>
      <c r="S85" s="250"/>
      <c r="T85" s="177"/>
      <c r="U85" s="177"/>
      <c r="V85" s="177"/>
      <c r="W85" s="177"/>
      <c r="X85" s="177"/>
      <c r="EB85" s="252"/>
    </row>
    <row r="86" spans="1:240" x14ac:dyDescent="0.25">
      <c r="A86" s="254" t="s">
        <v>126</v>
      </c>
      <c r="B86" s="226" t="s">
        <v>85</v>
      </c>
      <c r="C86" s="253" t="s">
        <v>132</v>
      </c>
      <c r="D86" s="226" t="s">
        <v>378</v>
      </c>
      <c r="E86" s="226" t="s">
        <v>379</v>
      </c>
      <c r="F86" s="226" t="s">
        <v>379</v>
      </c>
      <c r="G86" s="226" t="s">
        <v>79</v>
      </c>
      <c r="H86" s="226" t="s">
        <v>142</v>
      </c>
      <c r="I86" s="226" t="s">
        <v>74</v>
      </c>
      <c r="J86" s="226" t="s">
        <v>147</v>
      </c>
      <c r="K86" s="226" t="s">
        <v>378</v>
      </c>
      <c r="L86" s="226" t="s">
        <v>377</v>
      </c>
      <c r="M86" s="226" t="s">
        <v>442</v>
      </c>
      <c r="N86" s="226" t="s">
        <v>125</v>
      </c>
      <c r="O86" s="226" t="s">
        <v>378</v>
      </c>
      <c r="P86" s="226" t="s">
        <v>78</v>
      </c>
      <c r="Q86" s="158"/>
      <c r="R86" s="158"/>
      <c r="S86" s="250"/>
      <c r="T86" s="177"/>
      <c r="U86" s="177"/>
      <c r="V86" s="177"/>
      <c r="W86" s="177"/>
      <c r="X86" s="177"/>
      <c r="EB86" s="252"/>
    </row>
    <row r="87" spans="1:240" x14ac:dyDescent="0.25">
      <c r="A87" s="254" t="s">
        <v>127</v>
      </c>
      <c r="B87" s="226" t="s">
        <v>129</v>
      </c>
      <c r="C87" s="253" t="s">
        <v>133</v>
      </c>
      <c r="D87" s="226" t="s">
        <v>377</v>
      </c>
      <c r="E87" s="226"/>
      <c r="F87" s="226"/>
      <c r="G87" s="226" t="s">
        <v>84</v>
      </c>
      <c r="H87" s="226" t="s">
        <v>125</v>
      </c>
      <c r="I87" s="226" t="s">
        <v>76</v>
      </c>
      <c r="J87" s="226" t="s">
        <v>148</v>
      </c>
      <c r="K87" s="226" t="s">
        <v>377</v>
      </c>
      <c r="L87" s="226" t="s">
        <v>379</v>
      </c>
      <c r="M87" s="226" t="s">
        <v>153</v>
      </c>
      <c r="N87" s="251" t="s">
        <v>378</v>
      </c>
      <c r="O87" s="226" t="s">
        <v>377</v>
      </c>
      <c r="P87" s="226" t="s">
        <v>91</v>
      </c>
      <c r="Q87" s="158"/>
      <c r="R87" s="158"/>
      <c r="S87" s="250"/>
      <c r="T87" s="177"/>
      <c r="U87" s="177"/>
      <c r="V87" s="177"/>
      <c r="W87" s="177"/>
      <c r="X87" s="177"/>
      <c r="EB87" s="252"/>
    </row>
    <row r="88" spans="1:240" x14ac:dyDescent="0.25">
      <c r="A88" s="254" t="s">
        <v>55</v>
      </c>
      <c r="B88" s="226" t="s">
        <v>86</v>
      </c>
      <c r="C88" s="253" t="s">
        <v>134</v>
      </c>
      <c r="D88" s="226" t="s">
        <v>379</v>
      </c>
      <c r="E88" s="158"/>
      <c r="F88" s="158"/>
      <c r="G88" s="226" t="s">
        <v>378</v>
      </c>
      <c r="H88" s="226" t="s">
        <v>378</v>
      </c>
      <c r="I88" s="226" t="s">
        <v>443</v>
      </c>
      <c r="J88" s="226" t="s">
        <v>60</v>
      </c>
      <c r="K88" s="226" t="s">
        <v>379</v>
      </c>
      <c r="L88" s="226"/>
      <c r="M88" s="226" t="s">
        <v>125</v>
      </c>
      <c r="N88" s="251" t="s">
        <v>377</v>
      </c>
      <c r="O88" s="226" t="s">
        <v>379</v>
      </c>
      <c r="P88" s="226" t="s">
        <v>90</v>
      </c>
      <c r="Q88" s="158"/>
      <c r="R88" s="158"/>
      <c r="S88" s="250"/>
      <c r="T88" s="32"/>
      <c r="U88" s="177"/>
      <c r="V88" s="177"/>
      <c r="W88" s="177"/>
      <c r="X88" s="177"/>
      <c r="EB88" s="252"/>
    </row>
    <row r="89" spans="1:240" x14ac:dyDescent="0.25">
      <c r="A89" s="254" t="s">
        <v>56</v>
      </c>
      <c r="B89" s="226" t="s">
        <v>92</v>
      </c>
      <c r="C89" s="253" t="s">
        <v>125</v>
      </c>
      <c r="D89" s="158"/>
      <c r="E89" s="158"/>
      <c r="F89" s="158"/>
      <c r="G89" s="226" t="s">
        <v>377</v>
      </c>
      <c r="H89" s="226" t="s">
        <v>377</v>
      </c>
      <c r="I89" s="226" t="s">
        <v>378</v>
      </c>
      <c r="J89" s="226" t="s">
        <v>378</v>
      </c>
      <c r="K89" s="226"/>
      <c r="L89" s="158"/>
      <c r="M89" s="226" t="s">
        <v>378</v>
      </c>
      <c r="N89" s="251" t="s">
        <v>379</v>
      </c>
      <c r="O89" s="226"/>
      <c r="P89" s="226" t="s">
        <v>125</v>
      </c>
      <c r="Q89" s="158"/>
      <c r="R89" s="158"/>
      <c r="S89" s="250"/>
      <c r="U89" s="177"/>
      <c r="V89" s="177"/>
      <c r="W89" s="32"/>
      <c r="X89" s="177"/>
      <c r="EB89" s="252"/>
    </row>
    <row r="90" spans="1:240" x14ac:dyDescent="0.25">
      <c r="A90" s="254" t="s">
        <v>57</v>
      </c>
      <c r="B90" s="226" t="s">
        <v>378</v>
      </c>
      <c r="C90" s="253" t="s">
        <v>378</v>
      </c>
      <c r="D90" s="158"/>
      <c r="E90" s="158"/>
      <c r="F90" s="158"/>
      <c r="G90" s="226" t="s">
        <v>379</v>
      </c>
      <c r="H90" s="226" t="s">
        <v>379</v>
      </c>
      <c r="I90" s="226" t="s">
        <v>377</v>
      </c>
      <c r="J90" s="226" t="s">
        <v>377</v>
      </c>
      <c r="K90" s="158"/>
      <c r="L90" s="158"/>
      <c r="M90" s="226" t="s">
        <v>377</v>
      </c>
      <c r="N90" s="251"/>
      <c r="O90" s="158"/>
      <c r="P90" s="226" t="s">
        <v>378</v>
      </c>
      <c r="Q90" s="158"/>
      <c r="R90" s="158"/>
      <c r="S90" s="250"/>
      <c r="U90" s="177"/>
      <c r="V90" s="177"/>
      <c r="X90" s="177"/>
      <c r="EB90" s="252"/>
    </row>
    <row r="91" spans="1:240" x14ac:dyDescent="0.25">
      <c r="A91" s="254" t="s">
        <v>58</v>
      </c>
      <c r="B91" s="226" t="s">
        <v>377</v>
      </c>
      <c r="C91" s="253" t="s">
        <v>377</v>
      </c>
      <c r="D91" s="158"/>
      <c r="E91" s="158"/>
      <c r="F91" s="158"/>
      <c r="G91" s="226"/>
      <c r="H91" s="158"/>
      <c r="I91" s="226" t="s">
        <v>379</v>
      </c>
      <c r="J91" s="226" t="s">
        <v>379</v>
      </c>
      <c r="K91" s="158"/>
      <c r="L91" s="158"/>
      <c r="M91" s="158" t="s">
        <v>379</v>
      </c>
      <c r="N91" s="226"/>
      <c r="O91" s="226"/>
      <c r="P91" s="226" t="s">
        <v>377</v>
      </c>
      <c r="Q91" s="158"/>
      <c r="R91" s="158"/>
      <c r="S91" s="250"/>
      <c r="U91" s="32"/>
      <c r="V91" s="32"/>
      <c r="W91" s="177"/>
      <c r="X91" s="177"/>
      <c r="EB91" s="252"/>
    </row>
    <row r="92" spans="1:240" x14ac:dyDescent="0.25">
      <c r="A92" s="254" t="s">
        <v>59</v>
      </c>
      <c r="B92" s="226" t="s">
        <v>379</v>
      </c>
      <c r="C92" s="253" t="s">
        <v>379</v>
      </c>
      <c r="D92" s="158"/>
      <c r="E92" s="158"/>
      <c r="F92" s="158"/>
      <c r="G92" s="158"/>
      <c r="H92" s="158"/>
      <c r="I92" s="158"/>
      <c r="J92" s="226"/>
      <c r="K92" s="158"/>
      <c r="L92" s="158"/>
      <c r="M92" s="158"/>
      <c r="N92" s="158"/>
      <c r="O92" s="158"/>
      <c r="P92" s="226" t="s">
        <v>379</v>
      </c>
      <c r="Q92" s="158"/>
      <c r="R92" s="158"/>
      <c r="S92" s="250"/>
      <c r="X92" s="32"/>
      <c r="EB92" s="252"/>
    </row>
    <row r="93" spans="1:240" x14ac:dyDescent="0.25">
      <c r="A93" s="254" t="s">
        <v>61</v>
      </c>
      <c r="B93" s="226"/>
      <c r="C93" s="250"/>
      <c r="D93" s="158"/>
      <c r="E93" s="158"/>
      <c r="F93" s="158"/>
      <c r="G93" s="158"/>
      <c r="H93" s="158"/>
      <c r="I93" s="158"/>
      <c r="J93" s="158"/>
      <c r="K93" s="158"/>
      <c r="L93" s="158"/>
      <c r="M93" s="158"/>
      <c r="N93" s="158"/>
      <c r="O93" s="158"/>
      <c r="P93" s="158"/>
      <c r="Q93" s="158"/>
      <c r="R93" s="158"/>
      <c r="S93" s="250"/>
      <c r="EB93" s="252"/>
    </row>
    <row r="94" spans="1:240" x14ac:dyDescent="0.25">
      <c r="A94" s="254" t="s">
        <v>62</v>
      </c>
      <c r="B94" s="158"/>
      <c r="C94" s="250"/>
      <c r="D94" s="158"/>
      <c r="E94" s="158"/>
      <c r="F94" s="158"/>
      <c r="G94" s="158"/>
      <c r="H94" s="158"/>
      <c r="I94" s="158"/>
      <c r="J94" s="158"/>
      <c r="K94" s="158"/>
      <c r="L94" s="158"/>
      <c r="M94" s="158"/>
      <c r="N94" s="158"/>
      <c r="O94" s="158"/>
      <c r="P94" s="158"/>
      <c r="Q94" s="158"/>
      <c r="R94" s="158"/>
      <c r="S94" s="250"/>
      <c r="EB94" s="252"/>
    </row>
    <row r="95" spans="1:240" x14ac:dyDescent="0.25">
      <c r="A95" s="254" t="s">
        <v>63</v>
      </c>
      <c r="B95" s="158"/>
      <c r="C95" s="250"/>
      <c r="D95" s="158"/>
      <c r="E95" s="158"/>
      <c r="F95" s="158"/>
      <c r="G95" s="158"/>
      <c r="H95" s="158"/>
      <c r="I95" s="158"/>
      <c r="J95" s="158"/>
      <c r="K95" s="158"/>
      <c r="L95" s="158"/>
      <c r="M95" s="158"/>
      <c r="N95" s="158"/>
      <c r="O95" s="158"/>
      <c r="P95" s="158"/>
      <c r="Q95" s="158"/>
      <c r="R95" s="158"/>
      <c r="S95" s="250"/>
      <c r="EB95" s="252"/>
    </row>
    <row r="96" spans="1:240" x14ac:dyDescent="0.25">
      <c r="A96" s="254" t="s">
        <v>64</v>
      </c>
      <c r="B96" s="158"/>
      <c r="C96" s="250"/>
      <c r="D96" s="158"/>
      <c r="E96" s="158"/>
      <c r="F96" s="158"/>
      <c r="G96" s="158"/>
      <c r="H96" s="158"/>
      <c r="I96" s="158"/>
      <c r="J96" s="158"/>
      <c r="K96" s="158"/>
      <c r="L96" s="158"/>
      <c r="M96" s="158"/>
      <c r="N96" s="158"/>
      <c r="O96" s="158"/>
      <c r="P96" s="158"/>
      <c r="Q96" s="158"/>
      <c r="R96" s="158"/>
      <c r="S96" s="250"/>
      <c r="EB96" s="252"/>
    </row>
    <row r="97" spans="1:132" x14ac:dyDescent="0.25">
      <c r="A97" s="254" t="s">
        <v>65</v>
      </c>
      <c r="B97" s="158"/>
      <c r="C97" s="250"/>
      <c r="D97" s="158"/>
      <c r="E97" s="158"/>
      <c r="F97" s="158"/>
      <c r="G97" s="158"/>
      <c r="H97" s="158"/>
      <c r="I97" s="158"/>
      <c r="J97" s="158"/>
      <c r="K97" s="158"/>
      <c r="L97" s="158"/>
      <c r="M97" s="158"/>
      <c r="N97" s="158"/>
      <c r="O97" s="158"/>
      <c r="P97" s="158"/>
      <c r="Q97" s="158"/>
      <c r="R97" s="158"/>
      <c r="S97" s="250"/>
      <c r="EB97" s="252"/>
    </row>
    <row r="98" spans="1:132" x14ac:dyDescent="0.25">
      <c r="A98" s="254" t="s">
        <v>66</v>
      </c>
      <c r="B98" s="158"/>
      <c r="C98" s="250"/>
      <c r="D98" s="158"/>
      <c r="E98" s="158"/>
      <c r="F98" s="158"/>
      <c r="G98" s="158"/>
      <c r="H98" s="158"/>
      <c r="I98" s="158"/>
      <c r="J98" s="158"/>
      <c r="K98" s="158"/>
      <c r="L98" s="158"/>
      <c r="M98" s="158"/>
      <c r="N98" s="158"/>
      <c r="O98" s="158"/>
      <c r="P98" s="158"/>
      <c r="Q98" s="158"/>
      <c r="R98" s="158"/>
      <c r="S98" s="250"/>
      <c r="EB98" s="252"/>
    </row>
    <row r="99" spans="1:132" ht="12" customHeight="1" x14ac:dyDescent="0.25">
      <c r="A99" s="254" t="s">
        <v>67</v>
      </c>
      <c r="B99" s="158"/>
      <c r="C99" s="250"/>
      <c r="D99" s="158"/>
      <c r="E99" s="158"/>
      <c r="F99" s="158"/>
      <c r="G99" s="158"/>
      <c r="H99" s="158"/>
      <c r="I99" s="158"/>
      <c r="J99" s="158"/>
      <c r="K99" s="158"/>
      <c r="L99" s="158"/>
      <c r="M99" s="158"/>
      <c r="N99" s="158"/>
      <c r="O99" s="158"/>
      <c r="P99" s="158"/>
      <c r="Q99" s="158"/>
      <c r="R99" s="158"/>
      <c r="S99" s="250"/>
      <c r="EB99" s="252"/>
    </row>
    <row r="100" spans="1:132" x14ac:dyDescent="0.25">
      <c r="A100" s="254" t="s">
        <v>68</v>
      </c>
      <c r="B100" s="158"/>
      <c r="C100" s="250"/>
      <c r="D100" s="158"/>
      <c r="E100" s="158"/>
      <c r="F100" s="158"/>
      <c r="G100" s="158"/>
      <c r="H100" s="158"/>
      <c r="I100" s="158"/>
      <c r="J100" s="158"/>
      <c r="K100" s="158"/>
      <c r="L100" s="158"/>
      <c r="M100" s="158"/>
      <c r="N100" s="158"/>
      <c r="O100" s="158"/>
      <c r="P100" s="158"/>
      <c r="Q100" s="158"/>
      <c r="R100" s="158"/>
      <c r="S100" s="250"/>
      <c r="EB100" s="252"/>
    </row>
    <row r="101" spans="1:132" x14ac:dyDescent="0.25">
      <c r="A101" s="254" t="s">
        <v>378</v>
      </c>
      <c r="B101" s="158"/>
      <c r="C101" s="250"/>
      <c r="D101" s="158"/>
      <c r="E101" s="158"/>
      <c r="F101" s="158"/>
      <c r="G101" s="158"/>
      <c r="H101" s="158"/>
      <c r="I101" s="158"/>
      <c r="J101" s="158"/>
      <c r="K101" s="158"/>
      <c r="L101" s="158"/>
      <c r="M101" s="158"/>
      <c r="N101" s="158"/>
      <c r="O101" s="158"/>
      <c r="P101" s="158"/>
      <c r="Q101" s="158"/>
      <c r="R101" s="158"/>
      <c r="S101" s="250"/>
      <c r="EB101" s="252"/>
    </row>
    <row r="102" spans="1:132" x14ac:dyDescent="0.25">
      <c r="A102" s="254" t="s">
        <v>377</v>
      </c>
      <c r="B102" s="158"/>
      <c r="C102" s="250"/>
      <c r="D102" s="158"/>
      <c r="E102" s="158"/>
      <c r="F102" s="158"/>
      <c r="G102" s="158"/>
      <c r="H102" s="158"/>
      <c r="I102" s="158"/>
      <c r="J102" s="158"/>
      <c r="K102" s="158"/>
      <c r="L102" s="158"/>
      <c r="M102" s="158"/>
      <c r="N102" s="158"/>
      <c r="O102" s="158"/>
      <c r="P102" s="158"/>
      <c r="Q102" s="158"/>
      <c r="R102" s="158"/>
      <c r="S102" s="250"/>
      <c r="EB102" s="252"/>
    </row>
    <row r="103" spans="1:132" x14ac:dyDescent="0.25">
      <c r="A103" s="249" t="s">
        <v>379</v>
      </c>
      <c r="B103" s="267"/>
      <c r="C103" s="266"/>
      <c r="D103" s="158"/>
      <c r="E103" s="158"/>
      <c r="F103" s="158"/>
      <c r="G103" s="158"/>
      <c r="H103" s="158"/>
      <c r="I103" s="158"/>
      <c r="J103" s="158"/>
      <c r="K103" s="158"/>
      <c r="L103" s="158"/>
      <c r="M103" s="158"/>
      <c r="N103" s="158"/>
      <c r="O103" s="158"/>
      <c r="P103" s="158"/>
      <c r="Q103" s="158"/>
      <c r="R103" s="158"/>
      <c r="S103" s="250"/>
      <c r="T103" s="32"/>
      <c r="U103" s="32"/>
      <c r="V103" s="32"/>
      <c r="W103" s="32"/>
      <c r="X103" s="32"/>
      <c r="Y103" s="32"/>
      <c r="Z103" s="32"/>
      <c r="AA103" s="32"/>
      <c r="EB103" s="252"/>
    </row>
    <row r="104" spans="1:132" ht="27" customHeight="1" x14ac:dyDescent="0.25">
      <c r="A104" s="264"/>
      <c r="B104" s="264"/>
      <c r="D104" s="260"/>
      <c r="EB104" s="252"/>
    </row>
    <row r="105" spans="1:132" x14ac:dyDescent="0.25">
      <c r="A105" s="318" t="s">
        <v>483</v>
      </c>
      <c r="B105" s="226" t="s">
        <v>158</v>
      </c>
      <c r="C105" s="177"/>
      <c r="D105" s="260"/>
      <c r="E105" s="177"/>
      <c r="F105" s="177"/>
      <c r="EB105" s="252"/>
    </row>
    <row r="106" spans="1:132" x14ac:dyDescent="0.25">
      <c r="A106" s="264"/>
      <c r="B106" s="226" t="s">
        <v>159</v>
      </c>
      <c r="C106" s="177"/>
      <c r="D106" s="260"/>
      <c r="E106" s="177"/>
      <c r="F106" s="177"/>
      <c r="EB106" s="252"/>
    </row>
    <row r="107" spans="1:132" x14ac:dyDescent="0.25">
      <c r="A107" s="264"/>
      <c r="B107" s="177"/>
      <c r="C107" s="177"/>
      <c r="D107" s="260"/>
      <c r="E107" s="177"/>
      <c r="F107" s="177"/>
      <c r="EB107" s="252"/>
    </row>
    <row r="108" spans="1:132" x14ac:dyDescent="0.25">
      <c r="B108" s="248"/>
      <c r="D108" s="260"/>
      <c r="EB108" s="252"/>
    </row>
    <row r="109" spans="1:132" x14ac:dyDescent="0.25">
      <c r="A109" s="319" t="s">
        <v>124</v>
      </c>
      <c r="B109" s="184" t="s">
        <v>332</v>
      </c>
      <c r="D109" s="260"/>
      <c r="EB109" s="252"/>
    </row>
    <row r="110" spans="1:132" x14ac:dyDescent="0.25">
      <c r="B110" s="247" t="s">
        <v>333</v>
      </c>
      <c r="D110" s="260"/>
      <c r="EB110" s="252"/>
    </row>
    <row r="111" spans="1:132" x14ac:dyDescent="0.25">
      <c r="B111" s="247" t="s">
        <v>334</v>
      </c>
      <c r="D111" s="260"/>
      <c r="EB111" s="252"/>
    </row>
    <row r="112" spans="1:132" x14ac:dyDescent="0.25">
      <c r="B112" s="247" t="s">
        <v>6</v>
      </c>
      <c r="D112" s="260"/>
      <c r="EB112" s="252"/>
    </row>
    <row r="113" spans="1:132" x14ac:dyDescent="0.25">
      <c r="B113" s="247" t="s">
        <v>887</v>
      </c>
      <c r="D113" s="453" t="s">
        <v>817</v>
      </c>
      <c r="E113" s="454"/>
      <c r="F113" s="448" t="s">
        <v>1055</v>
      </c>
      <c r="EB113" s="252"/>
    </row>
    <row r="114" spans="1:132" x14ac:dyDescent="0.25">
      <c r="A114" s="246"/>
      <c r="D114" s="260"/>
      <c r="EB114" s="252"/>
    </row>
    <row r="115" spans="1:132" x14ac:dyDescent="0.25">
      <c r="A115" s="238" t="s">
        <v>46</v>
      </c>
      <c r="B115" s="238" t="s">
        <v>236</v>
      </c>
      <c r="C115" s="238" t="s">
        <v>242</v>
      </c>
      <c r="D115" s="238" t="s">
        <v>47</v>
      </c>
      <c r="E115" s="238" t="s">
        <v>815</v>
      </c>
      <c r="F115" s="238" t="s">
        <v>167</v>
      </c>
      <c r="H115" s="119"/>
      <c r="I115" s="119"/>
      <c r="J115" s="119"/>
      <c r="K115" s="119"/>
      <c r="EB115" s="252"/>
    </row>
    <row r="116" spans="1:132" x14ac:dyDescent="0.25">
      <c r="A116" s="237" t="str">
        <f>IF(Basisdaten_Lunge!B7="","",Basisdaten_Lunge!B7)</f>
        <v/>
      </c>
      <c r="B116" s="236" t="str">
        <f>IF($A$116="","",VLOOKUP($A$116,$A$119:$J$413,2,FALSE))</f>
        <v/>
      </c>
      <c r="C116" s="236" t="str">
        <f>IF($A$116="","",VLOOKUP($A$116,$A$119:$J$413,3,FALSE))</f>
        <v/>
      </c>
      <c r="D116" s="236" t="str">
        <f>IF($A$116="","",VLOOKUP($A$116,$A$119:$J$413,4,FALSE))</f>
        <v/>
      </c>
      <c r="E116" s="236"/>
      <c r="F116" s="235" t="str">
        <f>IF($A$116="","",VLOOKUP($A$116,$A$119:$J$413,6,FALSE))</f>
        <v/>
      </c>
      <c r="J116" s="246"/>
      <c r="K116" s="246"/>
      <c r="EB116" s="252"/>
    </row>
    <row r="117" spans="1:132" x14ac:dyDescent="0.25">
      <c r="EB117" s="252"/>
    </row>
    <row r="118" spans="1:132" x14ac:dyDescent="0.25">
      <c r="A118" s="190" t="s">
        <v>46</v>
      </c>
      <c r="B118" s="190" t="s">
        <v>236</v>
      </c>
      <c r="C118" s="190" t="s">
        <v>242</v>
      </c>
      <c r="D118" s="190" t="s">
        <v>47</v>
      </c>
      <c r="E118" s="190" t="s">
        <v>815</v>
      </c>
      <c r="F118" s="190" t="s">
        <v>167</v>
      </c>
      <c r="G118" s="119"/>
      <c r="H118" s="119"/>
      <c r="I118" s="119"/>
      <c r="J118" s="119"/>
      <c r="K118" s="119"/>
      <c r="L118" s="119"/>
      <c r="EB118" s="252"/>
    </row>
    <row r="119" spans="1:132" ht="11.25" customHeight="1" x14ac:dyDescent="0.25">
      <c r="A119" s="184" t="s">
        <v>286</v>
      </c>
      <c r="B119" s="184" t="s">
        <v>287</v>
      </c>
      <c r="C119" s="184" t="s">
        <v>917</v>
      </c>
      <c r="D119" s="184" t="s">
        <v>95</v>
      </c>
      <c r="E119" s="184" t="s">
        <v>780</v>
      </c>
      <c r="F119" s="357">
        <v>39927</v>
      </c>
      <c r="G119" s="246"/>
      <c r="H119" s="245"/>
      <c r="I119" s="32"/>
      <c r="J119" s="245"/>
      <c r="K119" s="245"/>
      <c r="L119" s="32"/>
      <c r="EB119" s="252"/>
    </row>
    <row r="120" spans="1:132" ht="11.25" customHeight="1" x14ac:dyDescent="0.25">
      <c r="A120" s="184" t="s">
        <v>286</v>
      </c>
      <c r="B120" s="184" t="s">
        <v>1056</v>
      </c>
      <c r="C120" s="184" t="s">
        <v>917</v>
      </c>
      <c r="D120" s="184" t="s">
        <v>95</v>
      </c>
      <c r="E120" s="184" t="s">
        <v>780</v>
      </c>
      <c r="F120" s="357">
        <v>44369</v>
      </c>
      <c r="G120" s="246"/>
      <c r="H120" s="245"/>
      <c r="I120" s="32"/>
      <c r="J120" s="245"/>
      <c r="K120" s="245"/>
      <c r="L120" s="32"/>
      <c r="EB120" s="252"/>
    </row>
    <row r="121" spans="1:132" ht="11.25" customHeight="1" x14ac:dyDescent="0.25">
      <c r="A121" s="184" t="s">
        <v>1057</v>
      </c>
      <c r="B121" s="184" t="s">
        <v>1058</v>
      </c>
      <c r="C121" s="184" t="s">
        <v>1059</v>
      </c>
      <c r="D121" s="184" t="s">
        <v>97</v>
      </c>
      <c r="E121" s="184" t="s">
        <v>780</v>
      </c>
      <c r="F121" s="357">
        <v>39927</v>
      </c>
      <c r="G121" s="246"/>
      <c r="H121" s="245"/>
      <c r="I121" s="32"/>
      <c r="J121" s="245"/>
      <c r="K121" s="245"/>
      <c r="L121" s="32"/>
      <c r="EB121" s="252"/>
    </row>
    <row r="122" spans="1:132" ht="11.25" customHeight="1" x14ac:dyDescent="0.25">
      <c r="A122" s="184" t="s">
        <v>1057</v>
      </c>
      <c r="B122" s="184" t="s">
        <v>1060</v>
      </c>
      <c r="C122" s="184" t="s">
        <v>1061</v>
      </c>
      <c r="D122" s="184" t="s">
        <v>97</v>
      </c>
      <c r="E122" s="184" t="s">
        <v>780</v>
      </c>
      <c r="F122" s="357">
        <v>44813</v>
      </c>
      <c r="G122" s="246"/>
      <c r="H122" s="245"/>
      <c r="I122" s="32"/>
      <c r="J122" s="245"/>
      <c r="K122" s="245"/>
      <c r="L122" s="32"/>
      <c r="EB122" s="252"/>
    </row>
    <row r="123" spans="1:132" ht="11.25" customHeight="1" x14ac:dyDescent="0.25">
      <c r="A123" s="184" t="s">
        <v>288</v>
      </c>
      <c r="B123" s="184" t="s">
        <v>551</v>
      </c>
      <c r="C123" s="184" t="s">
        <v>289</v>
      </c>
      <c r="D123" s="184" t="s">
        <v>102</v>
      </c>
      <c r="E123" s="184" t="s">
        <v>780</v>
      </c>
      <c r="F123" s="357">
        <v>39939</v>
      </c>
      <c r="G123" s="246"/>
      <c r="H123" s="245"/>
      <c r="I123" s="32"/>
      <c r="J123" s="245"/>
      <c r="K123" s="245"/>
      <c r="L123" s="32"/>
      <c r="EB123" s="252"/>
    </row>
    <row r="124" spans="1:132" ht="11.25" customHeight="1" x14ac:dyDescent="0.25">
      <c r="A124" s="184" t="s">
        <v>288</v>
      </c>
      <c r="B124" s="184" t="s">
        <v>1062</v>
      </c>
      <c r="C124" s="184" t="s">
        <v>289</v>
      </c>
      <c r="D124" s="184" t="s">
        <v>102</v>
      </c>
      <c r="E124" s="184" t="s">
        <v>780</v>
      </c>
      <c r="F124" s="357">
        <v>44344</v>
      </c>
      <c r="G124" s="246"/>
      <c r="H124" s="244"/>
      <c r="I124" s="177"/>
      <c r="J124" s="244"/>
      <c r="K124" s="244"/>
      <c r="L124" s="177"/>
      <c r="EB124" s="252"/>
    </row>
    <row r="125" spans="1:132" ht="11.25" customHeight="1" x14ac:dyDescent="0.25">
      <c r="A125" s="184" t="s">
        <v>290</v>
      </c>
      <c r="B125" s="193" t="s">
        <v>526</v>
      </c>
      <c r="C125" s="184" t="s">
        <v>247</v>
      </c>
      <c r="D125" s="184" t="s">
        <v>93</v>
      </c>
      <c r="E125" s="184" t="s">
        <v>780</v>
      </c>
      <c r="F125" s="357">
        <v>39882</v>
      </c>
      <c r="G125" s="246"/>
      <c r="H125" s="245"/>
      <c r="I125" s="32"/>
      <c r="J125" s="245"/>
      <c r="K125" s="245"/>
      <c r="L125" s="32"/>
      <c r="EB125" s="252"/>
    </row>
    <row r="126" spans="1:132" ht="11.25" customHeight="1" x14ac:dyDescent="0.25">
      <c r="A126" s="184" t="s">
        <v>284</v>
      </c>
      <c r="B126" s="193" t="s">
        <v>285</v>
      </c>
      <c r="C126" s="184" t="s">
        <v>2</v>
      </c>
      <c r="D126" s="184" t="s">
        <v>94</v>
      </c>
      <c r="E126" s="184" t="s">
        <v>780</v>
      </c>
      <c r="F126" s="357">
        <v>39794</v>
      </c>
      <c r="G126" s="246"/>
      <c r="H126" s="245"/>
      <c r="I126" s="32"/>
      <c r="J126" s="245"/>
      <c r="K126" s="245"/>
      <c r="L126" s="32"/>
      <c r="EB126" s="252"/>
    </row>
    <row r="127" spans="1:132" ht="11.25" customHeight="1" x14ac:dyDescent="0.25">
      <c r="A127" s="184" t="s">
        <v>291</v>
      </c>
      <c r="B127" s="184" t="s">
        <v>292</v>
      </c>
      <c r="C127" s="184" t="s">
        <v>293</v>
      </c>
      <c r="D127" s="184" t="s">
        <v>93</v>
      </c>
      <c r="E127" s="184" t="s">
        <v>780</v>
      </c>
      <c r="F127" s="357">
        <v>39911</v>
      </c>
      <c r="G127" s="246"/>
      <c r="H127" s="245"/>
      <c r="I127" s="32"/>
      <c r="J127" s="245"/>
      <c r="K127" s="245"/>
      <c r="L127" s="32"/>
      <c r="EB127" s="252"/>
    </row>
    <row r="128" spans="1:132" ht="11.25" customHeight="1" x14ac:dyDescent="0.25">
      <c r="A128" s="184" t="s">
        <v>291</v>
      </c>
      <c r="B128" s="184" t="s">
        <v>1063</v>
      </c>
      <c r="C128" s="184" t="s">
        <v>293</v>
      </c>
      <c r="D128" s="184" t="s">
        <v>93</v>
      </c>
      <c r="E128" s="184" t="s">
        <v>780</v>
      </c>
      <c r="F128" s="357">
        <v>44391</v>
      </c>
      <c r="G128" s="246"/>
      <c r="H128" s="245"/>
      <c r="I128" s="32"/>
      <c r="J128" s="245"/>
      <c r="K128" s="245"/>
      <c r="L128" s="32"/>
      <c r="EB128" s="252"/>
    </row>
    <row r="129" spans="1:132" ht="11.25" customHeight="1" x14ac:dyDescent="0.25">
      <c r="A129" s="184" t="s">
        <v>294</v>
      </c>
      <c r="B129" s="184" t="s">
        <v>295</v>
      </c>
      <c r="C129" s="184" t="s">
        <v>715</v>
      </c>
      <c r="D129" s="184" t="s">
        <v>102</v>
      </c>
      <c r="E129" s="184" t="s">
        <v>780</v>
      </c>
      <c r="F129" s="357">
        <v>39931</v>
      </c>
      <c r="G129" s="246"/>
      <c r="H129" s="245"/>
      <c r="I129" s="32"/>
      <c r="J129" s="245"/>
      <c r="K129" s="245"/>
      <c r="L129" s="32"/>
      <c r="EB129" s="252"/>
    </row>
    <row r="130" spans="1:132" ht="11.25" customHeight="1" x14ac:dyDescent="0.25">
      <c r="A130" s="184" t="s">
        <v>294</v>
      </c>
      <c r="B130" s="193" t="s">
        <v>1064</v>
      </c>
      <c r="C130" s="184" t="s">
        <v>715</v>
      </c>
      <c r="D130" s="184" t="s">
        <v>102</v>
      </c>
      <c r="E130" s="184" t="s">
        <v>780</v>
      </c>
      <c r="F130" s="357">
        <v>44698</v>
      </c>
      <c r="G130" s="246"/>
      <c r="H130" s="245"/>
      <c r="I130" s="32"/>
      <c r="J130" s="245"/>
      <c r="K130" s="245"/>
      <c r="L130" s="32"/>
      <c r="EB130" s="252"/>
    </row>
    <row r="131" spans="1:132" ht="11.25" customHeight="1" x14ac:dyDescent="0.25">
      <c r="A131" s="341" t="s">
        <v>781</v>
      </c>
      <c r="B131" s="358" t="s">
        <v>306</v>
      </c>
      <c r="C131" s="341" t="s">
        <v>529</v>
      </c>
      <c r="D131" s="341" t="s">
        <v>106</v>
      </c>
      <c r="E131" s="341" t="s">
        <v>780</v>
      </c>
      <c r="F131" s="359">
        <v>40317</v>
      </c>
      <c r="G131" s="246"/>
      <c r="H131" s="245"/>
      <c r="I131" s="32"/>
      <c r="J131" s="245"/>
      <c r="K131" s="245"/>
      <c r="L131" s="32"/>
      <c r="EB131" s="252"/>
    </row>
    <row r="132" spans="1:132" ht="11.25" customHeight="1" x14ac:dyDescent="0.25">
      <c r="A132" s="184" t="s">
        <v>304</v>
      </c>
      <c r="B132" s="184" t="s">
        <v>305</v>
      </c>
      <c r="C132" s="184" t="s">
        <v>837</v>
      </c>
      <c r="D132" s="184" t="s">
        <v>102</v>
      </c>
      <c r="E132" s="184" t="s">
        <v>780</v>
      </c>
      <c r="F132" s="357">
        <v>40212</v>
      </c>
      <c r="G132" s="246"/>
      <c r="H132" s="245"/>
      <c r="I132" s="32"/>
      <c r="J132" s="245"/>
      <c r="K132" s="245"/>
      <c r="L132" s="32"/>
      <c r="EB132" s="252"/>
    </row>
    <row r="133" spans="1:132" ht="11.25" customHeight="1" x14ac:dyDescent="0.25">
      <c r="A133" s="184" t="s">
        <v>304</v>
      </c>
      <c r="B133" s="184" t="s">
        <v>1065</v>
      </c>
      <c r="C133" s="184" t="s">
        <v>837</v>
      </c>
      <c r="D133" s="184" t="s">
        <v>102</v>
      </c>
      <c r="E133" s="184" t="s">
        <v>780</v>
      </c>
      <c r="F133" s="357">
        <v>44693</v>
      </c>
      <c r="G133" s="246"/>
      <c r="H133" s="245"/>
      <c r="I133" s="32"/>
      <c r="J133" s="245"/>
      <c r="K133" s="245"/>
      <c r="L133" s="32"/>
      <c r="EB133" s="252"/>
    </row>
    <row r="134" spans="1:132" ht="11.25" customHeight="1" x14ac:dyDescent="0.25">
      <c r="A134" s="184" t="s">
        <v>297</v>
      </c>
      <c r="B134" s="184" t="s">
        <v>1066</v>
      </c>
      <c r="C134" s="184" t="s">
        <v>1067</v>
      </c>
      <c r="D134" s="184" t="s">
        <v>93</v>
      </c>
      <c r="E134" s="184" t="s">
        <v>780</v>
      </c>
      <c r="F134" s="357">
        <v>40163</v>
      </c>
      <c r="G134" s="246"/>
      <c r="H134" s="245"/>
      <c r="I134" s="32"/>
      <c r="J134" s="245"/>
      <c r="K134" s="245"/>
      <c r="L134" s="32"/>
      <c r="EB134" s="252"/>
    </row>
    <row r="135" spans="1:132" ht="11.25" customHeight="1" x14ac:dyDescent="0.25">
      <c r="A135" s="184" t="s">
        <v>296</v>
      </c>
      <c r="B135" s="193" t="s">
        <v>1068</v>
      </c>
      <c r="C135" s="184" t="s">
        <v>1069</v>
      </c>
      <c r="D135" s="184" t="s">
        <v>93</v>
      </c>
      <c r="E135" s="184" t="s">
        <v>780</v>
      </c>
      <c r="F135" s="357">
        <v>40128</v>
      </c>
      <c r="G135" s="246"/>
      <c r="H135" s="245"/>
      <c r="I135" s="32"/>
      <c r="J135" s="245"/>
      <c r="K135" s="245"/>
      <c r="L135" s="32"/>
      <c r="EB135" s="252"/>
    </row>
    <row r="136" spans="1:132" ht="11.25" customHeight="1" x14ac:dyDescent="0.25">
      <c r="A136" s="184" t="s">
        <v>600</v>
      </c>
      <c r="B136" s="184" t="s">
        <v>601</v>
      </c>
      <c r="C136" s="184" t="s">
        <v>716</v>
      </c>
      <c r="D136" s="184" t="s">
        <v>102</v>
      </c>
      <c r="E136" s="184" t="s">
        <v>780</v>
      </c>
      <c r="F136" s="357">
        <v>40144</v>
      </c>
      <c r="G136" s="246"/>
      <c r="H136" s="245"/>
      <c r="I136" s="32"/>
      <c r="J136" s="245"/>
      <c r="K136" s="245"/>
      <c r="L136" s="32"/>
      <c r="EB136" s="252"/>
    </row>
    <row r="137" spans="1:132" ht="11.25" customHeight="1" x14ac:dyDescent="0.25">
      <c r="A137" s="184" t="s">
        <v>298</v>
      </c>
      <c r="B137" s="184" t="s">
        <v>299</v>
      </c>
      <c r="C137" s="184" t="s">
        <v>300</v>
      </c>
      <c r="D137" s="184" t="s">
        <v>95</v>
      </c>
      <c r="E137" s="184" t="s">
        <v>780</v>
      </c>
      <c r="F137" s="357">
        <v>40158</v>
      </c>
      <c r="G137" s="246"/>
      <c r="H137" s="245"/>
      <c r="I137" s="32"/>
      <c r="J137" s="245"/>
      <c r="K137" s="245"/>
      <c r="L137" s="32"/>
      <c r="EB137" s="252"/>
    </row>
    <row r="138" spans="1:132" ht="11.25" customHeight="1" x14ac:dyDescent="0.25">
      <c r="A138" s="184" t="s">
        <v>301</v>
      </c>
      <c r="B138" s="184" t="s">
        <v>918</v>
      </c>
      <c r="C138" s="184" t="s">
        <v>919</v>
      </c>
      <c r="D138" s="184" t="s">
        <v>103</v>
      </c>
      <c r="E138" s="184" t="s">
        <v>780</v>
      </c>
      <c r="F138" s="357">
        <v>40157</v>
      </c>
      <c r="G138" s="246"/>
      <c r="H138" s="245"/>
      <c r="I138" s="32"/>
      <c r="J138" s="245"/>
      <c r="K138" s="245"/>
      <c r="L138" s="32"/>
      <c r="EB138" s="252"/>
    </row>
    <row r="139" spans="1:132" ht="11.25" customHeight="1" x14ac:dyDescent="0.25">
      <c r="A139" s="184" t="s">
        <v>302</v>
      </c>
      <c r="B139" s="184" t="s">
        <v>602</v>
      </c>
      <c r="C139" s="184" t="s">
        <v>552</v>
      </c>
      <c r="D139" s="184" t="s">
        <v>101</v>
      </c>
      <c r="E139" s="184" t="s">
        <v>780</v>
      </c>
      <c r="F139" s="357">
        <v>40248</v>
      </c>
      <c r="G139" s="246"/>
      <c r="H139" s="245"/>
      <c r="I139" s="32"/>
      <c r="J139" s="245"/>
      <c r="K139" s="245"/>
      <c r="L139" s="32"/>
      <c r="EB139" s="252"/>
    </row>
    <row r="140" spans="1:132" ht="11.25" customHeight="1" x14ac:dyDescent="0.25">
      <c r="A140" s="184" t="s">
        <v>303</v>
      </c>
      <c r="B140" s="184" t="s">
        <v>782</v>
      </c>
      <c r="C140" s="184" t="s">
        <v>783</v>
      </c>
      <c r="D140" s="184" t="s">
        <v>95</v>
      </c>
      <c r="E140" s="184" t="s">
        <v>780</v>
      </c>
      <c r="F140" s="357">
        <v>40268</v>
      </c>
      <c r="G140" s="246"/>
      <c r="H140" s="245"/>
      <c r="I140" s="32"/>
      <c r="J140" s="245"/>
      <c r="K140" s="245"/>
      <c r="L140" s="32"/>
      <c r="EB140" s="252"/>
    </row>
    <row r="141" spans="1:132" ht="11.25" customHeight="1" x14ac:dyDescent="0.25">
      <c r="A141" s="341" t="s">
        <v>1070</v>
      </c>
      <c r="B141" s="358" t="s">
        <v>1071</v>
      </c>
      <c r="C141" s="341" t="s">
        <v>1072</v>
      </c>
      <c r="D141" s="341" t="s">
        <v>102</v>
      </c>
      <c r="E141" s="341" t="s">
        <v>780</v>
      </c>
      <c r="F141" s="359">
        <v>40365</v>
      </c>
      <c r="G141" s="246"/>
      <c r="H141" s="245"/>
      <c r="I141" s="32"/>
      <c r="J141" s="245"/>
      <c r="K141" s="245"/>
      <c r="L141" s="32"/>
      <c r="EB141" s="252"/>
    </row>
    <row r="142" spans="1:132" ht="11.25" customHeight="1" x14ac:dyDescent="0.25">
      <c r="A142" s="184" t="s">
        <v>307</v>
      </c>
      <c r="B142" s="184" t="s">
        <v>308</v>
      </c>
      <c r="C142" s="184" t="s">
        <v>248</v>
      </c>
      <c r="D142" s="184" t="s">
        <v>102</v>
      </c>
      <c r="E142" s="184" t="s">
        <v>780</v>
      </c>
      <c r="F142" s="357">
        <v>40375</v>
      </c>
      <c r="G142" s="246"/>
      <c r="H142" s="245"/>
      <c r="I142" s="32"/>
      <c r="J142" s="245"/>
      <c r="K142" s="245"/>
      <c r="L142" s="32"/>
      <c r="EB142" s="252"/>
    </row>
    <row r="143" spans="1:132" ht="11.25" customHeight="1" x14ac:dyDescent="0.25">
      <c r="A143" s="341" t="s">
        <v>838</v>
      </c>
      <c r="B143" s="358" t="s">
        <v>920</v>
      </c>
      <c r="C143" s="341" t="s">
        <v>839</v>
      </c>
      <c r="D143" s="341" t="s">
        <v>102</v>
      </c>
      <c r="E143" s="341" t="s">
        <v>780</v>
      </c>
      <c r="F143" s="359">
        <v>40508</v>
      </c>
      <c r="G143" s="246"/>
      <c r="H143" s="245"/>
      <c r="I143" s="32"/>
      <c r="J143" s="245"/>
      <c r="K143" s="245"/>
      <c r="L143" s="32"/>
      <c r="EB143" s="252"/>
    </row>
    <row r="144" spans="1:132" ht="11.25" customHeight="1" x14ac:dyDescent="0.25">
      <c r="A144" s="184" t="s">
        <v>309</v>
      </c>
      <c r="B144" s="184" t="s">
        <v>527</v>
      </c>
      <c r="C144" s="184" t="s">
        <v>249</v>
      </c>
      <c r="D144" s="184" t="s">
        <v>101</v>
      </c>
      <c r="E144" s="184" t="s">
        <v>780</v>
      </c>
      <c r="F144" s="357">
        <v>40487</v>
      </c>
      <c r="G144" s="246"/>
      <c r="H144" s="245"/>
      <c r="I144" s="32"/>
      <c r="J144" s="245"/>
      <c r="K144" s="245"/>
      <c r="L144" s="32"/>
      <c r="EB144" s="252"/>
    </row>
    <row r="145" spans="1:132" ht="11.25" customHeight="1" x14ac:dyDescent="0.25">
      <c r="A145" s="184" t="s">
        <v>310</v>
      </c>
      <c r="B145" s="184" t="s">
        <v>311</v>
      </c>
      <c r="C145" s="184" t="s">
        <v>312</v>
      </c>
      <c r="D145" s="184" t="s">
        <v>101</v>
      </c>
      <c r="E145" s="184" t="s">
        <v>780</v>
      </c>
      <c r="F145" s="357">
        <v>40568</v>
      </c>
      <c r="G145" s="246"/>
      <c r="H145" s="245"/>
      <c r="I145" s="32"/>
      <c r="J145" s="245"/>
      <c r="K145" s="245"/>
      <c r="L145" s="32"/>
      <c r="EB145" s="252"/>
    </row>
    <row r="146" spans="1:132" ht="11.25" customHeight="1" x14ac:dyDescent="0.25">
      <c r="A146" s="341" t="s">
        <v>784</v>
      </c>
      <c r="B146" s="358" t="s">
        <v>921</v>
      </c>
      <c r="C146" s="341" t="s">
        <v>530</v>
      </c>
      <c r="D146" s="341" t="s">
        <v>93</v>
      </c>
      <c r="E146" s="341" t="s">
        <v>780</v>
      </c>
      <c r="F146" s="359">
        <v>40515</v>
      </c>
      <c r="G146" s="246"/>
      <c r="H146" s="245"/>
      <c r="I146" s="32"/>
      <c r="J146" s="245"/>
      <c r="K146" s="245"/>
      <c r="L146" s="32"/>
      <c r="EB146" s="252"/>
    </row>
    <row r="147" spans="1:132" ht="11.25" customHeight="1" x14ac:dyDescent="0.25">
      <c r="A147" s="184" t="s">
        <v>952</v>
      </c>
      <c r="B147" s="184" t="s">
        <v>953</v>
      </c>
      <c r="C147" s="193" t="s">
        <v>954</v>
      </c>
      <c r="D147" s="184" t="s">
        <v>102</v>
      </c>
      <c r="E147" s="184" t="s">
        <v>780</v>
      </c>
      <c r="F147" s="357">
        <v>44448</v>
      </c>
      <c r="H147" s="245"/>
      <c r="I147" s="32"/>
      <c r="J147" s="245"/>
      <c r="K147" s="245"/>
      <c r="L147" s="32"/>
      <c r="EB147" s="252"/>
    </row>
    <row r="148" spans="1:132" ht="11.25" customHeight="1" x14ac:dyDescent="0.25">
      <c r="A148" s="184" t="s">
        <v>540</v>
      </c>
      <c r="B148" s="184" t="s">
        <v>785</v>
      </c>
      <c r="C148" s="184" t="s">
        <v>786</v>
      </c>
      <c r="D148" s="184" t="s">
        <v>94</v>
      </c>
      <c r="E148" s="184" t="s">
        <v>780</v>
      </c>
      <c r="F148" s="357">
        <v>40647</v>
      </c>
      <c r="G148" s="243"/>
      <c r="H148" s="245"/>
      <c r="I148" s="32"/>
      <c r="J148" s="245"/>
      <c r="K148" s="245"/>
      <c r="L148" s="32"/>
      <c r="EB148" s="252"/>
    </row>
    <row r="149" spans="1:132" ht="11.25" customHeight="1" x14ac:dyDescent="0.25">
      <c r="A149" s="184" t="s">
        <v>313</v>
      </c>
      <c r="B149" s="184" t="s">
        <v>314</v>
      </c>
      <c r="C149" s="184" t="s">
        <v>315</v>
      </c>
      <c r="D149" s="184" t="s">
        <v>104</v>
      </c>
      <c r="E149" s="184" t="s">
        <v>780</v>
      </c>
      <c r="F149" s="241">
        <v>40666</v>
      </c>
      <c r="G149" s="243"/>
      <c r="H149" s="245"/>
      <c r="I149" s="32"/>
      <c r="J149" s="245"/>
      <c r="K149" s="245"/>
      <c r="L149" s="32"/>
      <c r="EB149" s="252"/>
    </row>
    <row r="150" spans="1:132" ht="11.25" customHeight="1" x14ac:dyDescent="0.25">
      <c r="A150" s="184" t="s">
        <v>316</v>
      </c>
      <c r="B150" s="193" t="s">
        <v>717</v>
      </c>
      <c r="C150" s="184" t="s">
        <v>840</v>
      </c>
      <c r="D150" s="184" t="s">
        <v>93</v>
      </c>
      <c r="E150" s="184" t="s">
        <v>780</v>
      </c>
      <c r="F150" s="357">
        <v>40897</v>
      </c>
      <c r="G150" s="246"/>
      <c r="H150" s="245"/>
      <c r="I150" s="32"/>
      <c r="J150" s="245"/>
      <c r="K150" s="245"/>
      <c r="L150" s="32"/>
      <c r="EB150" s="252"/>
    </row>
    <row r="151" spans="1:132" ht="11.25" customHeight="1" x14ac:dyDescent="0.25">
      <c r="A151" s="184" t="s">
        <v>955</v>
      </c>
      <c r="B151" s="193" t="s">
        <v>956</v>
      </c>
      <c r="C151" s="184" t="s">
        <v>957</v>
      </c>
      <c r="D151" s="184" t="s">
        <v>108</v>
      </c>
      <c r="E151" s="184" t="s">
        <v>108</v>
      </c>
      <c r="F151" s="357">
        <v>40869</v>
      </c>
      <c r="G151" s="246"/>
      <c r="H151" s="245"/>
      <c r="I151" s="32"/>
      <c r="J151" s="245"/>
      <c r="K151" s="245"/>
      <c r="L151" s="32"/>
      <c r="EB151" s="252"/>
    </row>
    <row r="152" spans="1:132" ht="11.25" customHeight="1" x14ac:dyDescent="0.25">
      <c r="A152" s="184" t="s">
        <v>317</v>
      </c>
      <c r="B152" s="184" t="s">
        <v>318</v>
      </c>
      <c r="C152" s="184" t="s">
        <v>841</v>
      </c>
      <c r="D152" s="184" t="s">
        <v>96</v>
      </c>
      <c r="E152" s="184" t="s">
        <v>780</v>
      </c>
      <c r="F152" s="241">
        <v>41033</v>
      </c>
      <c r="G152" s="243"/>
      <c r="H152" s="245"/>
      <c r="I152" s="32"/>
      <c r="J152" s="245"/>
      <c r="K152" s="245"/>
      <c r="L152" s="32"/>
      <c r="EB152" s="252"/>
    </row>
    <row r="153" spans="1:132" ht="11.25" customHeight="1" x14ac:dyDescent="0.25">
      <c r="A153" s="184" t="s">
        <v>319</v>
      </c>
      <c r="B153" s="193" t="s">
        <v>320</v>
      </c>
      <c r="C153" s="184" t="s">
        <v>603</v>
      </c>
      <c r="D153" s="184" t="s">
        <v>107</v>
      </c>
      <c r="E153" s="184" t="s">
        <v>780</v>
      </c>
      <c r="F153" s="241">
        <v>41079</v>
      </c>
      <c r="G153" s="243"/>
      <c r="H153" s="245"/>
      <c r="I153" s="32"/>
      <c r="J153" s="245"/>
      <c r="K153" s="245"/>
      <c r="L153" s="32"/>
      <c r="EB153" s="252"/>
    </row>
    <row r="154" spans="1:132" ht="11.25" customHeight="1" x14ac:dyDescent="0.25">
      <c r="A154" s="184" t="s">
        <v>319</v>
      </c>
      <c r="B154" s="184" t="s">
        <v>1073</v>
      </c>
      <c r="C154" s="184" t="s">
        <v>603</v>
      </c>
      <c r="D154" s="184" t="s">
        <v>107</v>
      </c>
      <c r="E154" s="184" t="s">
        <v>780</v>
      </c>
      <c r="F154" s="241">
        <v>44539</v>
      </c>
      <c r="G154" s="243"/>
      <c r="H154" s="245"/>
      <c r="I154" s="32"/>
      <c r="J154" s="245"/>
      <c r="K154" s="245"/>
      <c r="L154" s="32"/>
      <c r="EB154" s="252"/>
    </row>
    <row r="155" spans="1:132" ht="11.25" customHeight="1" x14ac:dyDescent="0.25">
      <c r="A155" s="184" t="s">
        <v>322</v>
      </c>
      <c r="B155" s="184" t="s">
        <v>323</v>
      </c>
      <c r="C155" s="184" t="s">
        <v>324</v>
      </c>
      <c r="D155" s="184" t="s">
        <v>103</v>
      </c>
      <c r="E155" s="184" t="s">
        <v>780</v>
      </c>
      <c r="F155" s="241">
        <v>41110</v>
      </c>
      <c r="G155" s="243"/>
      <c r="H155" s="245"/>
      <c r="I155" s="32"/>
      <c r="J155" s="245"/>
      <c r="K155" s="245"/>
      <c r="L155" s="32"/>
      <c r="EB155" s="252"/>
    </row>
    <row r="156" spans="1:132" ht="11.25" customHeight="1" x14ac:dyDescent="0.25">
      <c r="A156" s="341" t="s">
        <v>787</v>
      </c>
      <c r="B156" s="341" t="s">
        <v>321</v>
      </c>
      <c r="C156" s="341" t="s">
        <v>788</v>
      </c>
      <c r="D156" s="341" t="s">
        <v>95</v>
      </c>
      <c r="E156" s="341" t="s">
        <v>780</v>
      </c>
      <c r="F156" s="342">
        <v>41039</v>
      </c>
      <c r="G156" s="243"/>
      <c r="H156" s="245"/>
      <c r="I156" s="32"/>
      <c r="J156" s="245"/>
      <c r="K156" s="245"/>
      <c r="L156" s="32"/>
      <c r="EB156" s="252"/>
    </row>
    <row r="157" spans="1:132" ht="11.25" customHeight="1" x14ac:dyDescent="0.25">
      <c r="A157" s="341" t="s">
        <v>1074</v>
      </c>
      <c r="B157" s="358" t="s">
        <v>789</v>
      </c>
      <c r="C157" s="341" t="s">
        <v>1075</v>
      </c>
      <c r="D157" s="341" t="s">
        <v>95</v>
      </c>
      <c r="E157" s="341" t="s">
        <v>780</v>
      </c>
      <c r="F157" s="359">
        <v>41177</v>
      </c>
      <c r="G157" s="243"/>
      <c r="H157" s="245"/>
      <c r="I157" s="32"/>
      <c r="J157" s="245"/>
      <c r="K157" s="245"/>
      <c r="L157" s="32"/>
      <c r="EB157" s="252"/>
    </row>
    <row r="158" spans="1:132" ht="11.25" customHeight="1" x14ac:dyDescent="0.25">
      <c r="A158" s="184" t="s">
        <v>842</v>
      </c>
      <c r="B158" s="184" t="s">
        <v>843</v>
      </c>
      <c r="C158" s="184" t="s">
        <v>844</v>
      </c>
      <c r="D158" s="184" t="s">
        <v>48</v>
      </c>
      <c r="E158" s="184" t="s">
        <v>780</v>
      </c>
      <c r="F158" s="241">
        <v>41257</v>
      </c>
      <c r="G158" s="243"/>
      <c r="H158" s="245"/>
      <c r="I158" s="32"/>
      <c r="J158" s="245"/>
      <c r="K158" s="245"/>
      <c r="L158" s="32"/>
      <c r="EB158" s="252"/>
    </row>
    <row r="159" spans="1:132" ht="11.25" customHeight="1" x14ac:dyDescent="0.25">
      <c r="A159" s="184" t="s">
        <v>444</v>
      </c>
      <c r="B159" s="193" t="s">
        <v>445</v>
      </c>
      <c r="C159" s="184" t="s">
        <v>446</v>
      </c>
      <c r="D159" s="184" t="s">
        <v>106</v>
      </c>
      <c r="E159" s="184" t="s">
        <v>780</v>
      </c>
      <c r="F159" s="241">
        <v>41590</v>
      </c>
      <c r="G159" s="243"/>
      <c r="H159" s="245"/>
      <c r="I159" s="32"/>
      <c r="J159" s="245"/>
      <c r="K159" s="245"/>
      <c r="L159" s="32"/>
      <c r="EB159" s="252"/>
    </row>
    <row r="160" spans="1:132" ht="11.25" customHeight="1" x14ac:dyDescent="0.25">
      <c r="A160" s="184" t="s">
        <v>472</v>
      </c>
      <c r="B160" s="193" t="s">
        <v>474</v>
      </c>
      <c r="C160" s="184" t="s">
        <v>528</v>
      </c>
      <c r="D160" s="184" t="s">
        <v>105</v>
      </c>
      <c r="E160" s="184" t="s">
        <v>780</v>
      </c>
      <c r="F160" s="241">
        <v>41541</v>
      </c>
      <c r="G160" s="243"/>
      <c r="H160" s="245"/>
      <c r="I160" s="32"/>
      <c r="J160" s="245"/>
      <c r="K160" s="245"/>
      <c r="L160" s="32"/>
      <c r="EB160" s="252"/>
    </row>
    <row r="161" spans="1:132" ht="11.25" customHeight="1" x14ac:dyDescent="0.25">
      <c r="A161" s="184" t="s">
        <v>473</v>
      </c>
      <c r="B161" s="193" t="s">
        <v>553</v>
      </c>
      <c r="C161" s="184" t="s">
        <v>475</v>
      </c>
      <c r="D161" s="184" t="s">
        <v>108</v>
      </c>
      <c r="E161" s="184" t="s">
        <v>108</v>
      </c>
      <c r="F161" s="241">
        <v>41564</v>
      </c>
      <c r="G161" s="243"/>
      <c r="H161" s="245"/>
      <c r="I161" s="32"/>
      <c r="J161" s="245"/>
      <c r="K161" s="245"/>
      <c r="L161" s="32"/>
      <c r="EB161" s="252"/>
    </row>
    <row r="162" spans="1:132" ht="11.25" customHeight="1" x14ac:dyDescent="0.25">
      <c r="A162" s="184" t="s">
        <v>511</v>
      </c>
      <c r="B162" s="193" t="s">
        <v>512</v>
      </c>
      <c r="C162" s="184" t="s">
        <v>922</v>
      </c>
      <c r="D162" s="184" t="s">
        <v>48</v>
      </c>
      <c r="E162" s="184" t="s">
        <v>780</v>
      </c>
      <c r="F162" s="241">
        <v>41814</v>
      </c>
      <c r="G162" s="243"/>
      <c r="H162" s="245"/>
      <c r="I162" s="32"/>
      <c r="J162" s="245"/>
      <c r="K162" s="245"/>
      <c r="L162" s="32"/>
      <c r="EB162" s="252"/>
    </row>
    <row r="163" spans="1:132" ht="11.25" customHeight="1" x14ac:dyDescent="0.25">
      <c r="A163" s="341" t="s">
        <v>940</v>
      </c>
      <c r="B163" s="358" t="s">
        <v>513</v>
      </c>
      <c r="C163" s="341" t="s">
        <v>941</v>
      </c>
      <c r="D163" s="341" t="s">
        <v>101</v>
      </c>
      <c r="E163" s="341" t="s">
        <v>780</v>
      </c>
      <c r="F163" s="342">
        <v>41985</v>
      </c>
      <c r="G163" s="243"/>
      <c r="H163" s="245"/>
      <c r="I163" s="32"/>
      <c r="J163" s="245"/>
      <c r="K163" s="245"/>
      <c r="L163" s="32"/>
      <c r="EB163" s="252"/>
    </row>
    <row r="164" spans="1:132" ht="11.25" customHeight="1" x14ac:dyDescent="0.25">
      <c r="A164" s="341" t="s">
        <v>790</v>
      </c>
      <c r="B164" s="358" t="s">
        <v>1076</v>
      </c>
      <c r="C164" s="341" t="s">
        <v>1077</v>
      </c>
      <c r="D164" s="341" t="s">
        <v>94</v>
      </c>
      <c r="E164" s="341" t="s">
        <v>780</v>
      </c>
      <c r="F164" s="342">
        <v>41934</v>
      </c>
      <c r="G164" s="243"/>
      <c r="H164" s="245"/>
      <c r="I164" s="32"/>
      <c r="J164" s="245"/>
      <c r="K164" s="245"/>
      <c r="L164" s="32"/>
      <c r="EB164" s="252"/>
    </row>
    <row r="165" spans="1:132" ht="11.25" customHeight="1" x14ac:dyDescent="0.25">
      <c r="A165" s="184" t="s">
        <v>532</v>
      </c>
      <c r="B165" s="193" t="s">
        <v>536</v>
      </c>
      <c r="C165" s="184" t="s">
        <v>538</v>
      </c>
      <c r="D165" s="184" t="s">
        <v>102</v>
      </c>
      <c r="E165" s="184" t="s">
        <v>780</v>
      </c>
      <c r="F165" s="241">
        <v>42174</v>
      </c>
      <c r="G165" s="243"/>
      <c r="H165" s="245"/>
      <c r="I165" s="32"/>
      <c r="J165" s="245"/>
      <c r="K165" s="245"/>
      <c r="L165" s="32"/>
      <c r="EB165" s="252"/>
    </row>
    <row r="166" spans="1:132" ht="11.25" customHeight="1" x14ac:dyDescent="0.25">
      <c r="A166" s="184" t="s">
        <v>533</v>
      </c>
      <c r="B166" s="193" t="s">
        <v>537</v>
      </c>
      <c r="C166" s="184" t="s">
        <v>539</v>
      </c>
      <c r="D166" s="184" t="s">
        <v>94</v>
      </c>
      <c r="E166" s="184" t="s">
        <v>780</v>
      </c>
      <c r="F166" s="241">
        <v>42171</v>
      </c>
      <c r="G166" s="243"/>
      <c r="H166" s="245"/>
      <c r="I166" s="32"/>
      <c r="J166" s="245"/>
      <c r="K166" s="245"/>
      <c r="L166" s="32"/>
      <c r="EB166" s="252"/>
    </row>
    <row r="167" spans="1:132" ht="11.25" customHeight="1" x14ac:dyDescent="0.25">
      <c r="A167" s="184" t="s">
        <v>534</v>
      </c>
      <c r="B167" s="193" t="s">
        <v>604</v>
      </c>
      <c r="C167" s="184" t="s">
        <v>845</v>
      </c>
      <c r="D167" s="184" t="s">
        <v>105</v>
      </c>
      <c r="E167" s="184" t="s">
        <v>780</v>
      </c>
      <c r="F167" s="241">
        <v>42340</v>
      </c>
      <c r="G167" s="243"/>
      <c r="H167" s="245"/>
      <c r="I167" s="32"/>
      <c r="J167" s="245"/>
      <c r="K167" s="245"/>
      <c r="L167" s="32"/>
      <c r="EB167" s="252"/>
    </row>
    <row r="168" spans="1:132" ht="11.25" customHeight="1" x14ac:dyDescent="0.25">
      <c r="A168" s="184" t="s">
        <v>535</v>
      </c>
      <c r="B168" s="193" t="s">
        <v>554</v>
      </c>
      <c r="C168" s="184" t="s">
        <v>791</v>
      </c>
      <c r="D168" s="184" t="s">
        <v>103</v>
      </c>
      <c r="E168" s="184" t="s">
        <v>780</v>
      </c>
      <c r="F168" s="241">
        <v>42349</v>
      </c>
      <c r="G168" s="243"/>
      <c r="H168" s="245"/>
      <c r="I168" s="32"/>
      <c r="J168" s="245"/>
      <c r="K168" s="245"/>
      <c r="L168" s="32"/>
      <c r="EB168" s="252"/>
    </row>
    <row r="169" spans="1:132" ht="11.25" customHeight="1" x14ac:dyDescent="0.25">
      <c r="A169" s="184" t="s">
        <v>555</v>
      </c>
      <c r="B169" s="193" t="s">
        <v>792</v>
      </c>
      <c r="C169" s="184" t="s">
        <v>793</v>
      </c>
      <c r="D169" s="184" t="s">
        <v>102</v>
      </c>
      <c r="E169" s="184" t="s">
        <v>780</v>
      </c>
      <c r="F169" s="241">
        <v>42538</v>
      </c>
      <c r="G169" s="243"/>
      <c r="H169" s="245"/>
      <c r="I169" s="32"/>
      <c r="J169" s="245"/>
      <c r="K169" s="245"/>
      <c r="L169" s="32"/>
      <c r="EB169" s="252"/>
    </row>
    <row r="170" spans="1:132" ht="11.25" customHeight="1" x14ac:dyDescent="0.25">
      <c r="A170" s="184" t="s">
        <v>556</v>
      </c>
      <c r="B170" s="193" t="s">
        <v>557</v>
      </c>
      <c r="C170" s="184" t="s">
        <v>794</v>
      </c>
      <c r="D170" s="184" t="s">
        <v>101</v>
      </c>
      <c r="E170" s="184" t="s">
        <v>780</v>
      </c>
      <c r="F170" s="241">
        <v>43035</v>
      </c>
      <c r="G170" s="243"/>
      <c r="H170" s="245"/>
      <c r="I170" s="32"/>
      <c r="J170" s="245"/>
      <c r="K170" s="245"/>
      <c r="L170" s="32"/>
      <c r="EB170" s="252"/>
    </row>
    <row r="171" spans="1:132" ht="11.25" customHeight="1" x14ac:dyDescent="0.25">
      <c r="A171" s="341" t="s">
        <v>795</v>
      </c>
      <c r="B171" s="358" t="s">
        <v>796</v>
      </c>
      <c r="C171" s="341" t="s">
        <v>558</v>
      </c>
      <c r="D171" s="341" t="s">
        <v>102</v>
      </c>
      <c r="E171" s="341" t="s">
        <v>780</v>
      </c>
      <c r="F171" s="359">
        <v>42633</v>
      </c>
      <c r="G171" s="243"/>
      <c r="H171" s="245"/>
      <c r="I171" s="32"/>
      <c r="J171" s="245"/>
      <c r="K171" s="245"/>
      <c r="L171" s="32"/>
      <c r="EB171" s="252"/>
    </row>
    <row r="172" spans="1:132" ht="11.25" customHeight="1" x14ac:dyDescent="0.25">
      <c r="A172" s="184" t="s">
        <v>586</v>
      </c>
      <c r="B172" s="193" t="s">
        <v>587</v>
      </c>
      <c r="C172" s="184" t="s">
        <v>588</v>
      </c>
      <c r="D172" s="184" t="s">
        <v>102</v>
      </c>
      <c r="E172" s="184" t="s">
        <v>780</v>
      </c>
      <c r="F172" s="241">
        <v>42852</v>
      </c>
      <c r="G172" s="243"/>
      <c r="H172" s="245"/>
      <c r="I172" s="32"/>
      <c r="J172" s="245"/>
      <c r="K172" s="245"/>
      <c r="L172" s="32"/>
      <c r="EB172" s="252"/>
    </row>
    <row r="173" spans="1:132" ht="11.25" customHeight="1" x14ac:dyDescent="0.25">
      <c r="A173" s="184" t="s">
        <v>589</v>
      </c>
      <c r="B173" s="193" t="s">
        <v>590</v>
      </c>
      <c r="C173" s="184" t="s">
        <v>591</v>
      </c>
      <c r="D173" s="184" t="s">
        <v>95</v>
      </c>
      <c r="E173" s="184" t="s">
        <v>780</v>
      </c>
      <c r="F173" s="241">
        <v>42930</v>
      </c>
      <c r="G173" s="243"/>
      <c r="H173" s="245"/>
      <c r="I173" s="32"/>
      <c r="J173" s="245"/>
      <c r="K173" s="245"/>
      <c r="L173" s="32"/>
      <c r="EB173" s="252"/>
    </row>
    <row r="174" spans="1:132" ht="11.25" customHeight="1" x14ac:dyDescent="0.25">
      <c r="A174" s="341" t="s">
        <v>797</v>
      </c>
      <c r="B174" s="358" t="s">
        <v>923</v>
      </c>
      <c r="C174" s="341" t="s">
        <v>942</v>
      </c>
      <c r="D174" s="341" t="s">
        <v>99</v>
      </c>
      <c r="E174" s="341" t="s">
        <v>780</v>
      </c>
      <c r="F174" s="342">
        <v>42979</v>
      </c>
      <c r="G174" s="243"/>
      <c r="H174" s="245"/>
      <c r="I174" s="32"/>
      <c r="J174" s="245"/>
      <c r="K174" s="245"/>
      <c r="L174" s="32"/>
      <c r="EB174" s="252"/>
    </row>
    <row r="175" spans="1:132" ht="11.25" customHeight="1" x14ac:dyDescent="0.25">
      <c r="A175" s="184" t="s">
        <v>592</v>
      </c>
      <c r="B175" s="193" t="s">
        <v>593</v>
      </c>
      <c r="C175" s="184" t="s">
        <v>594</v>
      </c>
      <c r="D175" s="184" t="s">
        <v>104</v>
      </c>
      <c r="E175" s="184" t="s">
        <v>780</v>
      </c>
      <c r="F175" s="241">
        <v>43048</v>
      </c>
      <c r="G175" s="243"/>
      <c r="H175" s="245"/>
      <c r="I175" s="32"/>
      <c r="J175" s="245"/>
      <c r="K175" s="245"/>
      <c r="L175" s="32"/>
      <c r="EB175" s="252"/>
    </row>
    <row r="176" spans="1:132" ht="11.25" customHeight="1" x14ac:dyDescent="0.25">
      <c r="A176" s="184" t="s">
        <v>1078</v>
      </c>
      <c r="B176" s="193" t="s">
        <v>1079</v>
      </c>
      <c r="C176" s="184" t="s">
        <v>1080</v>
      </c>
      <c r="D176" s="184" t="s">
        <v>482</v>
      </c>
      <c r="E176" s="184" t="s">
        <v>482</v>
      </c>
      <c r="F176" s="241">
        <v>44649</v>
      </c>
      <c r="G176" s="243"/>
      <c r="H176" s="245"/>
      <c r="I176" s="32"/>
      <c r="J176" s="245"/>
      <c r="K176" s="245"/>
      <c r="L176" s="32"/>
      <c r="EB176" s="252"/>
    </row>
    <row r="177" spans="1:132" ht="11.25" customHeight="1" x14ac:dyDescent="0.25">
      <c r="A177" s="184" t="s">
        <v>718</v>
      </c>
      <c r="B177" s="193" t="s">
        <v>846</v>
      </c>
      <c r="C177" s="184" t="s">
        <v>847</v>
      </c>
      <c r="D177" s="184" t="s">
        <v>48</v>
      </c>
      <c r="E177" s="184" t="s">
        <v>780</v>
      </c>
      <c r="F177" s="241">
        <v>43262</v>
      </c>
      <c r="G177" s="243"/>
      <c r="H177" s="245"/>
      <c r="I177" s="32"/>
      <c r="J177" s="245"/>
      <c r="K177" s="245"/>
      <c r="L177" s="32"/>
      <c r="EB177" s="252"/>
    </row>
    <row r="178" spans="1:132" ht="11.25" customHeight="1" x14ac:dyDescent="0.25">
      <c r="A178" s="184" t="s">
        <v>848</v>
      </c>
      <c r="B178" s="193" t="s">
        <v>849</v>
      </c>
      <c r="C178" s="184" t="s">
        <v>850</v>
      </c>
      <c r="D178" s="184" t="s">
        <v>93</v>
      </c>
      <c r="E178" s="184" t="s">
        <v>780</v>
      </c>
      <c r="F178" s="241">
        <v>44019</v>
      </c>
      <c r="G178" s="243"/>
      <c r="H178" s="245"/>
      <c r="I178" s="32"/>
      <c r="J178" s="245"/>
      <c r="K178" s="245"/>
      <c r="L178" s="32"/>
      <c r="EB178" s="252"/>
    </row>
    <row r="179" spans="1:132" ht="11.25" customHeight="1" x14ac:dyDescent="0.25">
      <c r="A179" s="184" t="s">
        <v>719</v>
      </c>
      <c r="B179" s="193" t="s">
        <v>798</v>
      </c>
      <c r="C179" s="184" t="s">
        <v>799</v>
      </c>
      <c r="D179" s="184" t="s">
        <v>94</v>
      </c>
      <c r="E179" s="184" t="s">
        <v>780</v>
      </c>
      <c r="F179" s="241">
        <v>43378</v>
      </c>
      <c r="G179" s="243"/>
      <c r="H179" s="245"/>
      <c r="I179" s="32"/>
      <c r="J179" s="245"/>
      <c r="K179" s="245"/>
      <c r="L179" s="32"/>
      <c r="EB179" s="252"/>
    </row>
    <row r="180" spans="1:132" ht="11.25" customHeight="1" x14ac:dyDescent="0.25">
      <c r="A180" s="184" t="s">
        <v>719</v>
      </c>
      <c r="B180" s="193" t="s">
        <v>1081</v>
      </c>
      <c r="C180" s="184" t="s">
        <v>799</v>
      </c>
      <c r="D180" s="184" t="s">
        <v>94</v>
      </c>
      <c r="E180" s="184" t="s">
        <v>780</v>
      </c>
      <c r="F180" s="241">
        <v>44488</v>
      </c>
      <c r="G180" s="243"/>
      <c r="H180" s="245"/>
      <c r="I180" s="32"/>
      <c r="J180" s="245"/>
      <c r="K180" s="245"/>
      <c r="L180" s="32"/>
      <c r="EB180" s="252"/>
    </row>
    <row r="181" spans="1:132" ht="11.25" customHeight="1" x14ac:dyDescent="0.25">
      <c r="A181" s="184" t="s">
        <v>720</v>
      </c>
      <c r="B181" s="193" t="s">
        <v>721</v>
      </c>
      <c r="C181" s="184" t="s">
        <v>722</v>
      </c>
      <c r="D181" s="184" t="s">
        <v>94</v>
      </c>
      <c r="E181" s="184" t="s">
        <v>780</v>
      </c>
      <c r="F181" s="241">
        <v>43383</v>
      </c>
      <c r="G181" s="243"/>
      <c r="H181" s="245"/>
      <c r="I181" s="32"/>
      <c r="J181" s="245"/>
      <c r="K181" s="245"/>
      <c r="L181" s="32"/>
      <c r="EB181" s="252"/>
    </row>
    <row r="182" spans="1:132" ht="11.25" customHeight="1" x14ac:dyDescent="0.25">
      <c r="A182" s="184" t="s">
        <v>723</v>
      </c>
      <c r="B182" s="193" t="s">
        <v>724</v>
      </c>
      <c r="C182" s="184" t="s">
        <v>725</v>
      </c>
      <c r="D182" s="184" t="s">
        <v>107</v>
      </c>
      <c r="E182" s="184" t="s">
        <v>780</v>
      </c>
      <c r="F182" s="241">
        <v>43413</v>
      </c>
      <c r="G182" s="243"/>
      <c r="H182" s="245"/>
      <c r="I182" s="32"/>
      <c r="J182" s="245"/>
      <c r="K182" s="245"/>
      <c r="L182" s="32"/>
      <c r="EB182" s="252"/>
    </row>
    <row r="183" spans="1:132" ht="11.25" customHeight="1" x14ac:dyDescent="0.25">
      <c r="A183" s="341" t="s">
        <v>800</v>
      </c>
      <c r="B183" s="358" t="s">
        <v>801</v>
      </c>
      <c r="C183" s="341" t="s">
        <v>802</v>
      </c>
      <c r="D183" s="341" t="s">
        <v>102</v>
      </c>
      <c r="E183" s="341" t="s">
        <v>780</v>
      </c>
      <c r="F183" s="359">
        <v>43427</v>
      </c>
      <c r="G183" s="243"/>
      <c r="H183" s="245"/>
      <c r="I183" s="32"/>
      <c r="J183" s="245"/>
      <c r="K183" s="245"/>
      <c r="L183" s="32"/>
      <c r="EB183" s="252"/>
    </row>
    <row r="184" spans="1:132" ht="11.25" customHeight="1" x14ac:dyDescent="0.25">
      <c r="A184" s="184" t="s">
        <v>924</v>
      </c>
      <c r="B184" s="193" t="s">
        <v>925</v>
      </c>
      <c r="C184" s="184" t="s">
        <v>926</v>
      </c>
      <c r="D184" s="184" t="s">
        <v>99</v>
      </c>
      <c r="E184" s="184" t="s">
        <v>780</v>
      </c>
      <c r="F184" s="241">
        <v>44145</v>
      </c>
      <c r="G184" s="243"/>
      <c r="H184" s="245"/>
      <c r="I184" s="32"/>
      <c r="J184" s="245"/>
      <c r="K184" s="245"/>
      <c r="L184" s="32"/>
      <c r="EB184" s="252"/>
    </row>
    <row r="185" spans="1:132" ht="11.25" customHeight="1" x14ac:dyDescent="0.25">
      <c r="A185" s="184" t="s">
        <v>803</v>
      </c>
      <c r="B185" s="193" t="s">
        <v>804</v>
      </c>
      <c r="C185" s="184" t="s">
        <v>805</v>
      </c>
      <c r="D185" s="184" t="s">
        <v>99</v>
      </c>
      <c r="E185" s="184" t="s">
        <v>780</v>
      </c>
      <c r="F185" s="241">
        <v>43593</v>
      </c>
      <c r="G185" s="243"/>
      <c r="H185" s="245"/>
      <c r="I185" s="32"/>
      <c r="J185" s="245"/>
      <c r="K185" s="245"/>
      <c r="L185" s="32"/>
      <c r="EB185" s="252"/>
    </row>
    <row r="186" spans="1:132" ht="11.25" customHeight="1" x14ac:dyDescent="0.25">
      <c r="A186" s="184" t="s">
        <v>806</v>
      </c>
      <c r="B186" s="193" t="s">
        <v>807</v>
      </c>
      <c r="C186" s="184" t="s">
        <v>808</v>
      </c>
      <c r="D186" s="184" t="s">
        <v>102</v>
      </c>
      <c r="E186" s="184" t="s">
        <v>780</v>
      </c>
      <c r="F186" s="241">
        <v>43642</v>
      </c>
      <c r="G186" s="243"/>
      <c r="H186" s="245"/>
      <c r="I186" s="32"/>
      <c r="J186" s="245"/>
      <c r="K186" s="245"/>
      <c r="L186" s="32"/>
      <c r="EB186" s="252"/>
    </row>
    <row r="187" spans="1:132" ht="11.25" customHeight="1" x14ac:dyDescent="0.25">
      <c r="A187" s="184" t="s">
        <v>809</v>
      </c>
      <c r="B187" s="193" t="s">
        <v>810</v>
      </c>
      <c r="C187" s="184" t="s">
        <v>811</v>
      </c>
      <c r="D187" s="184" t="s">
        <v>482</v>
      </c>
      <c r="E187" s="184" t="s">
        <v>482</v>
      </c>
      <c r="F187" s="241">
        <v>43654</v>
      </c>
      <c r="G187" s="243"/>
      <c r="H187" s="245"/>
      <c r="I187" s="32"/>
      <c r="J187" s="245"/>
      <c r="K187" s="245"/>
      <c r="L187" s="32"/>
      <c r="EB187" s="252"/>
    </row>
    <row r="188" spans="1:132" ht="11.25" customHeight="1" x14ac:dyDescent="0.25">
      <c r="A188" s="184" t="s">
        <v>812</v>
      </c>
      <c r="B188" s="193" t="s">
        <v>813</v>
      </c>
      <c r="C188" s="184" t="s">
        <v>814</v>
      </c>
      <c r="D188" s="184" t="s">
        <v>102</v>
      </c>
      <c r="E188" s="184" t="s">
        <v>780</v>
      </c>
      <c r="F188" s="241">
        <v>43720</v>
      </c>
      <c r="G188" s="243"/>
      <c r="H188" s="245"/>
      <c r="I188" s="32"/>
      <c r="J188" s="245"/>
      <c r="K188" s="245"/>
      <c r="L188" s="32"/>
      <c r="EB188" s="252"/>
    </row>
    <row r="189" spans="1:132" ht="11.25" customHeight="1" x14ac:dyDescent="0.25">
      <c r="A189" s="184" t="s">
        <v>851</v>
      </c>
      <c r="B189" s="193" t="s">
        <v>852</v>
      </c>
      <c r="C189" s="184" t="s">
        <v>853</v>
      </c>
      <c r="D189" s="184" t="s">
        <v>99</v>
      </c>
      <c r="E189" s="184" t="s">
        <v>780</v>
      </c>
      <c r="F189" s="241">
        <v>43718</v>
      </c>
      <c r="G189" s="243"/>
      <c r="H189" s="245"/>
      <c r="I189" s="32"/>
      <c r="J189" s="245"/>
      <c r="K189" s="245"/>
      <c r="L189" s="32"/>
      <c r="EB189" s="252"/>
    </row>
    <row r="190" spans="1:132" ht="11.25" customHeight="1" x14ac:dyDescent="0.25">
      <c r="A190" s="184" t="s">
        <v>854</v>
      </c>
      <c r="B190" s="193" t="s">
        <v>855</v>
      </c>
      <c r="C190" s="184" t="s">
        <v>856</v>
      </c>
      <c r="D190" s="184" t="s">
        <v>94</v>
      </c>
      <c r="E190" s="184" t="s">
        <v>780</v>
      </c>
      <c r="F190" s="241">
        <v>44034</v>
      </c>
      <c r="G190" s="243"/>
      <c r="H190" s="245"/>
      <c r="I190" s="32"/>
      <c r="J190" s="245"/>
      <c r="K190" s="245"/>
      <c r="L190" s="32"/>
      <c r="EB190" s="252"/>
    </row>
    <row r="191" spans="1:132" ht="11.25" customHeight="1" x14ac:dyDescent="0.25">
      <c r="A191" s="184" t="s">
        <v>927</v>
      </c>
      <c r="B191" s="193" t="s">
        <v>928</v>
      </c>
      <c r="C191" s="184" t="s">
        <v>929</v>
      </c>
      <c r="D191" s="184" t="s">
        <v>101</v>
      </c>
      <c r="E191" s="184" t="s">
        <v>780</v>
      </c>
      <c r="F191" s="241">
        <v>44110</v>
      </c>
      <c r="G191" s="243"/>
      <c r="H191" s="245"/>
      <c r="I191" s="32"/>
      <c r="J191" s="245"/>
      <c r="K191" s="245"/>
      <c r="L191" s="32"/>
      <c r="EB191" s="252"/>
    </row>
    <row r="192" spans="1:132" ht="11.25" customHeight="1" x14ac:dyDescent="0.25">
      <c r="A192" s="184" t="s">
        <v>930</v>
      </c>
      <c r="B192" s="193" t="s">
        <v>1082</v>
      </c>
      <c r="C192" s="184" t="s">
        <v>1083</v>
      </c>
      <c r="D192" s="184" t="s">
        <v>102</v>
      </c>
      <c r="E192" s="184" t="s">
        <v>780</v>
      </c>
      <c r="F192" s="241">
        <v>44112</v>
      </c>
      <c r="G192" s="243"/>
      <c r="H192" s="245"/>
      <c r="I192" s="32"/>
      <c r="J192" s="245"/>
      <c r="K192" s="245"/>
      <c r="L192" s="32"/>
      <c r="EB192" s="252"/>
    </row>
    <row r="193" spans="1:132" ht="11.25" customHeight="1" x14ac:dyDescent="0.25">
      <c r="A193" s="184" t="s">
        <v>1084</v>
      </c>
      <c r="B193" s="193" t="s">
        <v>1085</v>
      </c>
      <c r="C193" s="184" t="s">
        <v>1086</v>
      </c>
      <c r="D193" s="184" t="s">
        <v>1087</v>
      </c>
      <c r="E193" s="184" t="s">
        <v>1087</v>
      </c>
      <c r="F193" s="241">
        <v>44698</v>
      </c>
      <c r="G193" s="243"/>
      <c r="H193" s="245"/>
      <c r="I193" s="32"/>
      <c r="J193" s="245"/>
      <c r="K193" s="245"/>
      <c r="L193" s="32"/>
      <c r="EB193" s="252"/>
    </row>
    <row r="194" spans="1:132" ht="11.25" customHeight="1" x14ac:dyDescent="0.25">
      <c r="A194" s="184" t="s">
        <v>931</v>
      </c>
      <c r="B194" s="193" t="s">
        <v>932</v>
      </c>
      <c r="C194" s="184" t="s">
        <v>933</v>
      </c>
      <c r="D194" s="184" t="s">
        <v>102</v>
      </c>
      <c r="E194" s="184" t="s">
        <v>780</v>
      </c>
      <c r="F194" s="241">
        <v>44287</v>
      </c>
      <c r="G194" s="243"/>
      <c r="H194" s="245"/>
      <c r="I194" s="32"/>
      <c r="J194" s="245"/>
      <c r="K194" s="245"/>
      <c r="L194" s="32"/>
      <c r="EB194" s="252"/>
    </row>
    <row r="195" spans="1:132" ht="11.25" customHeight="1" x14ac:dyDescent="0.25">
      <c r="A195" s="184" t="s">
        <v>934</v>
      </c>
      <c r="B195" s="193" t="s">
        <v>935</v>
      </c>
      <c r="C195" s="184" t="s">
        <v>936</v>
      </c>
      <c r="D195" s="184" t="s">
        <v>99</v>
      </c>
      <c r="E195" s="184" t="s">
        <v>780</v>
      </c>
      <c r="F195" s="241">
        <v>44335</v>
      </c>
      <c r="G195" s="243"/>
      <c r="H195" s="245"/>
      <c r="I195" s="32"/>
      <c r="J195" s="245"/>
      <c r="K195" s="245"/>
      <c r="L195" s="32"/>
      <c r="EB195" s="252"/>
    </row>
    <row r="196" spans="1:132" ht="11.25" customHeight="1" x14ac:dyDescent="0.25">
      <c r="A196" s="184" t="s">
        <v>937</v>
      </c>
      <c r="B196" s="193" t="s">
        <v>938</v>
      </c>
      <c r="C196" s="184" t="s">
        <v>939</v>
      </c>
      <c r="D196" s="184" t="s">
        <v>108</v>
      </c>
      <c r="E196" s="184" t="s">
        <v>108</v>
      </c>
      <c r="F196" s="241">
        <v>44320</v>
      </c>
      <c r="G196" s="243"/>
      <c r="H196" s="245"/>
      <c r="I196" s="32"/>
      <c r="J196" s="245"/>
      <c r="K196" s="245"/>
      <c r="L196" s="32"/>
      <c r="EB196" s="252"/>
    </row>
    <row r="197" spans="1:132" ht="11.25" customHeight="1" x14ac:dyDescent="0.25">
      <c r="A197" s="184" t="s">
        <v>1088</v>
      </c>
      <c r="B197" s="193" t="s">
        <v>1089</v>
      </c>
      <c r="C197" s="184" t="s">
        <v>1090</v>
      </c>
      <c r="D197" s="184" t="s">
        <v>482</v>
      </c>
      <c r="E197" s="184" t="s">
        <v>482</v>
      </c>
      <c r="F197" s="241">
        <v>44480</v>
      </c>
      <c r="G197" s="243"/>
      <c r="H197" s="245"/>
      <c r="I197" s="32"/>
      <c r="J197" s="245"/>
      <c r="K197" s="245"/>
      <c r="L197" s="32"/>
      <c r="EB197" s="252"/>
    </row>
    <row r="198" spans="1:132" ht="11.25" customHeight="1" x14ac:dyDescent="0.25">
      <c r="A198" s="341" t="s">
        <v>1091</v>
      </c>
      <c r="B198" s="358" t="s">
        <v>1092</v>
      </c>
      <c r="C198" s="341" t="s">
        <v>1093</v>
      </c>
      <c r="D198" s="341" t="s">
        <v>102</v>
      </c>
      <c r="E198" s="341" t="s">
        <v>780</v>
      </c>
      <c r="F198" s="359">
        <v>44544</v>
      </c>
      <c r="G198" s="243"/>
      <c r="H198" s="245"/>
      <c r="I198" s="32"/>
      <c r="J198" s="245"/>
      <c r="K198" s="245"/>
      <c r="L198" s="32"/>
      <c r="EB198" s="252"/>
    </row>
    <row r="199" spans="1:132" ht="11.25" customHeight="1" x14ac:dyDescent="0.25">
      <c r="A199" s="184" t="s">
        <v>1094</v>
      </c>
      <c r="B199" s="193" t="s">
        <v>1095</v>
      </c>
      <c r="C199" s="184" t="s">
        <v>1096</v>
      </c>
      <c r="D199" s="184" t="s">
        <v>482</v>
      </c>
      <c r="E199" s="184" t="s">
        <v>482</v>
      </c>
      <c r="F199" s="241">
        <v>44677</v>
      </c>
      <c r="G199" s="243"/>
      <c r="H199" s="245"/>
      <c r="I199" s="32"/>
      <c r="J199" s="245"/>
      <c r="K199" s="245"/>
      <c r="L199" s="32"/>
      <c r="EB199" s="252"/>
    </row>
    <row r="200" spans="1:132" x14ac:dyDescent="0.25">
      <c r="A200" s="184" t="s">
        <v>377</v>
      </c>
      <c r="B200" s="242" t="s">
        <v>251</v>
      </c>
      <c r="C200" s="242" t="s">
        <v>251</v>
      </c>
      <c r="D200" s="242" t="s">
        <v>251</v>
      </c>
      <c r="E200" s="242" t="s">
        <v>251</v>
      </c>
      <c r="F200" s="241" t="s">
        <v>251</v>
      </c>
      <c r="G200" s="240"/>
      <c r="H200" s="245"/>
      <c r="I200" s="32"/>
      <c r="J200" s="245"/>
      <c r="K200" s="245"/>
      <c r="L200" s="32"/>
      <c r="EB200" s="252"/>
    </row>
    <row r="201" spans="1:132" x14ac:dyDescent="0.25">
      <c r="F201" s="239"/>
      <c r="H201" s="245"/>
      <c r="I201" s="32"/>
      <c r="J201" s="245"/>
      <c r="K201" s="245"/>
      <c r="L201" s="32"/>
      <c r="EB201" s="252"/>
    </row>
    <row r="202" spans="1:132" x14ac:dyDescent="0.25">
      <c r="F202" s="239"/>
      <c r="H202" s="245"/>
      <c r="I202" s="32"/>
      <c r="J202" s="245"/>
      <c r="K202" s="245"/>
      <c r="L202" s="32"/>
      <c r="EB202" s="252"/>
    </row>
    <row r="203" spans="1:132" x14ac:dyDescent="0.25">
      <c r="F203" s="239"/>
      <c r="H203" s="245"/>
      <c r="I203" s="32"/>
      <c r="J203" s="245"/>
      <c r="K203" s="245"/>
      <c r="L203" s="32"/>
      <c r="EB203" s="252"/>
    </row>
    <row r="204" spans="1:132" x14ac:dyDescent="0.25">
      <c r="F204" s="239"/>
      <c r="H204" s="245"/>
      <c r="I204" s="32"/>
      <c r="J204" s="245"/>
      <c r="K204" s="245"/>
      <c r="L204" s="32"/>
      <c r="EB204" s="252"/>
    </row>
    <row r="205" spans="1:132" x14ac:dyDescent="0.25">
      <c r="F205" s="239"/>
      <c r="H205" s="245"/>
      <c r="I205" s="32"/>
      <c r="J205" s="245"/>
      <c r="K205" s="245"/>
      <c r="L205" s="32"/>
      <c r="EB205" s="252"/>
    </row>
    <row r="206" spans="1:132" x14ac:dyDescent="0.25">
      <c r="F206" s="239"/>
      <c r="H206" s="245"/>
      <c r="I206" s="32"/>
      <c r="J206" s="245"/>
      <c r="K206" s="245"/>
      <c r="L206" s="32"/>
      <c r="EB206" s="252"/>
    </row>
    <row r="207" spans="1:132" x14ac:dyDescent="0.25">
      <c r="F207" s="239"/>
      <c r="H207" s="245"/>
      <c r="I207" s="32"/>
      <c r="J207" s="245"/>
      <c r="K207" s="245"/>
      <c r="L207" s="32"/>
      <c r="EB207" s="252"/>
    </row>
    <row r="208" spans="1:132" x14ac:dyDescent="0.25">
      <c r="F208" s="239"/>
      <c r="H208" s="245"/>
      <c r="I208" s="32"/>
      <c r="J208" s="245"/>
      <c r="K208" s="245"/>
      <c r="L208" s="32"/>
      <c r="EB208" s="252"/>
    </row>
    <row r="209" spans="6:132" x14ac:dyDescent="0.25">
      <c r="F209" s="239"/>
      <c r="H209" s="245"/>
      <c r="I209" s="32"/>
      <c r="J209" s="245"/>
      <c r="K209" s="245"/>
      <c r="L209" s="32"/>
      <c r="EB209" s="252"/>
    </row>
    <row r="210" spans="6:132" x14ac:dyDescent="0.25">
      <c r="F210" s="239"/>
      <c r="H210" s="245"/>
      <c r="I210" s="32"/>
      <c r="J210" s="245"/>
      <c r="K210" s="245"/>
      <c r="L210" s="32"/>
      <c r="EB210" s="252"/>
    </row>
    <row r="211" spans="6:132" x14ac:dyDescent="0.25">
      <c r="F211" s="239"/>
      <c r="H211" s="245"/>
      <c r="I211" s="32"/>
      <c r="J211" s="245"/>
      <c r="K211" s="245"/>
      <c r="L211" s="32"/>
      <c r="EB211" s="252"/>
    </row>
    <row r="212" spans="6:132" x14ac:dyDescent="0.25">
      <c r="F212" s="239"/>
      <c r="H212" s="245"/>
      <c r="I212" s="32"/>
      <c r="J212" s="245"/>
      <c r="K212" s="245"/>
      <c r="L212" s="32"/>
      <c r="EB212" s="252"/>
    </row>
    <row r="213" spans="6:132" x14ac:dyDescent="0.25">
      <c r="F213" s="239"/>
      <c r="H213" s="245"/>
      <c r="I213" s="32"/>
      <c r="J213" s="245"/>
      <c r="K213" s="245"/>
      <c r="L213" s="32"/>
      <c r="EB213" s="252"/>
    </row>
    <row r="214" spans="6:132" x14ac:dyDescent="0.25">
      <c r="F214" s="239"/>
      <c r="H214" s="245"/>
      <c r="I214" s="32"/>
      <c r="J214" s="245"/>
      <c r="K214" s="245"/>
      <c r="L214" s="32"/>
      <c r="EB214" s="252"/>
    </row>
    <row r="215" spans="6:132" x14ac:dyDescent="0.25">
      <c r="F215" s="239"/>
      <c r="H215" s="245"/>
      <c r="I215" s="32"/>
      <c r="J215" s="245"/>
      <c r="K215" s="245"/>
      <c r="L215" s="32"/>
      <c r="EB215" s="252"/>
    </row>
    <row r="216" spans="6:132" x14ac:dyDescent="0.25">
      <c r="F216" s="239"/>
      <c r="H216" s="245"/>
      <c r="I216" s="32"/>
      <c r="J216" s="245"/>
      <c r="K216" s="245"/>
      <c r="L216" s="32"/>
      <c r="EB216" s="252"/>
    </row>
    <row r="217" spans="6:132" x14ac:dyDescent="0.25">
      <c r="F217" s="239"/>
      <c r="H217" s="245"/>
      <c r="I217" s="32"/>
      <c r="J217" s="245"/>
      <c r="K217" s="245"/>
      <c r="L217" s="32"/>
      <c r="EB217" s="252"/>
    </row>
    <row r="218" spans="6:132" x14ac:dyDescent="0.25">
      <c r="F218" s="239"/>
      <c r="H218" s="245"/>
      <c r="I218" s="32"/>
      <c r="J218" s="245"/>
      <c r="K218" s="245"/>
      <c r="L218" s="32"/>
      <c r="EB218" s="252"/>
    </row>
    <row r="219" spans="6:132" x14ac:dyDescent="0.25">
      <c r="F219" s="239"/>
      <c r="H219" s="245"/>
      <c r="I219" s="32"/>
      <c r="J219" s="245"/>
      <c r="K219" s="245"/>
      <c r="L219" s="32"/>
      <c r="EB219" s="252"/>
    </row>
    <row r="220" spans="6:132" x14ac:dyDescent="0.25">
      <c r="F220" s="239"/>
      <c r="H220" s="245"/>
      <c r="I220" s="32"/>
      <c r="J220" s="245"/>
      <c r="K220" s="245"/>
      <c r="L220" s="32"/>
      <c r="EB220" s="252"/>
    </row>
    <row r="221" spans="6:132" x14ac:dyDescent="0.25">
      <c r="F221" s="239"/>
      <c r="H221" s="245"/>
      <c r="I221" s="32"/>
      <c r="J221" s="245"/>
      <c r="K221" s="245"/>
      <c r="L221" s="32"/>
      <c r="EB221" s="252"/>
    </row>
    <row r="222" spans="6:132" x14ac:dyDescent="0.25">
      <c r="F222" s="239"/>
      <c r="H222" s="245"/>
      <c r="I222" s="32"/>
      <c r="J222" s="245"/>
      <c r="K222" s="245"/>
      <c r="L222" s="32"/>
      <c r="EB222" s="252"/>
    </row>
    <row r="223" spans="6:132" x14ac:dyDescent="0.25">
      <c r="F223" s="239"/>
      <c r="H223" s="245"/>
      <c r="I223" s="32"/>
      <c r="J223" s="245"/>
      <c r="K223" s="245"/>
      <c r="L223" s="32"/>
      <c r="EB223" s="252"/>
    </row>
    <row r="224" spans="6:132" x14ac:dyDescent="0.25">
      <c r="F224" s="239"/>
      <c r="H224" s="245"/>
      <c r="I224" s="32"/>
      <c r="J224" s="245"/>
      <c r="K224" s="245"/>
      <c r="L224" s="32"/>
      <c r="EB224" s="252"/>
    </row>
    <row r="225" spans="6:132" x14ac:dyDescent="0.25">
      <c r="F225" s="239"/>
      <c r="H225" s="245"/>
      <c r="I225" s="32"/>
      <c r="J225" s="245"/>
      <c r="K225" s="245"/>
      <c r="L225" s="32"/>
      <c r="EB225" s="252"/>
    </row>
    <row r="226" spans="6:132" x14ac:dyDescent="0.25">
      <c r="F226" s="239"/>
      <c r="H226" s="245"/>
      <c r="I226" s="32"/>
      <c r="J226" s="245"/>
      <c r="K226" s="245"/>
      <c r="L226" s="32"/>
      <c r="EB226" s="252"/>
    </row>
    <row r="227" spans="6:132" x14ac:dyDescent="0.25">
      <c r="F227" s="239"/>
      <c r="H227" s="245"/>
      <c r="I227" s="32"/>
      <c r="J227" s="245"/>
      <c r="K227" s="245"/>
      <c r="L227" s="32"/>
      <c r="EB227" s="252"/>
    </row>
    <row r="228" spans="6:132" x14ac:dyDescent="0.25">
      <c r="F228" s="239"/>
      <c r="H228" s="245"/>
      <c r="I228" s="32"/>
      <c r="J228" s="245"/>
      <c r="K228" s="245"/>
      <c r="L228" s="32"/>
      <c r="EB228" s="252"/>
    </row>
    <row r="229" spans="6:132" x14ac:dyDescent="0.25">
      <c r="F229" s="239"/>
      <c r="H229" s="245"/>
      <c r="I229" s="32"/>
      <c r="J229" s="245"/>
      <c r="K229" s="245"/>
      <c r="L229" s="32"/>
      <c r="EB229" s="252"/>
    </row>
    <row r="230" spans="6:132" x14ac:dyDescent="0.25">
      <c r="F230" s="239"/>
      <c r="H230" s="245"/>
      <c r="I230" s="32"/>
      <c r="J230" s="245"/>
      <c r="K230" s="245"/>
      <c r="L230" s="32"/>
      <c r="EB230" s="252"/>
    </row>
    <row r="231" spans="6:132" x14ac:dyDescent="0.25">
      <c r="F231" s="239"/>
      <c r="H231" s="245"/>
      <c r="I231" s="32"/>
      <c r="J231" s="245"/>
      <c r="K231" s="245"/>
      <c r="L231" s="32"/>
      <c r="EB231" s="252"/>
    </row>
    <row r="232" spans="6:132" x14ac:dyDescent="0.25">
      <c r="F232" s="239"/>
      <c r="H232" s="245"/>
      <c r="I232" s="32"/>
      <c r="J232" s="245"/>
      <c r="K232" s="245"/>
      <c r="L232" s="32"/>
      <c r="EB232" s="252"/>
    </row>
    <row r="233" spans="6:132" x14ac:dyDescent="0.25">
      <c r="F233" s="239"/>
      <c r="H233" s="245"/>
      <c r="I233" s="32"/>
      <c r="J233" s="245"/>
      <c r="K233" s="245"/>
      <c r="L233" s="32"/>
      <c r="EB233" s="252"/>
    </row>
    <row r="234" spans="6:132" x14ac:dyDescent="0.25">
      <c r="F234" s="239"/>
      <c r="H234" s="245"/>
      <c r="I234" s="32"/>
      <c r="J234" s="245"/>
      <c r="K234" s="245"/>
      <c r="L234" s="32"/>
      <c r="EB234" s="252"/>
    </row>
    <row r="235" spans="6:132" x14ac:dyDescent="0.25">
      <c r="F235" s="239"/>
      <c r="H235" s="245"/>
      <c r="I235" s="32"/>
      <c r="J235" s="245"/>
      <c r="K235" s="245"/>
      <c r="L235" s="32"/>
      <c r="EB235" s="252"/>
    </row>
    <row r="236" spans="6:132" x14ac:dyDescent="0.25">
      <c r="F236" s="239"/>
      <c r="H236" s="245"/>
      <c r="I236" s="32"/>
      <c r="J236" s="245"/>
      <c r="K236" s="245"/>
      <c r="L236" s="32"/>
      <c r="EB236" s="252"/>
    </row>
    <row r="237" spans="6:132" x14ac:dyDescent="0.25">
      <c r="F237" s="239"/>
      <c r="H237" s="245"/>
      <c r="I237" s="32"/>
      <c r="J237" s="245"/>
      <c r="K237" s="245"/>
      <c r="L237" s="32"/>
      <c r="EB237" s="252"/>
    </row>
    <row r="238" spans="6:132" x14ac:dyDescent="0.25">
      <c r="F238" s="239"/>
      <c r="H238" s="245"/>
      <c r="I238" s="32"/>
      <c r="J238" s="245"/>
      <c r="K238" s="245"/>
      <c r="L238" s="32"/>
      <c r="EB238" s="252"/>
    </row>
    <row r="239" spans="6:132" x14ac:dyDescent="0.25">
      <c r="F239" s="239"/>
      <c r="H239" s="245"/>
      <c r="I239" s="32"/>
      <c r="J239" s="245"/>
      <c r="K239" s="245"/>
      <c r="L239" s="32"/>
      <c r="EB239" s="252"/>
    </row>
    <row r="240" spans="6:132" x14ac:dyDescent="0.25">
      <c r="F240" s="239"/>
      <c r="H240" s="245"/>
      <c r="I240" s="32"/>
      <c r="J240" s="245"/>
      <c r="K240" s="245"/>
      <c r="L240" s="32"/>
      <c r="EB240" s="252"/>
    </row>
    <row r="241" spans="6:132" x14ac:dyDescent="0.25">
      <c r="F241" s="239"/>
      <c r="H241" s="245"/>
      <c r="I241" s="32"/>
      <c r="J241" s="245"/>
      <c r="K241" s="245"/>
      <c r="L241" s="32"/>
      <c r="EB241" s="252"/>
    </row>
    <row r="242" spans="6:132" x14ac:dyDescent="0.25">
      <c r="F242" s="239"/>
      <c r="H242" s="245"/>
      <c r="I242" s="32"/>
      <c r="J242" s="245"/>
      <c r="K242" s="245"/>
      <c r="L242" s="32"/>
      <c r="EB242" s="252"/>
    </row>
    <row r="243" spans="6:132" x14ac:dyDescent="0.25">
      <c r="F243" s="239"/>
      <c r="H243" s="245"/>
      <c r="I243" s="32"/>
      <c r="J243" s="245"/>
      <c r="K243" s="245"/>
      <c r="L243" s="32"/>
      <c r="EB243" s="252"/>
    </row>
    <row r="244" spans="6:132" x14ac:dyDescent="0.25">
      <c r="F244" s="239"/>
      <c r="H244" s="245"/>
      <c r="I244" s="32"/>
      <c r="J244" s="245"/>
      <c r="K244" s="245"/>
      <c r="L244" s="32"/>
      <c r="EB244" s="252"/>
    </row>
    <row r="245" spans="6:132" x14ac:dyDescent="0.25">
      <c r="F245" s="239"/>
      <c r="H245" s="245"/>
      <c r="I245" s="32"/>
      <c r="J245" s="245"/>
      <c r="K245" s="245"/>
      <c r="L245" s="32"/>
      <c r="EB245" s="252"/>
    </row>
    <row r="246" spans="6:132" x14ac:dyDescent="0.25">
      <c r="F246" s="239"/>
      <c r="H246" s="245"/>
      <c r="I246" s="32"/>
      <c r="J246" s="245"/>
      <c r="K246" s="245"/>
      <c r="L246" s="32"/>
      <c r="EB246" s="252"/>
    </row>
    <row r="247" spans="6:132" x14ac:dyDescent="0.25">
      <c r="F247" s="239"/>
      <c r="H247" s="245"/>
      <c r="I247" s="32"/>
      <c r="J247" s="245"/>
      <c r="K247" s="245"/>
      <c r="L247" s="32"/>
      <c r="EB247" s="252"/>
    </row>
    <row r="248" spans="6:132" x14ac:dyDescent="0.25">
      <c r="F248" s="239"/>
      <c r="H248" s="245"/>
      <c r="I248" s="32"/>
      <c r="J248" s="245"/>
      <c r="K248" s="245"/>
      <c r="L248" s="32"/>
      <c r="EB248" s="252"/>
    </row>
    <row r="249" spans="6:132" x14ac:dyDescent="0.25">
      <c r="F249" s="239"/>
      <c r="H249" s="245"/>
      <c r="I249" s="32"/>
      <c r="J249" s="245"/>
      <c r="K249" s="245"/>
      <c r="L249" s="32"/>
      <c r="EB249" s="252"/>
    </row>
    <row r="250" spans="6:132" x14ac:dyDescent="0.25">
      <c r="F250" s="239"/>
      <c r="H250" s="245"/>
      <c r="I250" s="32"/>
      <c r="J250" s="245"/>
      <c r="K250" s="245"/>
      <c r="L250" s="32"/>
      <c r="EB250" s="252"/>
    </row>
    <row r="251" spans="6:132" x14ac:dyDescent="0.25">
      <c r="F251" s="239"/>
      <c r="H251" s="245"/>
      <c r="I251" s="32"/>
      <c r="J251" s="245"/>
      <c r="K251" s="245"/>
      <c r="L251" s="32"/>
      <c r="EB251" s="252"/>
    </row>
    <row r="252" spans="6:132" x14ac:dyDescent="0.25">
      <c r="F252" s="239"/>
      <c r="H252" s="245"/>
      <c r="I252" s="32"/>
      <c r="J252" s="245"/>
      <c r="K252" s="245"/>
      <c r="L252" s="32"/>
      <c r="EB252" s="252"/>
    </row>
    <row r="253" spans="6:132" x14ac:dyDescent="0.25">
      <c r="F253" s="239"/>
      <c r="H253" s="245"/>
      <c r="I253" s="32"/>
      <c r="J253" s="245"/>
      <c r="K253" s="245"/>
      <c r="L253" s="32"/>
      <c r="EB253" s="252"/>
    </row>
    <row r="254" spans="6:132" x14ac:dyDescent="0.25">
      <c r="F254" s="239"/>
      <c r="H254" s="245"/>
      <c r="I254" s="32"/>
      <c r="J254" s="245"/>
      <c r="K254" s="245"/>
      <c r="L254" s="32"/>
      <c r="EB254" s="252"/>
    </row>
    <row r="255" spans="6:132" x14ac:dyDescent="0.25">
      <c r="F255" s="239"/>
      <c r="H255" s="245"/>
      <c r="I255" s="32"/>
      <c r="J255" s="245"/>
      <c r="K255" s="245"/>
      <c r="L255" s="32"/>
      <c r="EB255" s="252"/>
    </row>
    <row r="256" spans="6:132" x14ac:dyDescent="0.25">
      <c r="F256" s="239"/>
      <c r="H256" s="245"/>
      <c r="I256" s="32"/>
      <c r="J256" s="245"/>
      <c r="K256" s="245"/>
      <c r="L256" s="32"/>
      <c r="EB256" s="252"/>
    </row>
    <row r="257" spans="6:132" x14ac:dyDescent="0.25">
      <c r="F257" s="239"/>
      <c r="H257" s="245"/>
      <c r="I257" s="32"/>
      <c r="J257" s="245"/>
      <c r="K257" s="245"/>
      <c r="L257" s="32"/>
      <c r="EB257" s="252"/>
    </row>
    <row r="258" spans="6:132" x14ac:dyDescent="0.25">
      <c r="F258" s="239"/>
      <c r="H258" s="245"/>
      <c r="I258" s="32"/>
      <c r="J258" s="245"/>
      <c r="K258" s="245"/>
      <c r="L258" s="32"/>
      <c r="EB258" s="252"/>
    </row>
    <row r="259" spans="6:132" x14ac:dyDescent="0.25">
      <c r="F259" s="239"/>
      <c r="H259" s="245"/>
      <c r="I259" s="32"/>
      <c r="J259" s="245"/>
      <c r="K259" s="245"/>
      <c r="L259" s="32"/>
      <c r="EB259" s="252"/>
    </row>
    <row r="260" spans="6:132" x14ac:dyDescent="0.25">
      <c r="F260" s="239"/>
      <c r="H260" s="245"/>
      <c r="I260" s="32"/>
      <c r="J260" s="245"/>
      <c r="K260" s="245"/>
      <c r="L260" s="32"/>
      <c r="EB260" s="252"/>
    </row>
    <row r="261" spans="6:132" x14ac:dyDescent="0.25">
      <c r="F261" s="239"/>
      <c r="H261" s="245"/>
      <c r="I261" s="32"/>
      <c r="J261" s="245"/>
      <c r="K261" s="245"/>
      <c r="L261" s="32"/>
      <c r="EB261" s="252"/>
    </row>
    <row r="262" spans="6:132" x14ac:dyDescent="0.25">
      <c r="F262" s="239"/>
      <c r="H262" s="245"/>
      <c r="I262" s="32"/>
      <c r="J262" s="245"/>
      <c r="K262" s="245"/>
      <c r="L262" s="32"/>
      <c r="EB262" s="252"/>
    </row>
    <row r="263" spans="6:132" x14ac:dyDescent="0.25">
      <c r="F263" s="239"/>
      <c r="H263" s="245"/>
      <c r="I263" s="32"/>
      <c r="J263" s="245"/>
      <c r="K263" s="245"/>
      <c r="L263" s="32"/>
      <c r="EB263" s="252"/>
    </row>
    <row r="264" spans="6:132" x14ac:dyDescent="0.25">
      <c r="F264" s="239"/>
      <c r="H264" s="245"/>
      <c r="I264" s="32"/>
      <c r="J264" s="245"/>
      <c r="K264" s="245"/>
      <c r="L264" s="32"/>
      <c r="EB264" s="252"/>
    </row>
    <row r="265" spans="6:132" x14ac:dyDescent="0.25">
      <c r="F265" s="239"/>
      <c r="H265" s="245"/>
      <c r="I265" s="32"/>
      <c r="J265" s="245"/>
      <c r="K265" s="245"/>
      <c r="L265" s="32"/>
      <c r="EB265" s="252"/>
    </row>
    <row r="266" spans="6:132" x14ac:dyDescent="0.25">
      <c r="F266" s="239"/>
      <c r="H266" s="245"/>
      <c r="I266" s="32"/>
      <c r="J266" s="245"/>
      <c r="K266" s="245"/>
      <c r="L266" s="32"/>
      <c r="EB266" s="252"/>
    </row>
    <row r="267" spans="6:132" x14ac:dyDescent="0.25">
      <c r="F267" s="239"/>
      <c r="H267" s="245"/>
      <c r="I267" s="32"/>
      <c r="J267" s="245"/>
      <c r="K267" s="245"/>
      <c r="L267" s="32"/>
      <c r="EB267" s="252"/>
    </row>
    <row r="268" spans="6:132" x14ac:dyDescent="0.25">
      <c r="F268" s="239"/>
      <c r="H268" s="245"/>
      <c r="I268" s="32"/>
      <c r="J268" s="245"/>
      <c r="K268" s="245"/>
      <c r="L268" s="32"/>
      <c r="EB268" s="252"/>
    </row>
    <row r="269" spans="6:132" x14ac:dyDescent="0.25">
      <c r="F269" s="239"/>
      <c r="H269" s="245"/>
      <c r="I269" s="32"/>
      <c r="J269" s="245"/>
      <c r="K269" s="245"/>
      <c r="L269" s="32"/>
      <c r="EB269" s="252"/>
    </row>
    <row r="270" spans="6:132" x14ac:dyDescent="0.25">
      <c r="F270" s="239"/>
      <c r="H270" s="245"/>
      <c r="I270" s="32"/>
      <c r="J270" s="245"/>
      <c r="K270" s="245"/>
      <c r="L270" s="32"/>
      <c r="EB270" s="252"/>
    </row>
    <row r="271" spans="6:132" x14ac:dyDescent="0.25">
      <c r="F271" s="239"/>
      <c r="H271" s="245"/>
      <c r="I271" s="32"/>
      <c r="J271" s="245"/>
      <c r="K271" s="245"/>
      <c r="L271" s="32"/>
      <c r="EB271" s="252"/>
    </row>
    <row r="272" spans="6:132" x14ac:dyDescent="0.25">
      <c r="F272" s="239"/>
      <c r="H272" s="245"/>
      <c r="I272" s="32"/>
      <c r="J272" s="245"/>
      <c r="K272" s="245"/>
      <c r="L272" s="32"/>
      <c r="EB272" s="252"/>
    </row>
    <row r="273" spans="6:132" x14ac:dyDescent="0.25">
      <c r="F273" s="239"/>
      <c r="H273" s="245"/>
      <c r="I273" s="32"/>
      <c r="J273" s="245"/>
      <c r="K273" s="245"/>
      <c r="L273" s="32"/>
      <c r="EB273" s="252"/>
    </row>
    <row r="274" spans="6:132" x14ac:dyDescent="0.25">
      <c r="F274" s="239"/>
      <c r="H274" s="245"/>
      <c r="I274" s="32"/>
      <c r="J274" s="245"/>
      <c r="K274" s="245"/>
      <c r="L274" s="32"/>
      <c r="EB274" s="252"/>
    </row>
    <row r="275" spans="6:132" x14ac:dyDescent="0.25">
      <c r="F275" s="239"/>
      <c r="H275" s="245"/>
      <c r="I275" s="32"/>
      <c r="J275" s="245"/>
      <c r="K275" s="245"/>
      <c r="L275" s="32"/>
      <c r="EB275" s="252"/>
    </row>
    <row r="276" spans="6:132" x14ac:dyDescent="0.25">
      <c r="F276" s="239"/>
      <c r="H276" s="245"/>
      <c r="I276" s="32"/>
      <c r="J276" s="245"/>
      <c r="K276" s="245"/>
      <c r="L276" s="32"/>
      <c r="EB276" s="252"/>
    </row>
    <row r="277" spans="6:132" x14ac:dyDescent="0.25">
      <c r="F277" s="239"/>
      <c r="H277" s="245"/>
      <c r="I277" s="32"/>
      <c r="J277" s="245"/>
      <c r="K277" s="245"/>
      <c r="L277" s="32"/>
      <c r="EB277" s="252"/>
    </row>
    <row r="278" spans="6:132" x14ac:dyDescent="0.25">
      <c r="F278" s="239"/>
      <c r="H278" s="245"/>
      <c r="I278" s="32"/>
      <c r="J278" s="245"/>
      <c r="K278" s="245"/>
      <c r="L278" s="32"/>
      <c r="EB278" s="252"/>
    </row>
    <row r="279" spans="6:132" x14ac:dyDescent="0.25">
      <c r="F279" s="239"/>
      <c r="H279" s="245"/>
      <c r="I279" s="32"/>
      <c r="J279" s="245"/>
      <c r="K279" s="245"/>
      <c r="L279" s="32"/>
      <c r="EB279" s="252"/>
    </row>
    <row r="280" spans="6:132" x14ac:dyDescent="0.25">
      <c r="F280" s="239"/>
      <c r="H280" s="245"/>
      <c r="I280" s="32"/>
      <c r="J280" s="245"/>
      <c r="K280" s="245"/>
      <c r="L280" s="32"/>
      <c r="EB280" s="252"/>
    </row>
    <row r="281" spans="6:132" x14ac:dyDescent="0.25">
      <c r="F281" s="239"/>
      <c r="H281" s="245"/>
      <c r="I281" s="32"/>
      <c r="J281" s="245"/>
      <c r="K281" s="245"/>
      <c r="L281" s="32"/>
      <c r="EB281" s="252"/>
    </row>
    <row r="282" spans="6:132" x14ac:dyDescent="0.25">
      <c r="F282" s="239"/>
      <c r="H282" s="245"/>
      <c r="I282" s="32"/>
      <c r="J282" s="245"/>
      <c r="K282" s="245"/>
      <c r="L282" s="32"/>
      <c r="EB282" s="252"/>
    </row>
    <row r="283" spans="6:132" x14ac:dyDescent="0.25">
      <c r="F283" s="239"/>
      <c r="H283" s="245"/>
      <c r="I283" s="32"/>
      <c r="J283" s="245"/>
      <c r="K283" s="245"/>
      <c r="L283" s="32"/>
      <c r="EB283" s="252"/>
    </row>
    <row r="284" spans="6:132" x14ac:dyDescent="0.25">
      <c r="F284" s="239"/>
      <c r="H284" s="245"/>
      <c r="I284" s="32"/>
      <c r="J284" s="245"/>
      <c r="K284" s="245"/>
      <c r="L284" s="32"/>
      <c r="EB284" s="252"/>
    </row>
    <row r="285" spans="6:132" x14ac:dyDescent="0.25">
      <c r="F285" s="239"/>
      <c r="H285" s="245"/>
      <c r="I285" s="32"/>
      <c r="J285" s="245"/>
      <c r="K285" s="245"/>
      <c r="L285" s="32"/>
      <c r="EB285" s="252"/>
    </row>
    <row r="286" spans="6:132" x14ac:dyDescent="0.25">
      <c r="F286" s="239"/>
      <c r="H286" s="245"/>
      <c r="I286" s="32"/>
      <c r="J286" s="245"/>
      <c r="K286" s="245"/>
      <c r="L286" s="32"/>
      <c r="EB286" s="252"/>
    </row>
    <row r="287" spans="6:132" x14ac:dyDescent="0.25">
      <c r="F287" s="239"/>
      <c r="H287" s="245"/>
      <c r="I287" s="32"/>
      <c r="J287" s="245"/>
      <c r="K287" s="245"/>
      <c r="L287" s="32"/>
      <c r="EB287" s="252"/>
    </row>
    <row r="288" spans="6:132" x14ac:dyDescent="0.25">
      <c r="F288" s="239"/>
      <c r="H288" s="245"/>
      <c r="I288" s="32"/>
      <c r="J288" s="245"/>
      <c r="K288" s="245"/>
      <c r="L288" s="32"/>
      <c r="EB288" s="252"/>
    </row>
    <row r="289" spans="6:132" x14ac:dyDescent="0.25">
      <c r="F289" s="239"/>
      <c r="H289" s="245"/>
      <c r="I289" s="32"/>
      <c r="J289" s="245"/>
      <c r="K289" s="245"/>
      <c r="L289" s="32"/>
      <c r="EB289" s="252"/>
    </row>
    <row r="290" spans="6:132" x14ac:dyDescent="0.25">
      <c r="F290" s="239"/>
      <c r="H290" s="245"/>
      <c r="I290" s="32"/>
      <c r="J290" s="245"/>
      <c r="K290" s="245"/>
      <c r="L290" s="32"/>
      <c r="EB290" s="252"/>
    </row>
    <row r="291" spans="6:132" x14ac:dyDescent="0.25">
      <c r="F291" s="239"/>
      <c r="H291" s="245"/>
      <c r="I291" s="32"/>
      <c r="J291" s="245"/>
      <c r="K291" s="245"/>
      <c r="L291" s="32"/>
      <c r="EB291" s="252"/>
    </row>
    <row r="292" spans="6:132" x14ac:dyDescent="0.25">
      <c r="F292" s="239"/>
      <c r="H292" s="245"/>
      <c r="I292" s="32"/>
      <c r="J292" s="245"/>
      <c r="K292" s="245"/>
      <c r="L292" s="32"/>
      <c r="EB292" s="252"/>
    </row>
    <row r="293" spans="6:132" x14ac:dyDescent="0.25">
      <c r="F293" s="239"/>
      <c r="H293" s="245"/>
      <c r="I293" s="32"/>
      <c r="J293" s="245"/>
      <c r="K293" s="245"/>
      <c r="L293" s="32"/>
      <c r="EB293" s="252"/>
    </row>
    <row r="294" spans="6:132" x14ac:dyDescent="0.25">
      <c r="F294" s="239"/>
      <c r="H294" s="245"/>
      <c r="I294" s="32"/>
      <c r="J294" s="245"/>
      <c r="K294" s="245"/>
      <c r="L294" s="32"/>
      <c r="EB294" s="252"/>
    </row>
    <row r="295" spans="6:132" x14ac:dyDescent="0.25">
      <c r="F295" s="239"/>
      <c r="H295" s="245"/>
      <c r="I295" s="32"/>
      <c r="J295" s="245"/>
      <c r="K295" s="245"/>
      <c r="L295" s="32"/>
      <c r="EB295" s="252"/>
    </row>
    <row r="296" spans="6:132" x14ac:dyDescent="0.25">
      <c r="F296" s="239"/>
      <c r="H296" s="245"/>
      <c r="I296" s="32"/>
      <c r="J296" s="245"/>
      <c r="K296" s="245"/>
      <c r="L296" s="32"/>
      <c r="EB296" s="252"/>
    </row>
    <row r="297" spans="6:132" x14ac:dyDescent="0.25">
      <c r="F297" s="239"/>
      <c r="H297" s="245"/>
      <c r="I297" s="32"/>
      <c r="J297" s="245"/>
      <c r="K297" s="245"/>
      <c r="L297" s="32"/>
      <c r="EB297" s="252"/>
    </row>
    <row r="298" spans="6:132" x14ac:dyDescent="0.25">
      <c r="F298" s="239"/>
      <c r="H298" s="245"/>
      <c r="I298" s="32"/>
      <c r="J298" s="245"/>
      <c r="K298" s="245"/>
      <c r="L298" s="32"/>
      <c r="EB298" s="252"/>
    </row>
    <row r="299" spans="6:132" x14ac:dyDescent="0.25">
      <c r="F299" s="239"/>
      <c r="H299" s="245"/>
      <c r="I299" s="32"/>
      <c r="J299" s="245"/>
      <c r="K299" s="245"/>
      <c r="L299" s="32"/>
      <c r="EB299" s="252"/>
    </row>
    <row r="300" spans="6:132" x14ac:dyDescent="0.25">
      <c r="F300" s="239"/>
      <c r="H300" s="245"/>
      <c r="I300" s="32"/>
      <c r="J300" s="245"/>
      <c r="K300" s="245"/>
      <c r="L300" s="32"/>
      <c r="EB300" s="252"/>
    </row>
    <row r="301" spans="6:132" x14ac:dyDescent="0.25">
      <c r="F301" s="239"/>
      <c r="H301" s="245"/>
      <c r="I301" s="32"/>
      <c r="J301" s="245"/>
      <c r="K301" s="245"/>
      <c r="L301" s="32"/>
      <c r="EB301" s="252"/>
    </row>
    <row r="302" spans="6:132" x14ac:dyDescent="0.25">
      <c r="F302" s="239"/>
      <c r="H302" s="245"/>
      <c r="I302" s="32"/>
      <c r="J302" s="245"/>
      <c r="K302" s="245"/>
      <c r="L302" s="32"/>
      <c r="EB302" s="252"/>
    </row>
    <row r="303" spans="6:132" x14ac:dyDescent="0.25">
      <c r="F303" s="239"/>
      <c r="H303" s="245"/>
      <c r="I303" s="32"/>
      <c r="J303" s="245"/>
      <c r="K303" s="245"/>
      <c r="L303" s="32"/>
      <c r="EB303" s="252"/>
    </row>
    <row r="304" spans="6:132" x14ac:dyDescent="0.25">
      <c r="F304" s="239"/>
      <c r="H304" s="245"/>
      <c r="I304" s="32"/>
      <c r="J304" s="245"/>
      <c r="K304" s="245"/>
      <c r="L304" s="32"/>
      <c r="EB304" s="252"/>
    </row>
    <row r="305" spans="6:132" x14ac:dyDescent="0.25">
      <c r="F305" s="239"/>
      <c r="H305" s="245"/>
      <c r="I305" s="32"/>
      <c r="J305" s="245"/>
      <c r="K305" s="245"/>
      <c r="L305" s="32"/>
      <c r="EB305" s="252"/>
    </row>
    <row r="306" spans="6:132" x14ac:dyDescent="0.25">
      <c r="F306" s="239"/>
      <c r="H306" s="245"/>
      <c r="I306" s="32"/>
      <c r="J306" s="245"/>
      <c r="K306" s="245"/>
      <c r="L306" s="32"/>
      <c r="EB306" s="252"/>
    </row>
    <row r="307" spans="6:132" x14ac:dyDescent="0.25">
      <c r="F307" s="239"/>
      <c r="H307" s="245"/>
      <c r="I307" s="32"/>
      <c r="J307" s="245"/>
      <c r="K307" s="245"/>
      <c r="L307" s="32"/>
      <c r="EB307" s="252"/>
    </row>
    <row r="308" spans="6:132" x14ac:dyDescent="0.25">
      <c r="F308" s="239"/>
      <c r="H308" s="245"/>
      <c r="I308" s="32"/>
      <c r="J308" s="245"/>
      <c r="K308" s="245"/>
      <c r="L308" s="32"/>
      <c r="EB308" s="252"/>
    </row>
    <row r="309" spans="6:132" x14ac:dyDescent="0.25">
      <c r="F309" s="239"/>
      <c r="H309" s="245"/>
      <c r="I309" s="32"/>
      <c r="J309" s="245"/>
      <c r="K309" s="245"/>
      <c r="L309" s="32"/>
      <c r="EB309" s="252"/>
    </row>
    <row r="310" spans="6:132" x14ac:dyDescent="0.25">
      <c r="F310" s="239"/>
      <c r="H310" s="245"/>
      <c r="I310" s="32"/>
      <c r="J310" s="245"/>
      <c r="K310" s="245"/>
      <c r="L310" s="32"/>
      <c r="EB310" s="252"/>
    </row>
    <row r="311" spans="6:132" x14ac:dyDescent="0.25">
      <c r="F311" s="239"/>
      <c r="H311" s="245"/>
      <c r="I311" s="32"/>
      <c r="J311" s="245"/>
      <c r="K311" s="245"/>
      <c r="L311" s="32"/>
      <c r="EB311" s="252"/>
    </row>
    <row r="312" spans="6:132" x14ac:dyDescent="0.25">
      <c r="F312" s="239"/>
      <c r="H312" s="245"/>
      <c r="I312" s="32"/>
      <c r="J312" s="245"/>
      <c r="K312" s="245"/>
      <c r="L312" s="32"/>
      <c r="EB312" s="252"/>
    </row>
    <row r="313" spans="6:132" x14ac:dyDescent="0.25">
      <c r="F313" s="239"/>
      <c r="H313" s="245"/>
      <c r="I313" s="32"/>
      <c r="J313" s="245"/>
      <c r="K313" s="245"/>
      <c r="L313" s="32"/>
      <c r="EB313" s="252"/>
    </row>
    <row r="314" spans="6:132" x14ac:dyDescent="0.25">
      <c r="F314" s="239"/>
      <c r="H314" s="245"/>
      <c r="I314" s="32"/>
      <c r="J314" s="245"/>
      <c r="K314" s="245"/>
      <c r="L314" s="32"/>
      <c r="EB314" s="252"/>
    </row>
    <row r="315" spans="6:132" x14ac:dyDescent="0.25">
      <c r="F315" s="239"/>
      <c r="H315" s="245"/>
      <c r="I315" s="32"/>
      <c r="J315" s="245"/>
      <c r="K315" s="245"/>
      <c r="L315" s="32"/>
      <c r="EB315" s="252"/>
    </row>
    <row r="316" spans="6:132" x14ac:dyDescent="0.25">
      <c r="F316" s="239"/>
      <c r="H316" s="245"/>
      <c r="I316" s="32"/>
      <c r="J316" s="245"/>
      <c r="K316" s="245"/>
      <c r="L316" s="32"/>
      <c r="EB316" s="252"/>
    </row>
    <row r="317" spans="6:132" x14ac:dyDescent="0.25">
      <c r="F317" s="239"/>
      <c r="H317" s="245"/>
      <c r="I317" s="32"/>
      <c r="J317" s="245"/>
      <c r="K317" s="245"/>
      <c r="L317" s="32"/>
      <c r="EB317" s="252"/>
    </row>
    <row r="318" spans="6:132" x14ac:dyDescent="0.25">
      <c r="F318" s="239"/>
      <c r="H318" s="245"/>
      <c r="I318" s="32"/>
      <c r="J318" s="245"/>
      <c r="K318" s="245"/>
      <c r="L318" s="32"/>
      <c r="EB318" s="252"/>
    </row>
    <row r="319" spans="6:132" x14ac:dyDescent="0.25">
      <c r="F319" s="239"/>
      <c r="H319" s="245"/>
      <c r="I319" s="32"/>
      <c r="J319" s="245"/>
      <c r="K319" s="245"/>
      <c r="L319" s="32"/>
      <c r="EB319" s="252"/>
    </row>
    <row r="320" spans="6:132" x14ac:dyDescent="0.25">
      <c r="F320" s="239"/>
      <c r="H320" s="245"/>
      <c r="I320" s="32"/>
      <c r="J320" s="245"/>
      <c r="K320" s="245"/>
      <c r="L320" s="32"/>
    </row>
    <row r="321" spans="6:12" x14ac:dyDescent="0.25">
      <c r="F321" s="239"/>
      <c r="H321" s="245"/>
      <c r="I321" s="32"/>
      <c r="J321" s="245"/>
      <c r="K321" s="245"/>
      <c r="L321" s="32"/>
    </row>
    <row r="322" spans="6:12" x14ac:dyDescent="0.25">
      <c r="F322" s="239"/>
      <c r="H322" s="245"/>
      <c r="I322" s="32"/>
      <c r="J322" s="245"/>
      <c r="K322" s="245"/>
      <c r="L322" s="32"/>
    </row>
    <row r="323" spans="6:12" x14ac:dyDescent="0.25">
      <c r="F323" s="239"/>
      <c r="H323" s="245"/>
      <c r="I323" s="32"/>
      <c r="J323" s="245"/>
      <c r="K323" s="245"/>
      <c r="L323" s="32"/>
    </row>
    <row r="324" spans="6:12" x14ac:dyDescent="0.25">
      <c r="F324" s="239"/>
      <c r="H324" s="245"/>
      <c r="I324" s="32"/>
      <c r="J324" s="245"/>
      <c r="K324" s="245"/>
      <c r="L324" s="32"/>
    </row>
    <row r="325" spans="6:12" x14ac:dyDescent="0.25">
      <c r="F325" s="239"/>
      <c r="H325" s="245"/>
      <c r="I325" s="32"/>
      <c r="J325" s="245"/>
      <c r="K325" s="245"/>
      <c r="L325" s="32"/>
    </row>
    <row r="326" spans="6:12" x14ac:dyDescent="0.25">
      <c r="F326" s="239"/>
      <c r="H326" s="245"/>
      <c r="I326" s="32"/>
      <c r="J326" s="245"/>
      <c r="K326" s="245"/>
      <c r="L326" s="32"/>
    </row>
    <row r="327" spans="6:12" x14ac:dyDescent="0.25">
      <c r="F327" s="239"/>
      <c r="H327" s="245"/>
      <c r="I327" s="32"/>
      <c r="J327" s="245"/>
      <c r="K327" s="245"/>
      <c r="L327" s="32"/>
    </row>
    <row r="328" spans="6:12" x14ac:dyDescent="0.25">
      <c r="F328" s="239"/>
      <c r="H328" s="245"/>
      <c r="I328" s="32"/>
      <c r="J328" s="245"/>
      <c r="K328" s="245"/>
      <c r="L328" s="32"/>
    </row>
    <row r="329" spans="6:12" x14ac:dyDescent="0.25">
      <c r="F329" s="239"/>
      <c r="H329" s="245"/>
      <c r="I329" s="32"/>
      <c r="J329" s="245"/>
      <c r="K329" s="245"/>
      <c r="L329" s="32"/>
    </row>
    <row r="330" spans="6:12" x14ac:dyDescent="0.25">
      <c r="F330" s="239"/>
      <c r="H330" s="245"/>
      <c r="I330" s="32"/>
      <c r="J330" s="245"/>
      <c r="K330" s="245"/>
      <c r="L330" s="32"/>
    </row>
    <row r="331" spans="6:12" x14ac:dyDescent="0.25">
      <c r="F331" s="239"/>
      <c r="H331" s="245"/>
      <c r="I331" s="32"/>
      <c r="J331" s="245"/>
      <c r="K331" s="245"/>
      <c r="L331" s="32"/>
    </row>
    <row r="332" spans="6:12" x14ac:dyDescent="0.25">
      <c r="F332" s="239"/>
      <c r="H332" s="245"/>
      <c r="I332" s="32"/>
      <c r="J332" s="245"/>
      <c r="K332" s="245"/>
      <c r="L332" s="32"/>
    </row>
    <row r="333" spans="6:12" x14ac:dyDescent="0.25">
      <c r="F333" s="239"/>
      <c r="H333" s="245"/>
      <c r="I333" s="32"/>
      <c r="J333" s="245"/>
      <c r="K333" s="245"/>
      <c r="L333" s="32"/>
    </row>
    <row r="334" spans="6:12" x14ac:dyDescent="0.25">
      <c r="F334" s="239"/>
      <c r="H334" s="245"/>
      <c r="I334" s="32"/>
      <c r="J334" s="245"/>
      <c r="K334" s="245"/>
      <c r="L334" s="32"/>
    </row>
    <row r="335" spans="6:12" x14ac:dyDescent="0.25">
      <c r="F335" s="239"/>
      <c r="H335" s="245"/>
      <c r="I335" s="32"/>
      <c r="J335" s="245"/>
      <c r="K335" s="245"/>
      <c r="L335" s="32"/>
    </row>
    <row r="336" spans="6:12" x14ac:dyDescent="0.25">
      <c r="F336" s="239"/>
      <c r="H336" s="245"/>
      <c r="I336" s="32"/>
      <c r="J336" s="245"/>
      <c r="K336" s="245"/>
      <c r="L336" s="32"/>
    </row>
    <row r="337" spans="6:12" x14ac:dyDescent="0.25">
      <c r="F337" s="239"/>
      <c r="H337" s="245"/>
      <c r="I337" s="32"/>
      <c r="J337" s="245"/>
      <c r="K337" s="245"/>
      <c r="L337" s="32"/>
    </row>
    <row r="338" spans="6:12" x14ac:dyDescent="0.25">
      <c r="F338" s="239"/>
      <c r="H338" s="245"/>
      <c r="I338" s="32"/>
      <c r="J338" s="245"/>
      <c r="K338" s="245"/>
      <c r="L338" s="32"/>
    </row>
    <row r="339" spans="6:12" x14ac:dyDescent="0.25">
      <c r="F339" s="239"/>
      <c r="H339" s="245"/>
      <c r="I339" s="32"/>
      <c r="J339" s="245"/>
      <c r="K339" s="245"/>
      <c r="L339" s="32"/>
    </row>
    <row r="340" spans="6:12" x14ac:dyDescent="0.25">
      <c r="F340" s="239"/>
      <c r="H340" s="245"/>
      <c r="I340" s="32"/>
      <c r="J340" s="245"/>
      <c r="K340" s="245"/>
      <c r="L340" s="32"/>
    </row>
    <row r="341" spans="6:12" x14ac:dyDescent="0.25">
      <c r="F341" s="239"/>
      <c r="H341" s="245"/>
      <c r="I341" s="32"/>
      <c r="J341" s="245"/>
      <c r="K341" s="245"/>
      <c r="L341" s="32"/>
    </row>
    <row r="342" spans="6:12" x14ac:dyDescent="0.25">
      <c r="F342" s="239"/>
      <c r="H342" s="245"/>
      <c r="I342" s="32"/>
      <c r="J342" s="245"/>
      <c r="K342" s="245"/>
      <c r="L342" s="32"/>
    </row>
    <row r="343" spans="6:12" x14ac:dyDescent="0.25">
      <c r="F343" s="239"/>
      <c r="H343" s="245"/>
      <c r="I343" s="32"/>
      <c r="J343" s="245"/>
      <c r="K343" s="245"/>
      <c r="L343" s="32"/>
    </row>
    <row r="344" spans="6:12" x14ac:dyDescent="0.25">
      <c r="F344" s="239"/>
      <c r="H344" s="245"/>
      <c r="I344" s="32"/>
      <c r="J344" s="245"/>
      <c r="K344" s="245"/>
      <c r="L344" s="32"/>
    </row>
    <row r="345" spans="6:12" x14ac:dyDescent="0.25">
      <c r="F345" s="239"/>
      <c r="H345" s="245"/>
      <c r="I345" s="32"/>
      <c r="J345" s="245"/>
      <c r="K345" s="245"/>
      <c r="L345" s="32"/>
    </row>
    <row r="346" spans="6:12" x14ac:dyDescent="0.25">
      <c r="F346" s="239"/>
      <c r="H346" s="245"/>
      <c r="I346" s="32"/>
      <c r="J346" s="245"/>
      <c r="K346" s="245"/>
      <c r="L346" s="32"/>
    </row>
    <row r="347" spans="6:12" x14ac:dyDescent="0.25">
      <c r="F347" s="239"/>
      <c r="H347" s="245"/>
      <c r="I347" s="32"/>
      <c r="J347" s="245"/>
      <c r="K347" s="245"/>
      <c r="L347" s="32"/>
    </row>
    <row r="348" spans="6:12" x14ac:dyDescent="0.25">
      <c r="F348" s="239"/>
      <c r="H348" s="245"/>
      <c r="I348" s="32"/>
      <c r="J348" s="245"/>
      <c r="K348" s="245"/>
      <c r="L348" s="32"/>
    </row>
    <row r="349" spans="6:12" x14ac:dyDescent="0.25">
      <c r="F349" s="239"/>
      <c r="H349" s="245"/>
      <c r="I349" s="32"/>
      <c r="J349" s="245"/>
      <c r="K349" s="245"/>
      <c r="L349" s="32"/>
    </row>
    <row r="350" spans="6:12" x14ac:dyDescent="0.25">
      <c r="F350" s="239"/>
      <c r="H350" s="245"/>
      <c r="I350" s="32"/>
      <c r="J350" s="245"/>
      <c r="K350" s="245"/>
      <c r="L350" s="32"/>
    </row>
    <row r="351" spans="6:12" x14ac:dyDescent="0.25">
      <c r="F351" s="239"/>
      <c r="H351" s="245"/>
      <c r="I351" s="32"/>
      <c r="J351" s="245"/>
      <c r="K351" s="245"/>
      <c r="L351" s="32"/>
    </row>
    <row r="352" spans="6:12" x14ac:dyDescent="0.25">
      <c r="F352" s="239"/>
      <c r="H352" s="245"/>
      <c r="I352" s="32"/>
      <c r="J352" s="245"/>
      <c r="K352" s="245"/>
      <c r="L352" s="32"/>
    </row>
    <row r="353" spans="6:12" x14ac:dyDescent="0.25">
      <c r="F353" s="239"/>
      <c r="H353" s="245"/>
      <c r="I353" s="32"/>
      <c r="J353" s="245"/>
      <c r="K353" s="245"/>
      <c r="L353" s="32"/>
    </row>
    <row r="354" spans="6:12" x14ac:dyDescent="0.25">
      <c r="F354" s="239"/>
      <c r="H354" s="245"/>
      <c r="I354" s="32"/>
      <c r="J354" s="245"/>
      <c r="K354" s="245"/>
      <c r="L354" s="32"/>
    </row>
    <row r="355" spans="6:12" x14ac:dyDescent="0.25">
      <c r="F355" s="239"/>
      <c r="H355" s="245"/>
      <c r="I355" s="32"/>
      <c r="J355" s="245"/>
      <c r="K355" s="245"/>
      <c r="L355" s="32"/>
    </row>
    <row r="356" spans="6:12" x14ac:dyDescent="0.25">
      <c r="F356" s="239"/>
      <c r="H356" s="245"/>
      <c r="I356" s="32"/>
      <c r="J356" s="245"/>
      <c r="K356" s="245"/>
      <c r="L356" s="32"/>
    </row>
    <row r="357" spans="6:12" x14ac:dyDescent="0.25">
      <c r="F357" s="239"/>
      <c r="H357" s="245"/>
      <c r="I357" s="32"/>
      <c r="J357" s="245"/>
      <c r="K357" s="245"/>
      <c r="L357" s="32"/>
    </row>
    <row r="358" spans="6:12" x14ac:dyDescent="0.25">
      <c r="F358" s="239"/>
      <c r="H358" s="245"/>
      <c r="I358" s="32"/>
      <c r="J358" s="245"/>
      <c r="K358" s="245"/>
      <c r="L358" s="32"/>
    </row>
    <row r="359" spans="6:12" x14ac:dyDescent="0.25">
      <c r="F359" s="239"/>
      <c r="H359" s="245"/>
      <c r="I359" s="32"/>
      <c r="J359" s="245"/>
      <c r="K359" s="245"/>
      <c r="L359" s="32"/>
    </row>
    <row r="360" spans="6:12" x14ac:dyDescent="0.25">
      <c r="F360" s="239"/>
      <c r="H360" s="245"/>
      <c r="I360" s="32"/>
      <c r="J360" s="245"/>
      <c r="K360" s="245"/>
      <c r="L360" s="32"/>
    </row>
    <row r="361" spans="6:12" x14ac:dyDescent="0.25">
      <c r="F361" s="239"/>
      <c r="H361" s="245"/>
      <c r="I361" s="32"/>
      <c r="J361" s="245"/>
      <c r="K361" s="245"/>
      <c r="L361" s="32"/>
    </row>
    <row r="362" spans="6:12" x14ac:dyDescent="0.25">
      <c r="F362" s="239"/>
      <c r="H362" s="245"/>
      <c r="I362" s="32"/>
      <c r="J362" s="245"/>
      <c r="K362" s="245"/>
      <c r="L362" s="32"/>
    </row>
    <row r="363" spans="6:12" x14ac:dyDescent="0.25">
      <c r="F363" s="239"/>
      <c r="H363" s="245"/>
      <c r="I363" s="32"/>
      <c r="J363" s="245"/>
      <c r="K363" s="245"/>
      <c r="L363" s="32"/>
    </row>
    <row r="364" spans="6:12" x14ac:dyDescent="0.25">
      <c r="F364" s="239"/>
      <c r="H364" s="245"/>
      <c r="I364" s="32"/>
      <c r="J364" s="245"/>
      <c r="K364" s="245"/>
      <c r="L364" s="32"/>
    </row>
    <row r="365" spans="6:12" x14ac:dyDescent="0.25">
      <c r="F365" s="239"/>
      <c r="H365" s="245"/>
      <c r="I365" s="32"/>
      <c r="J365" s="245"/>
      <c r="K365" s="245"/>
      <c r="L365" s="32"/>
    </row>
    <row r="366" spans="6:12" x14ac:dyDescent="0.25">
      <c r="F366" s="239"/>
      <c r="H366" s="245"/>
      <c r="I366" s="32"/>
      <c r="J366" s="245"/>
      <c r="K366" s="245"/>
      <c r="L366" s="32"/>
    </row>
    <row r="367" spans="6:12" x14ac:dyDescent="0.25">
      <c r="F367" s="239"/>
      <c r="H367" s="245"/>
      <c r="I367" s="32"/>
      <c r="J367" s="245"/>
      <c r="K367" s="245"/>
      <c r="L367" s="32"/>
    </row>
    <row r="368" spans="6:12" x14ac:dyDescent="0.25">
      <c r="F368" s="239"/>
      <c r="H368" s="245"/>
      <c r="I368" s="32"/>
      <c r="J368" s="245"/>
      <c r="K368" s="245"/>
      <c r="L368" s="32"/>
    </row>
    <row r="369" spans="6:12" x14ac:dyDescent="0.25">
      <c r="F369" s="239"/>
      <c r="H369" s="245"/>
      <c r="I369" s="32"/>
      <c r="J369" s="245"/>
      <c r="K369" s="245"/>
      <c r="L369" s="32"/>
    </row>
    <row r="370" spans="6:12" x14ac:dyDescent="0.25">
      <c r="F370" s="239"/>
      <c r="H370" s="245"/>
      <c r="I370" s="32"/>
      <c r="J370" s="245"/>
      <c r="K370" s="245"/>
      <c r="L370" s="32"/>
    </row>
    <row r="371" spans="6:12" x14ac:dyDescent="0.25">
      <c r="F371" s="239"/>
      <c r="H371" s="245"/>
      <c r="I371" s="32"/>
      <c r="J371" s="245"/>
      <c r="K371" s="245"/>
      <c r="L371" s="32"/>
    </row>
    <row r="372" spans="6:12" x14ac:dyDescent="0.25">
      <c r="F372" s="239"/>
      <c r="H372" s="245"/>
      <c r="I372" s="32"/>
      <c r="J372" s="245"/>
      <c r="K372" s="245"/>
      <c r="L372" s="32"/>
    </row>
    <row r="373" spans="6:12" x14ac:dyDescent="0.25">
      <c r="F373" s="239"/>
      <c r="H373" s="245"/>
      <c r="I373" s="32"/>
      <c r="J373" s="245"/>
      <c r="K373" s="245"/>
      <c r="L373" s="32"/>
    </row>
    <row r="374" spans="6:12" x14ac:dyDescent="0.25">
      <c r="F374" s="239"/>
      <c r="H374" s="245"/>
      <c r="I374" s="32"/>
      <c r="J374" s="245"/>
      <c r="K374" s="245"/>
      <c r="L374" s="32"/>
    </row>
    <row r="375" spans="6:12" x14ac:dyDescent="0.25">
      <c r="F375" s="239"/>
      <c r="H375" s="245"/>
      <c r="I375" s="32"/>
      <c r="J375" s="245"/>
      <c r="K375" s="245"/>
      <c r="L375" s="32"/>
    </row>
    <row r="376" spans="6:12" x14ac:dyDescent="0.25">
      <c r="F376" s="239"/>
      <c r="H376" s="245"/>
      <c r="I376" s="32"/>
      <c r="J376" s="245"/>
      <c r="K376" s="245"/>
      <c r="L376" s="32"/>
    </row>
    <row r="377" spans="6:12" x14ac:dyDescent="0.25">
      <c r="F377" s="239"/>
      <c r="H377" s="245"/>
      <c r="I377" s="32"/>
      <c r="J377" s="245"/>
      <c r="K377" s="245"/>
      <c r="L377" s="32"/>
    </row>
    <row r="378" spans="6:12" x14ac:dyDescent="0.25">
      <c r="F378" s="239"/>
      <c r="H378" s="245"/>
      <c r="I378" s="32"/>
      <c r="J378" s="245"/>
      <c r="K378" s="245"/>
      <c r="L378" s="32"/>
    </row>
    <row r="379" spans="6:12" x14ac:dyDescent="0.25">
      <c r="F379" s="239"/>
      <c r="H379" s="245"/>
      <c r="I379" s="32"/>
      <c r="J379" s="245"/>
      <c r="K379" s="245"/>
      <c r="L379" s="32"/>
    </row>
    <row r="380" spans="6:12" x14ac:dyDescent="0.25">
      <c r="F380" s="239"/>
      <c r="H380" s="245"/>
      <c r="I380" s="32"/>
      <c r="J380" s="245"/>
      <c r="K380" s="245"/>
      <c r="L380" s="32"/>
    </row>
    <row r="381" spans="6:12" x14ac:dyDescent="0.25">
      <c r="F381" s="239"/>
      <c r="H381" s="245"/>
      <c r="I381" s="32"/>
      <c r="J381" s="245"/>
      <c r="K381" s="245"/>
      <c r="L381" s="32"/>
    </row>
    <row r="382" spans="6:12" x14ac:dyDescent="0.25">
      <c r="F382" s="239"/>
      <c r="H382" s="245"/>
      <c r="I382" s="32"/>
      <c r="J382" s="245"/>
      <c r="K382" s="245"/>
      <c r="L382" s="32"/>
    </row>
    <row r="383" spans="6:12" x14ac:dyDescent="0.25">
      <c r="F383" s="239"/>
      <c r="H383" s="245"/>
      <c r="I383" s="32"/>
      <c r="J383" s="245"/>
      <c r="K383" s="245"/>
      <c r="L383" s="32"/>
    </row>
    <row r="384" spans="6:12" x14ac:dyDescent="0.25">
      <c r="F384" s="239"/>
      <c r="H384" s="245"/>
      <c r="I384" s="32"/>
      <c r="J384" s="245"/>
      <c r="K384" s="245"/>
      <c r="L384" s="32"/>
    </row>
    <row r="385" spans="6:12" x14ac:dyDescent="0.25">
      <c r="F385" s="239"/>
      <c r="H385" s="245"/>
      <c r="I385" s="32"/>
      <c r="J385" s="245"/>
      <c r="K385" s="245"/>
      <c r="L385" s="32"/>
    </row>
    <row r="386" spans="6:12" x14ac:dyDescent="0.25">
      <c r="F386" s="239"/>
      <c r="H386" s="245"/>
      <c r="I386" s="32"/>
      <c r="J386" s="245"/>
      <c r="K386" s="245"/>
      <c r="L386" s="32"/>
    </row>
    <row r="387" spans="6:12" x14ac:dyDescent="0.25">
      <c r="F387" s="239"/>
      <c r="H387" s="245"/>
      <c r="I387" s="32"/>
      <c r="J387" s="245"/>
      <c r="K387" s="245"/>
      <c r="L387" s="32"/>
    </row>
    <row r="388" spans="6:12" x14ac:dyDescent="0.25">
      <c r="F388" s="239"/>
      <c r="H388" s="245"/>
      <c r="I388" s="32"/>
      <c r="J388" s="245"/>
      <c r="K388" s="245"/>
      <c r="L388" s="32"/>
    </row>
    <row r="389" spans="6:12" x14ac:dyDescent="0.25">
      <c r="F389" s="239"/>
      <c r="H389" s="245"/>
      <c r="I389" s="32"/>
      <c r="J389" s="245"/>
      <c r="K389" s="245"/>
      <c r="L389" s="32"/>
    </row>
    <row r="390" spans="6:12" x14ac:dyDescent="0.25">
      <c r="F390" s="239"/>
      <c r="H390" s="245"/>
      <c r="I390" s="32"/>
      <c r="J390" s="245"/>
      <c r="K390" s="245"/>
      <c r="L390" s="32"/>
    </row>
    <row r="391" spans="6:12" x14ac:dyDescent="0.25">
      <c r="F391" s="239"/>
      <c r="H391" s="245"/>
      <c r="I391" s="32"/>
      <c r="J391" s="245"/>
      <c r="K391" s="245"/>
      <c r="L391" s="32"/>
    </row>
    <row r="392" spans="6:12" x14ac:dyDescent="0.25">
      <c r="F392" s="239"/>
      <c r="H392" s="245"/>
      <c r="I392" s="32"/>
      <c r="J392" s="245"/>
      <c r="K392" s="245"/>
      <c r="L392" s="32"/>
    </row>
    <row r="393" spans="6:12" x14ac:dyDescent="0.25">
      <c r="F393" s="239"/>
      <c r="H393" s="245"/>
      <c r="I393" s="32"/>
      <c r="J393" s="245"/>
      <c r="K393" s="245"/>
      <c r="L393" s="32"/>
    </row>
    <row r="394" spans="6:12" x14ac:dyDescent="0.25">
      <c r="F394" s="239"/>
      <c r="H394" s="245"/>
      <c r="I394" s="32"/>
      <c r="J394" s="245"/>
      <c r="K394" s="245"/>
      <c r="L394" s="32"/>
    </row>
    <row r="395" spans="6:12" x14ac:dyDescent="0.25">
      <c r="F395" s="239"/>
      <c r="H395" s="245"/>
      <c r="I395" s="32"/>
      <c r="J395" s="245"/>
      <c r="K395" s="245"/>
      <c r="L395" s="32"/>
    </row>
    <row r="396" spans="6:12" x14ac:dyDescent="0.25">
      <c r="F396" s="239"/>
      <c r="H396" s="245"/>
      <c r="I396" s="32"/>
      <c r="J396" s="245"/>
      <c r="K396" s="245"/>
      <c r="L396" s="32"/>
    </row>
    <row r="397" spans="6:12" x14ac:dyDescent="0.25">
      <c r="F397" s="239"/>
      <c r="H397" s="245"/>
      <c r="I397" s="32"/>
      <c r="J397" s="245"/>
      <c r="K397" s="245"/>
      <c r="L397" s="32"/>
    </row>
    <row r="398" spans="6:12" x14ac:dyDescent="0.25">
      <c r="F398" s="239"/>
      <c r="H398" s="245"/>
      <c r="I398" s="32"/>
      <c r="J398" s="245"/>
      <c r="K398" s="245"/>
      <c r="L398" s="32"/>
    </row>
    <row r="399" spans="6:12" x14ac:dyDescent="0.25">
      <c r="F399" s="239"/>
      <c r="H399" s="245"/>
      <c r="I399" s="32"/>
      <c r="J399" s="245"/>
      <c r="K399" s="245"/>
      <c r="L399" s="32"/>
    </row>
    <row r="400" spans="6:12" x14ac:dyDescent="0.25">
      <c r="F400" s="239"/>
      <c r="H400" s="245"/>
      <c r="I400" s="32"/>
      <c r="J400" s="245"/>
      <c r="K400" s="245"/>
      <c r="L400" s="32"/>
    </row>
    <row r="401" spans="4:12" x14ac:dyDescent="0.25">
      <c r="F401" s="239"/>
      <c r="H401" s="245"/>
      <c r="I401" s="32"/>
      <c r="J401" s="245"/>
      <c r="K401" s="245"/>
      <c r="L401" s="32"/>
    </row>
    <row r="402" spans="4:12" x14ac:dyDescent="0.25">
      <c r="F402" s="239"/>
      <c r="H402" s="245"/>
      <c r="I402" s="32"/>
      <c r="J402" s="245"/>
      <c r="K402" s="245"/>
      <c r="L402" s="32"/>
    </row>
    <row r="403" spans="4:12" x14ac:dyDescent="0.25">
      <c r="F403" s="239"/>
      <c r="H403" s="245"/>
      <c r="I403" s="32"/>
      <c r="J403" s="245"/>
      <c r="K403" s="245"/>
      <c r="L403" s="32"/>
    </row>
    <row r="404" spans="4:12" x14ac:dyDescent="0.25">
      <c r="F404" s="239"/>
      <c r="H404" s="245"/>
      <c r="I404" s="32"/>
      <c r="J404" s="245"/>
      <c r="K404" s="245"/>
      <c r="L404" s="32"/>
    </row>
    <row r="405" spans="4:12" x14ac:dyDescent="0.25">
      <c r="F405" s="239"/>
      <c r="H405" s="245"/>
      <c r="I405" s="32"/>
      <c r="J405" s="245"/>
      <c r="K405" s="245"/>
      <c r="L405" s="32"/>
    </row>
    <row r="406" spans="4:12" x14ac:dyDescent="0.25">
      <c r="F406" s="239"/>
      <c r="H406" s="245"/>
      <c r="I406" s="32"/>
      <c r="J406" s="245"/>
      <c r="K406" s="245"/>
      <c r="L406" s="32"/>
    </row>
    <row r="407" spans="4:12" x14ac:dyDescent="0.25">
      <c r="F407" s="239"/>
      <c r="H407" s="32"/>
      <c r="I407" s="32"/>
      <c r="J407" s="245"/>
      <c r="K407" s="245"/>
      <c r="L407" s="32"/>
    </row>
    <row r="408" spans="4:12" x14ac:dyDescent="0.25">
      <c r="F408" s="239"/>
      <c r="H408" s="245"/>
      <c r="I408" s="32"/>
      <c r="J408" s="245"/>
      <c r="K408" s="245"/>
      <c r="L408" s="32"/>
    </row>
    <row r="409" spans="4:12" x14ac:dyDescent="0.25">
      <c r="F409" s="239"/>
      <c r="H409" s="245"/>
      <c r="I409" s="32"/>
      <c r="J409" s="245"/>
      <c r="K409" s="245"/>
      <c r="L409" s="32"/>
    </row>
    <row r="410" spans="4:12" x14ac:dyDescent="0.25">
      <c r="F410" s="239"/>
      <c r="H410" s="245"/>
      <c r="I410" s="32"/>
      <c r="J410" s="245"/>
      <c r="K410" s="245"/>
      <c r="L410" s="32"/>
    </row>
    <row r="411" spans="4:12" x14ac:dyDescent="0.25">
      <c r="F411" s="239"/>
      <c r="H411" s="245"/>
      <c r="I411" s="32"/>
      <c r="J411" s="245"/>
      <c r="K411" s="245"/>
      <c r="L411" s="32"/>
    </row>
    <row r="412" spans="4:12" x14ac:dyDescent="0.25">
      <c r="D412" s="32"/>
      <c r="E412" s="32"/>
      <c r="F412" s="246"/>
      <c r="H412" s="245"/>
      <c r="I412" s="32"/>
      <c r="J412" s="245"/>
      <c r="K412" s="245"/>
      <c r="L412" s="32"/>
    </row>
    <row r="413" spans="4:12" x14ac:dyDescent="0.25">
      <c r="D413" s="32"/>
      <c r="E413" s="32"/>
      <c r="F413" s="246"/>
      <c r="H413" s="245"/>
      <c r="I413" s="32"/>
      <c r="J413" s="245"/>
      <c r="K413" s="245"/>
      <c r="L413" s="32"/>
    </row>
    <row r="414" spans="4:12" x14ac:dyDescent="0.25">
      <c r="D414" s="32"/>
      <c r="E414" s="32"/>
      <c r="F414" s="245"/>
      <c r="H414" s="32"/>
      <c r="I414" s="32"/>
      <c r="J414" s="245"/>
      <c r="K414" s="245"/>
      <c r="L414" s="32"/>
    </row>
    <row r="415" spans="4:12" x14ac:dyDescent="0.25">
      <c r="F415" s="246"/>
      <c r="H415" s="32"/>
      <c r="I415" s="32"/>
      <c r="J415" s="245"/>
      <c r="K415" s="245"/>
      <c r="L415" s="32"/>
    </row>
    <row r="416" spans="4:12" x14ac:dyDescent="0.25">
      <c r="F416" s="246"/>
      <c r="H416" s="32"/>
      <c r="I416" s="32"/>
      <c r="J416" s="245"/>
      <c r="K416" s="245"/>
      <c r="L416" s="32"/>
    </row>
    <row r="417" spans="5:12" x14ac:dyDescent="0.25">
      <c r="H417" s="32"/>
      <c r="I417" s="32"/>
      <c r="J417" s="245"/>
      <c r="K417" s="245"/>
      <c r="L417" s="32"/>
    </row>
    <row r="418" spans="5:12" x14ac:dyDescent="0.25">
      <c r="H418" s="32"/>
      <c r="I418" s="32"/>
      <c r="J418" s="245"/>
      <c r="K418" s="245"/>
      <c r="L418" s="32"/>
    </row>
    <row r="419" spans="5:12" x14ac:dyDescent="0.25">
      <c r="H419" s="245"/>
      <c r="I419" s="32"/>
      <c r="J419" s="245"/>
      <c r="K419" s="245"/>
      <c r="L419" s="32"/>
    </row>
    <row r="420" spans="5:12" x14ac:dyDescent="0.25">
      <c r="H420" s="32"/>
      <c r="I420" s="32"/>
      <c r="J420" s="245"/>
      <c r="K420" s="245"/>
      <c r="L420" s="32"/>
    </row>
    <row r="421" spans="5:12" x14ac:dyDescent="0.25">
      <c r="E421" s="32"/>
      <c r="F421" s="245"/>
      <c r="H421" s="32"/>
      <c r="I421" s="32"/>
      <c r="J421" s="245"/>
      <c r="K421" s="245"/>
      <c r="L421" s="32"/>
    </row>
    <row r="422" spans="5:12" x14ac:dyDescent="0.25">
      <c r="E422" s="32"/>
      <c r="F422" s="245"/>
      <c r="H422" s="32"/>
      <c r="I422" s="32"/>
      <c r="J422" s="245"/>
      <c r="K422" s="245"/>
      <c r="L422" s="32"/>
    </row>
    <row r="423" spans="5:12" x14ac:dyDescent="0.25">
      <c r="E423" s="32"/>
      <c r="F423" s="245"/>
      <c r="H423" s="32"/>
      <c r="I423" s="32"/>
      <c r="J423" s="245"/>
      <c r="K423" s="245"/>
      <c r="L423" s="32"/>
    </row>
    <row r="424" spans="5:12" x14ac:dyDescent="0.25">
      <c r="E424" s="32"/>
      <c r="F424" s="245"/>
      <c r="H424" s="32"/>
      <c r="I424" s="32"/>
      <c r="J424" s="245"/>
      <c r="K424" s="245"/>
      <c r="L424" s="32"/>
    </row>
    <row r="425" spans="5:12" x14ac:dyDescent="0.25">
      <c r="E425" s="32"/>
      <c r="F425" s="245"/>
      <c r="H425" s="32"/>
      <c r="I425" s="32"/>
      <c r="J425" s="245"/>
      <c r="K425" s="245"/>
      <c r="L425" s="32"/>
    </row>
    <row r="426" spans="5:12" x14ac:dyDescent="0.25">
      <c r="E426" s="32"/>
      <c r="F426" s="245"/>
      <c r="H426" s="32"/>
      <c r="I426" s="32"/>
      <c r="J426" s="245"/>
      <c r="K426" s="245"/>
      <c r="L426" s="32"/>
    </row>
    <row r="427" spans="5:12" x14ac:dyDescent="0.25">
      <c r="E427" s="32"/>
      <c r="F427" s="245"/>
      <c r="H427" s="32"/>
      <c r="I427" s="32"/>
      <c r="J427" s="245"/>
      <c r="K427" s="245"/>
      <c r="L427" s="32"/>
    </row>
    <row r="428" spans="5:12" x14ac:dyDescent="0.25">
      <c r="E428" s="32"/>
      <c r="F428" s="245"/>
      <c r="H428" s="32"/>
      <c r="I428" s="32"/>
      <c r="J428" s="245"/>
      <c r="K428" s="245"/>
      <c r="L428" s="32"/>
    </row>
    <row r="429" spans="5:12" x14ac:dyDescent="0.25">
      <c r="E429" s="32"/>
      <c r="F429" s="245"/>
      <c r="H429" s="32"/>
      <c r="I429" s="32"/>
      <c r="J429" s="245"/>
      <c r="K429" s="245"/>
      <c r="L429" s="32"/>
    </row>
    <row r="430" spans="5:12" x14ac:dyDescent="0.25">
      <c r="E430" s="32"/>
      <c r="F430" s="245"/>
      <c r="H430" s="32"/>
      <c r="I430" s="32"/>
      <c r="J430" s="245"/>
      <c r="K430" s="245"/>
      <c r="L430" s="32"/>
    </row>
    <row r="431" spans="5:12" x14ac:dyDescent="0.25">
      <c r="E431" s="32"/>
      <c r="F431" s="245"/>
      <c r="H431" s="32"/>
      <c r="I431" s="32"/>
      <c r="J431" s="245"/>
      <c r="K431" s="245"/>
      <c r="L431" s="32"/>
    </row>
    <row r="432" spans="5:12" x14ac:dyDescent="0.25">
      <c r="E432" s="32"/>
      <c r="F432" s="245"/>
      <c r="H432" s="32"/>
      <c r="I432" s="32"/>
      <c r="J432" s="245"/>
      <c r="K432" s="245"/>
      <c r="L432" s="32"/>
    </row>
    <row r="433" spans="5:12" x14ac:dyDescent="0.25">
      <c r="E433" s="32"/>
      <c r="F433" s="245"/>
      <c r="H433" s="32"/>
      <c r="I433" s="32"/>
      <c r="J433" s="245"/>
      <c r="K433" s="245"/>
      <c r="L433" s="32"/>
    </row>
    <row r="434" spans="5:12" x14ac:dyDescent="0.25">
      <c r="E434" s="32"/>
      <c r="F434" s="245"/>
      <c r="H434" s="32"/>
      <c r="I434" s="32"/>
      <c r="J434" s="245"/>
      <c r="K434" s="245"/>
      <c r="L434" s="32"/>
    </row>
    <row r="435" spans="5:12" x14ac:dyDescent="0.25">
      <c r="E435" s="32"/>
      <c r="F435" s="245"/>
      <c r="H435" s="32"/>
      <c r="I435" s="32"/>
      <c r="J435" s="245"/>
      <c r="K435" s="245"/>
      <c r="L435" s="32"/>
    </row>
    <row r="436" spans="5:12" x14ac:dyDescent="0.25">
      <c r="E436" s="32"/>
      <c r="F436" s="245"/>
      <c r="H436" s="32"/>
      <c r="I436" s="32"/>
      <c r="J436" s="245"/>
      <c r="K436" s="245"/>
      <c r="L436" s="32"/>
    </row>
    <row r="437" spans="5:12" x14ac:dyDescent="0.25">
      <c r="H437" s="32"/>
      <c r="I437" s="32"/>
      <c r="J437" s="245"/>
      <c r="K437" s="245"/>
      <c r="L437" s="32"/>
    </row>
  </sheetData>
  <autoFilter ref="A118:F200" xr:uid="{00000000-0009-0000-0000-000000000000}"/>
  <phoneticPr fontId="38"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S46"/>
  <sheetViews>
    <sheetView showGridLines="0" tabSelected="1" showRuler="0" zoomScaleNormal="100" zoomScaleSheetLayoutView="100" workbookViewId="0">
      <selection activeCell="B5" sqref="B5:K5"/>
    </sheetView>
  </sheetViews>
  <sheetFormatPr defaultColWidth="11.42578125" defaultRowHeight="14.25" x14ac:dyDescent="0.2"/>
  <cols>
    <col min="1" max="1" width="23" style="3" customWidth="1"/>
    <col min="2" max="3" width="12.5703125" style="3" customWidth="1"/>
    <col min="4" max="4" width="11.7109375" style="3" customWidth="1"/>
    <col min="5" max="5" width="12.5703125" style="3" customWidth="1"/>
    <col min="6" max="6" width="14.140625" style="3" customWidth="1"/>
    <col min="7" max="7" width="15.7109375" style="3" customWidth="1"/>
    <col min="8" max="8" width="11.7109375" style="3" customWidth="1"/>
    <col min="9" max="10" width="12.5703125" style="3" customWidth="1"/>
    <col min="11" max="11" width="10.140625" style="3" customWidth="1"/>
    <col min="12" max="258" width="9.140625" style="3" customWidth="1"/>
    <col min="259" max="16384" width="11.42578125" style="3"/>
  </cols>
  <sheetData>
    <row r="1" spans="1:11" ht="9.9499999999999993" customHeight="1" x14ac:dyDescent="0.2"/>
    <row r="2" spans="1:11" ht="12.95" customHeight="1" x14ac:dyDescent="0.2">
      <c r="A2" s="477" t="s">
        <v>1100</v>
      </c>
    </row>
    <row r="3" spans="1:11" ht="16.5" customHeight="1" x14ac:dyDescent="0.2">
      <c r="A3" s="363" t="s">
        <v>331</v>
      </c>
    </row>
    <row r="5" spans="1:11" ht="15.75" customHeight="1" x14ac:dyDescent="0.2">
      <c r="A5" s="466" t="s">
        <v>881</v>
      </c>
      <c r="B5" s="528"/>
      <c r="C5" s="529"/>
      <c r="D5" s="529"/>
      <c r="E5" s="529"/>
      <c r="F5" s="529"/>
      <c r="G5" s="529"/>
      <c r="H5" s="529"/>
      <c r="I5" s="529"/>
      <c r="J5" s="529"/>
      <c r="K5" s="530"/>
    </row>
    <row r="6" spans="1:11" ht="6.95" customHeight="1" x14ac:dyDescent="0.2"/>
    <row r="7" spans="1:11" x14ac:dyDescent="0.2">
      <c r="A7" s="366" t="s">
        <v>544</v>
      </c>
      <c r="B7" s="566"/>
      <c r="C7" s="567"/>
      <c r="D7" s="23"/>
      <c r="E7" s="23"/>
      <c r="F7" s="23"/>
      <c r="G7" s="23"/>
      <c r="H7" s="23"/>
      <c r="I7" s="568" t="s">
        <v>774</v>
      </c>
      <c r="J7" s="568"/>
      <c r="K7" s="569"/>
    </row>
    <row r="8" spans="1:11" ht="6.95" customHeight="1" x14ac:dyDescent="0.2">
      <c r="A8" s="367"/>
      <c r="B8" s="23"/>
      <c r="C8" s="18"/>
      <c r="D8" s="18"/>
      <c r="E8" s="18"/>
      <c r="F8" s="18"/>
      <c r="G8" s="18"/>
      <c r="H8" s="18"/>
      <c r="I8" s="6"/>
      <c r="J8" s="6"/>
      <c r="K8" s="23"/>
    </row>
    <row r="9" spans="1:11" s="4" customFormat="1" ht="15" customHeight="1" x14ac:dyDescent="0.2">
      <c r="A9" s="366" t="s">
        <v>545</v>
      </c>
      <c r="B9" s="576" t="str">
        <f>IF($B$7="","",Datenquelle!B116)</f>
        <v/>
      </c>
      <c r="C9" s="577"/>
      <c r="D9" s="577"/>
      <c r="E9" s="577"/>
      <c r="F9" s="577"/>
      <c r="G9" s="577"/>
      <c r="H9" s="577"/>
      <c r="I9" s="577"/>
      <c r="J9" s="577"/>
      <c r="K9" s="575"/>
    </row>
    <row r="10" spans="1:11" s="4" customFormat="1" ht="6.95" customHeight="1" x14ac:dyDescent="0.2">
      <c r="A10" s="22"/>
      <c r="B10" s="18"/>
      <c r="C10" s="18"/>
      <c r="D10" s="18"/>
      <c r="E10" s="18"/>
      <c r="F10" s="18"/>
      <c r="G10" s="23"/>
      <c r="H10" s="23"/>
      <c r="I10" s="23"/>
      <c r="J10" s="23"/>
      <c r="K10" s="23"/>
    </row>
    <row r="11" spans="1:11" s="4" customFormat="1" ht="15" customHeight="1" x14ac:dyDescent="0.2">
      <c r="A11" s="366" t="s">
        <v>546</v>
      </c>
      <c r="B11" s="576" t="str">
        <f>IF($B$7="","",Datenquelle!C116)</f>
        <v/>
      </c>
      <c r="C11" s="577"/>
      <c r="D11" s="577"/>
      <c r="E11" s="577"/>
      <c r="F11" s="577"/>
      <c r="G11" s="577"/>
      <c r="H11" s="577"/>
      <c r="I11" s="577"/>
      <c r="J11" s="577"/>
      <c r="K11" s="575"/>
    </row>
    <row r="12" spans="1:11" s="4" customFormat="1" ht="6.95" customHeight="1" x14ac:dyDescent="0.2">
      <c r="A12" s="22"/>
      <c r="B12" s="18"/>
      <c r="C12" s="18"/>
      <c r="D12" s="18"/>
      <c r="E12" s="18"/>
      <c r="F12" s="18"/>
      <c r="G12" s="23"/>
      <c r="H12" s="23"/>
      <c r="I12" s="23"/>
      <c r="J12" s="23"/>
      <c r="K12" s="23"/>
    </row>
    <row r="13" spans="1:11" s="4" customFormat="1" ht="15.75" customHeight="1" x14ac:dyDescent="0.2">
      <c r="A13" s="368" t="s">
        <v>547</v>
      </c>
      <c r="B13" s="528"/>
      <c r="C13" s="529"/>
      <c r="D13" s="546"/>
      <c r="F13" s="369" t="s">
        <v>163</v>
      </c>
      <c r="G13" s="23"/>
      <c r="H13" s="23"/>
      <c r="I13" s="547"/>
      <c r="J13" s="548"/>
      <c r="K13" s="549"/>
    </row>
    <row r="14" spans="1:11" ht="6.95" customHeight="1" x14ac:dyDescent="0.2">
      <c r="A14" s="23"/>
      <c r="B14" s="23"/>
      <c r="C14" s="18"/>
      <c r="D14" s="18"/>
      <c r="E14" s="370"/>
      <c r="F14" s="371"/>
      <c r="G14" s="23"/>
      <c r="H14" s="23"/>
      <c r="I14" s="23"/>
      <c r="J14" s="23"/>
      <c r="K14" s="23"/>
    </row>
    <row r="15" spans="1:11" s="4" customFormat="1" ht="15.75" customHeight="1" x14ac:dyDescent="0.2">
      <c r="A15" s="64"/>
      <c r="B15" s="23"/>
      <c r="C15" s="23"/>
      <c r="D15" s="18"/>
      <c r="F15" s="369" t="s">
        <v>225</v>
      </c>
      <c r="G15" s="23"/>
      <c r="H15" s="23"/>
      <c r="I15" s="570" t="str">
        <f>IF($B$7="","",Datenquelle!F116)</f>
        <v/>
      </c>
      <c r="J15" s="571"/>
      <c r="K15" s="572"/>
    </row>
    <row r="16" spans="1:11" ht="6.95" customHeight="1" x14ac:dyDescent="0.2">
      <c r="A16" s="23"/>
      <c r="B16" s="23"/>
      <c r="C16" s="18"/>
      <c r="D16" s="18"/>
      <c r="E16" s="370"/>
      <c r="F16" s="371"/>
      <c r="G16" s="18"/>
      <c r="H16" s="18"/>
      <c r="I16" s="6"/>
      <c r="J16" s="6"/>
      <c r="K16" s="23"/>
    </row>
    <row r="17" spans="1:19" s="4" customFormat="1" ht="15.75" customHeight="1" x14ac:dyDescent="0.2">
      <c r="A17" s="64"/>
      <c r="B17" s="23"/>
      <c r="C17" s="23"/>
      <c r="D17" s="23"/>
      <c r="F17" s="372" t="s">
        <v>192</v>
      </c>
      <c r="G17" s="23"/>
      <c r="H17" s="23"/>
      <c r="I17" s="573">
        <v>2022</v>
      </c>
      <c r="J17" s="574"/>
      <c r="K17" s="575"/>
    </row>
    <row r="18" spans="1:19" s="4" customFormat="1" ht="4.5" customHeight="1" x14ac:dyDescent="0.2">
      <c r="A18" s="64"/>
      <c r="B18" s="23"/>
      <c r="C18" s="23"/>
      <c r="D18" s="23"/>
      <c r="E18" s="373"/>
      <c r="F18" s="374"/>
      <c r="G18" s="23"/>
      <c r="H18" s="23"/>
      <c r="I18" s="375"/>
      <c r="J18" s="375"/>
      <c r="K18" s="23"/>
    </row>
    <row r="19" spans="1:19" s="4" customFormat="1" ht="4.5" customHeight="1" x14ac:dyDescent="0.2">
      <c r="A19" s="64"/>
      <c r="B19" s="23"/>
      <c r="C19" s="23"/>
      <c r="D19" s="23"/>
      <c r="E19" s="373"/>
      <c r="F19" s="374"/>
      <c r="G19" s="23"/>
      <c r="H19" s="23"/>
      <c r="I19" s="375"/>
      <c r="J19" s="375"/>
      <c r="K19" s="23"/>
    </row>
    <row r="20" spans="1:19" s="4" customFormat="1" ht="4.5" customHeight="1" x14ac:dyDescent="0.2">
      <c r="A20" s="64"/>
      <c r="B20" s="23"/>
      <c r="C20" s="23"/>
      <c r="D20" s="23"/>
      <c r="E20" s="13"/>
      <c r="F20" s="13"/>
      <c r="G20" s="375"/>
      <c r="H20" s="375"/>
      <c r="I20" s="23"/>
      <c r="J20" s="23"/>
      <c r="K20" s="23"/>
    </row>
    <row r="21" spans="1:19" s="4" customFormat="1" ht="4.5" customHeight="1" x14ac:dyDescent="0.2">
      <c r="E21" s="373"/>
      <c r="F21" s="374"/>
      <c r="G21" s="23"/>
      <c r="H21" s="23"/>
      <c r="I21" s="375"/>
      <c r="J21" s="375"/>
      <c r="K21" s="23"/>
    </row>
    <row r="22" spans="1:19" s="4" customFormat="1" ht="4.5" customHeight="1" x14ac:dyDescent="0.2">
      <c r="E22" s="13"/>
      <c r="F22" s="13"/>
      <c r="G22" s="375"/>
      <c r="H22" s="375"/>
      <c r="I22" s="23"/>
      <c r="J22" s="23"/>
      <c r="K22" s="23"/>
    </row>
    <row r="23" spans="1:19" s="4" customFormat="1" ht="3" customHeight="1" x14ac:dyDescent="0.2">
      <c r="A23" s="18"/>
      <c r="B23" s="18"/>
      <c r="C23" s="18"/>
      <c r="D23" s="384"/>
      <c r="E23" s="18"/>
      <c r="F23" s="18"/>
      <c r="G23" s="23"/>
      <c r="H23" s="23"/>
      <c r="I23" s="23"/>
      <c r="J23" s="23"/>
      <c r="K23" s="23"/>
      <c r="L23" s="364"/>
      <c r="S23" s="376"/>
    </row>
    <row r="24" spans="1:19" s="4" customFormat="1" ht="15" customHeight="1" x14ac:dyDescent="0.2">
      <c r="A24" s="552" t="s">
        <v>407</v>
      </c>
      <c r="B24" s="553"/>
      <c r="C24" s="553"/>
      <c r="D24" s="553"/>
      <c r="E24" s="554"/>
      <c r="F24" s="550" t="s">
        <v>562</v>
      </c>
      <c r="G24" s="550"/>
      <c r="H24" s="550"/>
      <c r="I24" s="550"/>
      <c r="J24" s="550"/>
      <c r="K24" s="551"/>
    </row>
    <row r="25" spans="1:19" s="4" customFormat="1" ht="15" customHeight="1" x14ac:dyDescent="0.2">
      <c r="A25" s="555" t="str">
        <f>IF($B$7="","",Datenquelle!D116)</f>
        <v/>
      </c>
      <c r="B25" s="556"/>
      <c r="C25" s="556"/>
      <c r="D25" s="556"/>
      <c r="E25" s="557"/>
      <c r="F25" s="558"/>
      <c r="G25" s="559"/>
      <c r="H25" s="559"/>
      <c r="I25" s="559"/>
      <c r="J25" s="559"/>
      <c r="K25" s="560"/>
      <c r="L25" s="364"/>
      <c r="M25" s="364"/>
    </row>
    <row r="26" spans="1:19" s="4" customFormat="1" ht="15" customHeight="1" x14ac:dyDescent="0.2">
      <c r="A26" s="18"/>
      <c r="B26" s="18"/>
      <c r="C26" s="18"/>
      <c r="D26" s="23"/>
      <c r="E26" s="18"/>
      <c r="F26" s="18"/>
      <c r="G26" s="23"/>
      <c r="H26" s="23"/>
      <c r="I26" s="23"/>
      <c r="J26" s="23"/>
      <c r="K26" s="23"/>
    </row>
    <row r="27" spans="1:19" s="4" customFormat="1" ht="15" customHeight="1" x14ac:dyDescent="0.2">
      <c r="A27" s="561" t="s">
        <v>405</v>
      </c>
      <c r="B27" s="561"/>
      <c r="C27" s="561"/>
      <c r="D27" s="561"/>
      <c r="E27" s="561"/>
      <c r="F27" s="555" t="s">
        <v>516</v>
      </c>
      <c r="G27" s="556"/>
      <c r="H27" s="556"/>
      <c r="I27" s="556"/>
      <c r="J27" s="556"/>
      <c r="K27" s="557"/>
    </row>
    <row r="28" spans="1:19" s="4" customFormat="1" ht="15" customHeight="1" x14ac:dyDescent="0.2">
      <c r="A28" s="562"/>
      <c r="B28" s="562"/>
      <c r="C28" s="562"/>
      <c r="D28" s="562"/>
      <c r="E28" s="562"/>
      <c r="F28" s="563" t="s">
        <v>470</v>
      </c>
      <c r="G28" s="564"/>
      <c r="H28" s="564"/>
      <c r="I28" s="564"/>
      <c r="J28" s="564"/>
      <c r="K28" s="565"/>
    </row>
    <row r="29" spans="1:19" s="4" customFormat="1" ht="4.5" customHeight="1" x14ac:dyDescent="0.2">
      <c r="A29" s="544"/>
      <c r="B29" s="545"/>
      <c r="C29" s="545"/>
      <c r="D29" s="545"/>
      <c r="E29" s="545"/>
      <c r="F29" s="545"/>
      <c r="G29" s="545"/>
      <c r="H29" s="545"/>
      <c r="I29" s="545"/>
      <c r="J29" s="545"/>
      <c r="K29" s="545"/>
      <c r="M29" s="364"/>
    </row>
    <row r="30" spans="1:19" s="4" customFormat="1" ht="19.5" customHeight="1" x14ac:dyDescent="0.2">
      <c r="A30" s="498"/>
      <c r="B30" s="499"/>
      <c r="C30" s="499"/>
      <c r="D30" s="499"/>
      <c r="E30" s="499"/>
      <c r="F30" s="499"/>
      <c r="G30" s="499"/>
      <c r="H30" s="499"/>
      <c r="I30" s="499"/>
      <c r="J30" s="499"/>
      <c r="K30" s="499"/>
      <c r="M30" s="364"/>
    </row>
    <row r="31" spans="1:19" s="4" customFormat="1" ht="39.75" customHeight="1" x14ac:dyDescent="0.2">
      <c r="A31" s="534" t="s">
        <v>726</v>
      </c>
      <c r="B31" s="377" t="s">
        <v>265</v>
      </c>
      <c r="C31" s="377" t="s">
        <v>266</v>
      </c>
      <c r="D31" s="377" t="s">
        <v>267</v>
      </c>
      <c r="E31" s="377" t="s">
        <v>268</v>
      </c>
      <c r="F31" s="377" t="s">
        <v>269</v>
      </c>
      <c r="G31" s="377" t="s">
        <v>270</v>
      </c>
      <c r="H31" s="378" t="s">
        <v>576</v>
      </c>
      <c r="I31" s="378" t="s">
        <v>579</v>
      </c>
      <c r="J31" s="378" t="s">
        <v>578</v>
      </c>
      <c r="K31" s="538" t="s">
        <v>44</v>
      </c>
    </row>
    <row r="32" spans="1:19" s="4" customFormat="1" ht="42.75" customHeight="1" x14ac:dyDescent="0.2">
      <c r="A32" s="535"/>
      <c r="B32" s="148" t="s">
        <v>580</v>
      </c>
      <c r="C32" s="398" t="s">
        <v>330</v>
      </c>
      <c r="D32" s="148" t="s">
        <v>581</v>
      </c>
      <c r="E32" s="148" t="s">
        <v>597</v>
      </c>
      <c r="F32" s="148" t="s">
        <v>598</v>
      </c>
      <c r="G32" s="148" t="s">
        <v>582</v>
      </c>
      <c r="H32" s="148" t="s">
        <v>577</v>
      </c>
      <c r="I32" s="148" t="s">
        <v>583</v>
      </c>
      <c r="J32" s="148" t="s">
        <v>599</v>
      </c>
      <c r="K32" s="539"/>
    </row>
    <row r="33" spans="1:11" s="4" customFormat="1" ht="45" customHeight="1" x14ac:dyDescent="0.2">
      <c r="A33" s="478" t="s">
        <v>888</v>
      </c>
      <c r="B33" s="63" t="str">
        <f t="shared" ref="B33:J33" si="0">IF(AND(B34="",B35=""),"",SUM(B34:B35))</f>
        <v/>
      </c>
      <c r="C33" s="63" t="str">
        <f t="shared" si="0"/>
        <v/>
      </c>
      <c r="D33" s="63" t="str">
        <f t="shared" si="0"/>
        <v/>
      </c>
      <c r="E33" s="63" t="str">
        <f t="shared" si="0"/>
        <v/>
      </c>
      <c r="F33" s="63" t="str">
        <f t="shared" si="0"/>
        <v/>
      </c>
      <c r="G33" s="63" t="str">
        <f t="shared" si="0"/>
        <v/>
      </c>
      <c r="H33" s="63" t="str">
        <f t="shared" si="0"/>
        <v/>
      </c>
      <c r="I33" s="63" t="str">
        <f t="shared" si="0"/>
        <v/>
      </c>
      <c r="J33" s="63" t="str">
        <f t="shared" si="0"/>
        <v/>
      </c>
      <c r="K33" s="63" t="str">
        <f>IF(AND(B33="",C33="",D33="",E33="",F33="",G33="",I33="",J33=""),"",SUM(B33:J33))</f>
        <v/>
      </c>
    </row>
    <row r="34" spans="1:11" s="4" customFormat="1" ht="57.75" customHeight="1" x14ac:dyDescent="0.2">
      <c r="A34" s="456" t="s">
        <v>818</v>
      </c>
      <c r="B34" s="379"/>
      <c r="C34" s="379"/>
      <c r="D34" s="379"/>
      <c r="E34" s="379"/>
      <c r="F34" s="379"/>
      <c r="G34" s="379"/>
      <c r="H34" s="379"/>
      <c r="I34" s="379"/>
      <c r="J34" s="379"/>
      <c r="K34" s="63" t="str">
        <f>IF(AND(B34="",C34="",D34="",E34="",F34="",G34="",I34="",J34=""),"",SUM(B34:J34))</f>
        <v/>
      </c>
    </row>
    <row r="35" spans="1:11" s="4" customFormat="1" ht="57.75" customHeight="1" x14ac:dyDescent="0.2">
      <c r="A35" s="380" t="s">
        <v>595</v>
      </c>
      <c r="B35" s="381"/>
      <c r="C35" s="381"/>
      <c r="D35" s="381"/>
      <c r="E35" s="381"/>
      <c r="F35" s="381"/>
      <c r="G35" s="381"/>
      <c r="H35" s="381"/>
      <c r="I35" s="381"/>
      <c r="J35" s="381"/>
      <c r="K35" s="63" t="str">
        <f>IF(AND(B35="",C35="",D35="",E35="",F35="",G35="",I35="",J35=""),"",SUM(B35:J35))</f>
        <v/>
      </c>
    </row>
    <row r="36" spans="1:11" s="4" customFormat="1" ht="9.9499999999999993" customHeight="1" x14ac:dyDescent="0.2">
      <c r="A36" s="479"/>
      <c r="B36" s="382"/>
      <c r="C36" s="382"/>
      <c r="D36" s="382"/>
      <c r="E36" s="382"/>
      <c r="F36" s="382"/>
      <c r="G36" s="382"/>
      <c r="H36" s="382"/>
      <c r="I36" s="382"/>
      <c r="J36" s="382"/>
      <c r="K36" s="383"/>
    </row>
    <row r="37" spans="1:11" s="4" customFormat="1" ht="60" customHeight="1" x14ac:dyDescent="0.2">
      <c r="A37" s="500" t="s">
        <v>949</v>
      </c>
      <c r="B37" s="501"/>
      <c r="C37" s="501"/>
      <c r="D37" s="501"/>
      <c r="E37" s="501"/>
      <c r="F37" s="501"/>
      <c r="G37" s="501"/>
      <c r="H37" s="501"/>
      <c r="I37" s="501"/>
      <c r="J37" s="501"/>
      <c r="K37" s="502" t="str">
        <f>IF(AND(B37="",C37="",D37="",E37="",F37="",G37="",I37="",J37=""),"",SUM(B37:J37))</f>
        <v/>
      </c>
    </row>
    <row r="38" spans="1:11" s="4" customFormat="1" ht="9.9499999999999993" customHeight="1" x14ac:dyDescent="0.2">
      <c r="A38" s="365"/>
      <c r="B38" s="382"/>
      <c r="C38" s="382"/>
      <c r="D38" s="382"/>
      <c r="E38" s="382"/>
      <c r="F38" s="382"/>
      <c r="G38" s="382"/>
      <c r="H38" s="382"/>
      <c r="I38" s="382"/>
      <c r="J38" s="382"/>
      <c r="K38" s="383"/>
    </row>
    <row r="39" spans="1:11" s="4" customFormat="1" ht="34.5" customHeight="1" x14ac:dyDescent="0.2">
      <c r="A39" s="540" t="s">
        <v>958</v>
      </c>
      <c r="B39" s="541"/>
      <c r="C39" s="541"/>
      <c r="D39" s="541"/>
      <c r="E39" s="541"/>
      <c r="F39" s="541"/>
      <c r="G39" s="541"/>
      <c r="H39" s="541"/>
      <c r="I39" s="541"/>
      <c r="J39" s="542"/>
      <c r="K39" s="381"/>
    </row>
    <row r="40" spans="1:11" s="4" customFormat="1" ht="15" customHeight="1" x14ac:dyDescent="0.2">
      <c r="B40" s="384"/>
      <c r="C40" s="384"/>
      <c r="D40" s="384"/>
      <c r="E40" s="384"/>
      <c r="F40" s="384"/>
      <c r="G40" s="384"/>
      <c r="H40" s="384"/>
      <c r="I40" s="185"/>
      <c r="J40" s="185"/>
    </row>
    <row r="41" spans="1:11" s="4" customFormat="1" ht="16.5" customHeight="1" x14ac:dyDescent="0.2">
      <c r="A41" s="543" t="s">
        <v>959</v>
      </c>
      <c r="B41" s="543"/>
      <c r="C41" s="543"/>
      <c r="D41" s="543"/>
      <c r="E41" s="543"/>
      <c r="F41" s="543"/>
      <c r="G41" s="543"/>
      <c r="H41" s="543"/>
      <c r="I41" s="543"/>
      <c r="J41" s="543"/>
      <c r="K41" s="543"/>
    </row>
    <row r="42" spans="1:11" s="4" customFormat="1" ht="111.75" customHeight="1" x14ac:dyDescent="0.2">
      <c r="A42" s="536" t="s">
        <v>960</v>
      </c>
      <c r="B42" s="537"/>
      <c r="C42" s="537"/>
      <c r="D42" s="537"/>
      <c r="E42" s="537"/>
      <c r="F42" s="537"/>
      <c r="G42" s="537"/>
      <c r="H42" s="537"/>
      <c r="I42" s="537"/>
      <c r="J42" s="537"/>
      <c r="K42" s="537"/>
    </row>
    <row r="43" spans="1:11" s="4" customFormat="1" ht="6.95" customHeight="1" x14ac:dyDescent="0.2">
      <c r="A43" s="110"/>
      <c r="B43" s="110"/>
      <c r="C43" s="110"/>
      <c r="D43" s="110"/>
      <c r="E43" s="110"/>
      <c r="F43" s="110"/>
      <c r="G43" s="7"/>
      <c r="H43" s="7"/>
      <c r="I43" s="7"/>
      <c r="J43" s="7"/>
      <c r="K43" s="7"/>
    </row>
    <row r="44" spans="1:11" s="4" customFormat="1" ht="39" customHeight="1" x14ac:dyDescent="0.2">
      <c r="A44" s="531"/>
      <c r="B44" s="532"/>
      <c r="C44" s="532"/>
      <c r="D44" s="532"/>
      <c r="E44" s="532"/>
      <c r="F44" s="532"/>
      <c r="G44" s="532"/>
      <c r="H44" s="532"/>
      <c r="I44" s="532"/>
      <c r="J44" s="532"/>
      <c r="K44" s="533"/>
    </row>
    <row r="45" spans="1:11" s="4" customFormat="1" ht="6.95" customHeight="1" x14ac:dyDescent="0.2">
      <c r="A45" s="110"/>
      <c r="B45" s="110"/>
      <c r="C45" s="110"/>
      <c r="D45" s="110"/>
      <c r="E45" s="110"/>
      <c r="F45" s="110"/>
      <c r="G45" s="7"/>
      <c r="H45" s="7"/>
      <c r="I45" s="7"/>
      <c r="J45" s="7"/>
      <c r="K45" s="7"/>
    </row>
    <row r="46" spans="1:11" ht="39.75" customHeight="1" x14ac:dyDescent="0.2">
      <c r="A46" s="531"/>
      <c r="B46" s="532"/>
      <c r="C46" s="532"/>
      <c r="D46" s="532"/>
      <c r="E46" s="532"/>
      <c r="F46" s="532"/>
      <c r="G46" s="532"/>
      <c r="H46" s="532"/>
      <c r="I46" s="532"/>
      <c r="J46" s="532"/>
      <c r="K46" s="533"/>
    </row>
  </sheetData>
  <sheetProtection algorithmName="SHA-512" hashValue="ztXu3ab8rDUZaw2v+1vNBS+qJVkgX/1G5R88Wb442PbOYtc4UIpW8zGn9uYrL6tp0CLx8pq9ZF6UCc21A6hSiQ==" saltValue="x6Li2+qmabVEPim7oafBcA==" spinCount="100000" sheet="1" objects="1" scenarios="1" selectLockedCells="1"/>
  <dataConsolidate/>
  <mergeCells count="25">
    <mergeCell ref="F27:K27"/>
    <mergeCell ref="A28:E28"/>
    <mergeCell ref="F28:K28"/>
    <mergeCell ref="B7:C7"/>
    <mergeCell ref="I7:K7"/>
    <mergeCell ref="I15:K15"/>
    <mergeCell ref="I17:K17"/>
    <mergeCell ref="B9:K9"/>
    <mergeCell ref="B11:K11"/>
    <mergeCell ref="B5:K5"/>
    <mergeCell ref="A46:K46"/>
    <mergeCell ref="A31:A32"/>
    <mergeCell ref="A42:K42"/>
    <mergeCell ref="K31:K32"/>
    <mergeCell ref="A44:K44"/>
    <mergeCell ref="A39:J39"/>
    <mergeCell ref="A41:K41"/>
    <mergeCell ref="A29:K29"/>
    <mergeCell ref="B13:D13"/>
    <mergeCell ref="I13:K13"/>
    <mergeCell ref="F24:K24"/>
    <mergeCell ref="A24:E24"/>
    <mergeCell ref="A25:E25"/>
    <mergeCell ref="F25:K25"/>
    <mergeCell ref="A27:E27"/>
  </mergeCells>
  <phoneticPr fontId="38" type="noConversion"/>
  <conditionalFormatting sqref="A28">
    <cfRule type="expression" dxfId="290" priority="90" stopIfTrue="1">
      <formula>LEN(TRIM(A28))=0</formula>
    </cfRule>
  </conditionalFormatting>
  <conditionalFormatting sqref="B5">
    <cfRule type="expression" dxfId="289" priority="5" stopIfTrue="1">
      <formula>LEN(TRIM(B5))=0</formula>
    </cfRule>
  </conditionalFormatting>
  <conditionalFormatting sqref="B7:C7">
    <cfRule type="expression" dxfId="288" priority="29" stopIfTrue="1">
      <formula>LEN(TRIM(B7))=0</formula>
    </cfRule>
  </conditionalFormatting>
  <conditionalFormatting sqref="B13:C13">
    <cfRule type="expression" dxfId="287" priority="100" stopIfTrue="1">
      <formula>LEN(TRIM(B13))=0</formula>
    </cfRule>
  </conditionalFormatting>
  <conditionalFormatting sqref="B34:J35">
    <cfRule type="expression" dxfId="286" priority="16" stopIfTrue="1">
      <formula>LEN(TRIM(B34))=0</formula>
    </cfRule>
  </conditionalFormatting>
  <conditionalFormatting sqref="B37:J37">
    <cfRule type="expression" dxfId="285" priority="1" stopIfTrue="1">
      <formula>LEN(TRIM(B37))=0</formula>
    </cfRule>
  </conditionalFormatting>
  <conditionalFormatting sqref="F25">
    <cfRule type="expression" dxfId="284" priority="91" stopIfTrue="1">
      <formula>LEN(TRIM(F25))=0</formula>
    </cfRule>
  </conditionalFormatting>
  <conditionalFormatting sqref="I13:J13">
    <cfRule type="expression" dxfId="283" priority="101" stopIfTrue="1">
      <formula>LEN(TRIM(I13))=0</formula>
    </cfRule>
  </conditionalFormatting>
  <conditionalFormatting sqref="K39">
    <cfRule type="expression" dxfId="282" priority="6" stopIfTrue="1">
      <formula>LEN(TRIM(K39))=0</formula>
    </cfRule>
  </conditionalFormatting>
  <dataValidations count="10">
    <dataValidation allowBlank="1" showInputMessage="1" showErrorMessage="1" errorTitle="Eingabefehler" sqref="I15:J15" xr:uid="{00000000-0002-0000-0100-000000000000}"/>
    <dataValidation type="list" allowBlank="1" showInputMessage="1" showErrorMessage="1" errorTitle="Hinweis" error="Auswahl treffen über Dropdown-Liste." sqref="B7:C7" xr:uid="{00000000-0002-0000-0100-000001000000}">
      <formula1>Zentrum</formula1>
    </dataValidation>
    <dataValidation type="list" showInputMessage="1" showErrorMessage="1" errorTitle="Hinweis" error="Auswahl treffen über Dropdown-Liste." sqref="A28:E28" xr:uid="{00000000-0002-0000-0100-000002000000}">
      <formula1>Tumordokumentation</formula1>
    </dataValidation>
    <dataValidation type="whole" allowBlank="1" showInputMessage="1" showErrorMessage="1" errorTitle="Eingabefehler" error="Ganze Zahl zwischen 0 und 5000 eingeben." sqref="B38 B34:B36 C38 C34:C36 D38 D34:D36 E38 E34:E36 F38 F34:F36 G38 G34:G36 H38 H34:H36 I38 I34:I36 J34:J36 J38" xr:uid="{00000000-0002-0000-0100-000003000000}">
      <formula1>0</formula1>
      <formula2>5000</formula2>
    </dataValidation>
    <dataValidation type="date" allowBlank="1" showErrorMessage="1" errorTitle="Eingabefehler" error="Format: tt.mm.jjjj_x000a__x000a_Zeitraum zwischen 01.10.2022 - 31.01.2024 angeben." sqref="I13:K13" xr:uid="{00000000-0002-0000-0100-000004000000}">
      <formula1>44835</formula1>
      <formula2>45322</formula2>
    </dataValidation>
    <dataValidation type="textLength" allowBlank="1" showErrorMessage="1" errorTitle="Eingabefehler" error="Nur Texteingabe bis 100 Zeichen möglich." prompt="Name, Vorname" sqref="B13:D13" xr:uid="{00000000-0002-0000-0100-000005000000}">
      <formula1>0</formula1>
      <formula2>100</formula2>
    </dataValidation>
    <dataValidation type="list" allowBlank="1" showInputMessage="1" showErrorMessage="1" errorTitle="Hinweis" error="Auswahl treffen über Dropdown-Liste." sqref="F25" xr:uid="{00000000-0002-0000-0100-000006000000}">
      <formula1>KrebsregisterZusammenarbeit</formula1>
    </dataValidation>
    <dataValidation type="whole" allowBlank="1" showErrorMessage="1" errorTitle="Eingabefehler" error="Ganze Zahl zwischen 0 und 5000 eingeben." sqref="K39" xr:uid="{00000000-0002-0000-0100-000007000000}">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B37" xr:uid="{00000000-0002-0000-0100-000008000000}">
      <formula1>0</formula1>
      <formula2>B33</formula2>
    </dataValidation>
    <dataValidation type="whole" allowBlank="1" showInputMessage="1" showErrorMessage="1" errorTitle="Eingabefehler" error="&quot;Teilmenge Primärfälle - nichtkleinzellige Tumoren&quot; kann nicht größer sein als &quot;Primärfälle (ICD-10 C34-alle Histologien)&quot;." sqref="C37:J37" xr:uid="{00000000-0002-0000-0100-000009000000}">
      <formula1>0</formula1>
      <formula2>C33</formula2>
    </dataValidation>
  </dataValidations>
  <pageMargins left="0.59055118110236227" right="3.937007874015748E-2" top="0.39370078740157483" bottom="0.39370078740157483" header="0.11811023622047245" footer="0.11811023622047245"/>
  <pageSetup paperSize="9" scale="66" orientation="landscape"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A000000}">
          <x14:formula1>
            <xm:f>Datenquelle!$F$2:$F$3</xm:f>
          </x14:formula1>
          <xm:sqref>B5:K5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dimension ref="A1:D6"/>
  <sheetViews>
    <sheetView workbookViewId="0">
      <selection activeCell="D31" sqref="D31:E33"/>
    </sheetView>
  </sheetViews>
  <sheetFormatPr defaultColWidth="11.42578125" defaultRowHeight="15" x14ac:dyDescent="0.25"/>
  <cols>
    <col min="1" max="1" width="24" customWidth="1"/>
    <col min="2" max="2" width="40.85546875" customWidth="1"/>
    <col min="3" max="3" width="40.28515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355" t="s">
        <v>419</v>
      </c>
      <c r="B1" s="146" t="str">
        <f>IF(Basisdaten_Lunge!B13=0,"",Basisdaten_Lunge!B13)</f>
        <v/>
      </c>
    </row>
    <row r="2" spans="1:4" x14ac:dyDescent="0.25">
      <c r="A2" s="355" t="s">
        <v>163</v>
      </c>
      <c r="B2" s="147" t="str">
        <f>IF(Basisdaten_Lunge!I13=0,"",Basisdaten_Lunge!I13)</f>
        <v/>
      </c>
    </row>
    <row r="3" spans="1:4" x14ac:dyDescent="0.25">
      <c r="A3" s="355" t="s">
        <v>225</v>
      </c>
      <c r="B3" s="147" t="str">
        <f>IF(Basisdaten_Lunge!I15=0,"",Basisdaten_Lunge!I15)</f>
        <v/>
      </c>
    </row>
    <row r="5" spans="1:4" s="209" customFormat="1" ht="12.75" x14ac:dyDescent="0.2">
      <c r="A5" s="356" t="s">
        <v>47</v>
      </c>
      <c r="B5" s="356" t="s">
        <v>405</v>
      </c>
      <c r="C5" s="356" t="s">
        <v>562</v>
      </c>
      <c r="D5" s="356" t="s">
        <v>483</v>
      </c>
    </row>
    <row r="6" spans="1:4" s="209" customFormat="1" ht="12.75" x14ac:dyDescent="0.2">
      <c r="A6" s="154" t="str">
        <f>IF(Basisdaten_Lunge!A25=0,"",Basisdaten_Lunge!A25)</f>
        <v/>
      </c>
      <c r="B6" s="154" t="str">
        <f>IF(Basisdaten_Lunge!A28=0,"",Basisdaten_Lunge!A28)</f>
        <v/>
      </c>
      <c r="C6" s="154" t="str">
        <f>IF(Basisdaten_Lunge!F25=0,"",Basisdaten_Lunge!F25)</f>
        <v/>
      </c>
      <c r="D6" s="154" t="str">
        <f>IF(Basisdaten_Lunge!F28=0,"",Basisdaten_Lunge!F28)</f>
        <v>Noch nicht vorhanden</v>
      </c>
    </row>
  </sheetData>
  <phoneticPr fontId="38"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dimension ref="A1:K6"/>
  <sheetViews>
    <sheetView workbookViewId="0">
      <selection activeCell="E17" sqref="E17"/>
    </sheetView>
  </sheetViews>
  <sheetFormatPr defaultColWidth="11.42578125" defaultRowHeight="15" x14ac:dyDescent="0.25"/>
  <cols>
    <col min="1" max="1" width="22.140625" customWidth="1"/>
    <col min="2" max="9" width="11.7109375" customWidth="1"/>
  </cols>
  <sheetData>
    <row r="1" spans="1:11" ht="30" customHeight="1" x14ac:dyDescent="0.25">
      <c r="A1" s="211" t="s">
        <v>550</v>
      </c>
      <c r="B1" s="210" t="str">
        <f>Basisdaten_Lunge!B31</f>
        <v>IA</v>
      </c>
      <c r="C1" s="210" t="str">
        <f>Basisdaten_Lunge!C31</f>
        <v>IB</v>
      </c>
      <c r="D1" s="210" t="str">
        <f>Basisdaten_Lunge!D31</f>
        <v>IIA</v>
      </c>
      <c r="E1" s="210" t="str">
        <f>Basisdaten_Lunge!E31</f>
        <v>IIB</v>
      </c>
      <c r="F1" s="210" t="str">
        <f>Basisdaten_Lunge!F31</f>
        <v>IIIA</v>
      </c>
      <c r="G1" s="210" t="str">
        <f>Basisdaten_Lunge!G31</f>
        <v>IIIB</v>
      </c>
      <c r="H1" s="210" t="str">
        <f>Basisdaten_Lunge!H31</f>
        <v>IIIC</v>
      </c>
      <c r="I1" s="210" t="str">
        <f>Basisdaten_Lunge!I31</f>
        <v>IVA</v>
      </c>
      <c r="J1" s="210" t="str">
        <f>Basisdaten_Lunge!J31</f>
        <v>IVB</v>
      </c>
      <c r="K1" s="210" t="str">
        <f>Basisdaten_Lunge!K31</f>
        <v>Gesamt</v>
      </c>
    </row>
    <row r="2" spans="1:11" ht="45.75" customHeight="1" x14ac:dyDescent="0.25">
      <c r="A2" s="69" t="s">
        <v>951</v>
      </c>
      <c r="B2" s="63" t="str">
        <f>IF(Basisdaten_Lunge!B33="","",Basisdaten_Lunge!B33)</f>
        <v/>
      </c>
      <c r="C2" s="63" t="str">
        <f>IF(Basisdaten_Lunge!C33="","",Basisdaten_Lunge!C33)</f>
        <v/>
      </c>
      <c r="D2" s="63" t="str">
        <f>IF(Basisdaten_Lunge!D33="","",Basisdaten_Lunge!D33)</f>
        <v/>
      </c>
      <c r="E2" s="63" t="str">
        <f>IF(Basisdaten_Lunge!E33="","",Basisdaten_Lunge!E33)</f>
        <v/>
      </c>
      <c r="F2" s="63" t="str">
        <f>IF(Basisdaten_Lunge!F33="","",Basisdaten_Lunge!F33)</f>
        <v/>
      </c>
      <c r="G2" s="63" t="str">
        <f>IF(Basisdaten_Lunge!G33="","",Basisdaten_Lunge!G33)</f>
        <v/>
      </c>
      <c r="H2" s="63" t="str">
        <f>IF(Basisdaten_Lunge!H33="","",Basisdaten_Lunge!H33)</f>
        <v/>
      </c>
      <c r="I2" s="63" t="str">
        <f>IF(Basisdaten_Lunge!I33="","",Basisdaten_Lunge!I33)</f>
        <v/>
      </c>
      <c r="J2" s="63" t="str">
        <f>IF(Basisdaten_Lunge!J33="","",Basisdaten_Lunge!J33)</f>
        <v/>
      </c>
      <c r="K2" s="63" t="str">
        <f>IF(Basisdaten_Lunge!K33="","",Basisdaten_Lunge!K33)</f>
        <v/>
      </c>
    </row>
    <row r="3" spans="1:11" ht="45.75" customHeight="1" x14ac:dyDescent="0.25">
      <c r="A3" s="69" t="s">
        <v>819</v>
      </c>
      <c r="B3" s="63" t="str">
        <f>IF(Basisdaten_Lunge!B34="","",Basisdaten_Lunge!B34)</f>
        <v/>
      </c>
      <c r="C3" s="63" t="str">
        <f>IF(Basisdaten_Lunge!C34="","",Basisdaten_Lunge!C34)</f>
        <v/>
      </c>
      <c r="D3" s="63" t="str">
        <f>IF(Basisdaten_Lunge!D34="","",Basisdaten_Lunge!D34)</f>
        <v/>
      </c>
      <c r="E3" s="63" t="str">
        <f>IF(Basisdaten_Lunge!E34="","",Basisdaten_Lunge!E34)</f>
        <v/>
      </c>
      <c r="F3" s="63" t="str">
        <f>IF(Basisdaten_Lunge!F34="","",Basisdaten_Lunge!F34)</f>
        <v/>
      </c>
      <c r="G3" s="63" t="str">
        <f>IF(Basisdaten_Lunge!G34="","",Basisdaten_Lunge!G34)</f>
        <v/>
      </c>
      <c r="H3" s="63" t="str">
        <f>IF(Basisdaten_Lunge!H34="","",Basisdaten_Lunge!H34)</f>
        <v/>
      </c>
      <c r="I3" s="63" t="str">
        <f>IF(Basisdaten_Lunge!I34="","",Basisdaten_Lunge!I34)</f>
        <v/>
      </c>
      <c r="J3" s="63" t="str">
        <f>IF(Basisdaten_Lunge!J34="","",Basisdaten_Lunge!J34)</f>
        <v/>
      </c>
      <c r="K3" s="63" t="str">
        <f>IF(Basisdaten_Lunge!K34="","",Basisdaten_Lunge!K34)</f>
        <v/>
      </c>
    </row>
    <row r="4" spans="1:11" ht="45.75" customHeight="1" x14ac:dyDescent="0.25">
      <c r="A4" s="69" t="s">
        <v>561</v>
      </c>
      <c r="B4" s="63" t="str">
        <f>IF(Basisdaten_Lunge!B35="","",Basisdaten_Lunge!B35)</f>
        <v/>
      </c>
      <c r="C4" s="63" t="str">
        <f>IF(Basisdaten_Lunge!C35="","",Basisdaten_Lunge!C35)</f>
        <v/>
      </c>
      <c r="D4" s="63" t="str">
        <f>IF(Basisdaten_Lunge!D35="","",Basisdaten_Lunge!D35)</f>
        <v/>
      </c>
      <c r="E4" s="63" t="str">
        <f>IF(Basisdaten_Lunge!E35="","",Basisdaten_Lunge!E35)</f>
        <v/>
      </c>
      <c r="F4" s="63" t="str">
        <f>IF(Basisdaten_Lunge!F35="","",Basisdaten_Lunge!F35)</f>
        <v/>
      </c>
      <c r="G4" s="63" t="str">
        <f>IF(Basisdaten_Lunge!G35="","",Basisdaten_Lunge!G35)</f>
        <v/>
      </c>
      <c r="H4" s="63" t="str">
        <f>IF(Basisdaten_Lunge!H35="","",Basisdaten_Lunge!H35)</f>
        <v/>
      </c>
      <c r="I4" s="63" t="str">
        <f>IF(Basisdaten_Lunge!I35="","",Basisdaten_Lunge!I35)</f>
        <v/>
      </c>
      <c r="J4" s="63" t="str">
        <f>IF(Basisdaten_Lunge!J35="","",Basisdaten_Lunge!J35)</f>
        <v/>
      </c>
      <c r="K4" s="63" t="str">
        <f>IF(Basisdaten_Lunge!K35="","",Basisdaten_Lunge!K35)</f>
        <v/>
      </c>
    </row>
    <row r="5" spans="1:11" ht="45.75" customHeight="1" x14ac:dyDescent="0.25">
      <c r="A5" s="69" t="s">
        <v>948</v>
      </c>
      <c r="B5" s="63" t="str">
        <f>IF(Basisdaten_Lunge!B37="","",Basisdaten_Lunge!B37)</f>
        <v/>
      </c>
      <c r="C5" s="63" t="str">
        <f>IF(Basisdaten_Lunge!C37="","",Basisdaten_Lunge!C37)</f>
        <v/>
      </c>
      <c r="D5" s="63" t="str">
        <f>IF(Basisdaten_Lunge!D37="","",Basisdaten_Lunge!D37)</f>
        <v/>
      </c>
      <c r="E5" s="63" t="str">
        <f>IF(Basisdaten_Lunge!E37="","",Basisdaten_Lunge!E37)</f>
        <v/>
      </c>
      <c r="F5" s="63" t="str">
        <f>IF(Basisdaten_Lunge!F37="","",Basisdaten_Lunge!F37)</f>
        <v/>
      </c>
      <c r="G5" s="63" t="str">
        <f>IF(Basisdaten_Lunge!G37="","",Basisdaten_Lunge!G37)</f>
        <v/>
      </c>
      <c r="H5" s="63" t="str">
        <f>IF(Basisdaten_Lunge!H37="","",Basisdaten_Lunge!H37)</f>
        <v/>
      </c>
      <c r="I5" s="63" t="str">
        <f>IF(Basisdaten_Lunge!I37="","",Basisdaten_Lunge!I37)</f>
        <v/>
      </c>
      <c r="J5" s="63" t="str">
        <f>IF(Basisdaten_Lunge!J37="","",Basisdaten_Lunge!J37)</f>
        <v/>
      </c>
      <c r="K5" s="63" t="str">
        <f>IF(Basisdaten_Lunge!K37="","",Basisdaten_Lunge!K37)</f>
        <v/>
      </c>
    </row>
    <row r="6" spans="1:11" ht="74.25" customHeight="1" x14ac:dyDescent="0.25">
      <c r="A6" s="69" t="s">
        <v>559</v>
      </c>
      <c r="B6" s="354" t="str">
        <f>IF(Basisdaten_Lunge!B39="","",Basisdaten_Lunge!B39)</f>
        <v/>
      </c>
      <c r="C6" s="354" t="str">
        <f>IF(Basisdaten_Lunge!C39="","",Basisdaten_Lunge!C39)</f>
        <v/>
      </c>
      <c r="D6" s="354" t="str">
        <f>IF(Basisdaten_Lunge!D39="","",Basisdaten_Lunge!D39)</f>
        <v/>
      </c>
      <c r="E6" s="354" t="str">
        <f>IF(Basisdaten_Lunge!E39="","",Basisdaten_Lunge!E39)</f>
        <v/>
      </c>
      <c r="F6" s="354" t="str">
        <f>IF(Basisdaten_Lunge!F39="","",Basisdaten_Lunge!F39)</f>
        <v/>
      </c>
      <c r="G6" s="354" t="str">
        <f>IF(Basisdaten_Lunge!G39="","",Basisdaten_Lunge!G39)</f>
        <v/>
      </c>
      <c r="H6" s="354" t="str">
        <f>IF(Basisdaten_Lunge!I39="","",Basisdaten_Lunge!I39)</f>
        <v/>
      </c>
      <c r="I6" s="354"/>
      <c r="J6" s="354"/>
      <c r="K6" s="360" t="str">
        <f>IF(Basisdaten_Lunge!K39="","",Basisdaten_Lunge!K39)</f>
        <v/>
      </c>
    </row>
  </sheetData>
  <phoneticPr fontId="3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33"/>
  <sheetViews>
    <sheetView showGridLines="0" topLeftCell="A4" zoomScaleNormal="100" zoomScaleSheetLayoutView="100" workbookViewId="0">
      <selection activeCell="M25" sqref="M25"/>
    </sheetView>
  </sheetViews>
  <sheetFormatPr defaultColWidth="11.42578125" defaultRowHeight="15" x14ac:dyDescent="0.25"/>
  <cols>
    <col min="1" max="1" width="3.85546875" style="71" customWidth="1"/>
    <col min="2" max="2" width="5" style="71" customWidth="1"/>
    <col min="3" max="3" width="14.5703125" style="71" customWidth="1"/>
    <col min="4" max="4" width="9.42578125" style="71" customWidth="1"/>
    <col min="5" max="5" width="10.7109375" style="71" customWidth="1"/>
    <col min="6" max="6" width="4.42578125" style="71" customWidth="1"/>
    <col min="7" max="7" width="3.42578125" style="71" customWidth="1"/>
    <col min="8" max="8" width="10.28515625" style="71" customWidth="1"/>
    <col min="9" max="9" width="20.7109375" style="71" customWidth="1"/>
    <col min="10" max="10" width="15.7109375" style="71" customWidth="1"/>
    <col min="11" max="11" width="6.28515625" style="71" customWidth="1"/>
    <col min="12" max="12" width="15.7109375" style="71" customWidth="1"/>
    <col min="13" max="13" width="6.7109375" style="71" customWidth="1"/>
    <col min="14" max="14" width="11.5703125" style="71" customWidth="1"/>
    <col min="15" max="15" width="8" style="71" customWidth="1"/>
    <col min="16" max="16" width="8.7109375" style="71" customWidth="1"/>
    <col min="17" max="17" width="61.28515625" style="71" customWidth="1"/>
    <col min="18" max="18" width="55.5703125" style="71" customWidth="1"/>
    <col min="19" max="19" width="9.140625" style="71" hidden="1" customWidth="1"/>
    <col min="20" max="257" width="9.140625" style="71" customWidth="1"/>
    <col min="258" max="16384" width="11.42578125" style="71"/>
  </cols>
  <sheetData>
    <row r="1" spans="1:19" s="14" customFormat="1" ht="9.9499999999999993" customHeight="1" x14ac:dyDescent="0.2"/>
    <row r="2" spans="1:19" s="14" customFormat="1" ht="12.95" customHeight="1" x14ac:dyDescent="0.2">
      <c r="A2" s="348" t="str">
        <f>Basisdaten_Lunge!A2</f>
        <v>Anlage EB Version I1.3 (Auditjahr 2023 / Kennzahlenjahr 2022)</v>
      </c>
    </row>
    <row r="3" spans="1:19" s="14" customFormat="1" ht="16.5" customHeight="1" x14ac:dyDescent="0.25">
      <c r="A3" s="83" t="s">
        <v>358</v>
      </c>
    </row>
    <row r="4" spans="1:19" s="14" customFormat="1" ht="15.75" customHeight="1" x14ac:dyDescent="0.2"/>
    <row r="5" spans="1:19" s="14" customFormat="1" ht="15" customHeight="1" x14ac:dyDescent="0.2">
      <c r="P5" s="70"/>
    </row>
    <row r="6" spans="1:19" s="13" customFormat="1" ht="15" customHeight="1" x14ac:dyDescent="0.25">
      <c r="A6" s="64" t="s">
        <v>236</v>
      </c>
      <c r="B6" s="26"/>
      <c r="C6" s="605" t="str">
        <f>IF(Basisdaten_Lunge!B9=0,"",Basisdaten_Lunge!B9)</f>
        <v/>
      </c>
      <c r="D6" s="607"/>
      <c r="E6" s="607"/>
      <c r="F6" s="607"/>
      <c r="G6" s="607"/>
      <c r="H6" s="607"/>
      <c r="I6" s="607"/>
      <c r="J6" s="607"/>
      <c r="K6" s="607"/>
      <c r="L6" s="606"/>
      <c r="M6" s="71"/>
      <c r="N6" s="71"/>
      <c r="O6" s="71"/>
      <c r="Q6" s="72"/>
      <c r="R6" s="72"/>
      <c r="S6" s="18"/>
    </row>
    <row r="7" spans="1:19" s="13" customFormat="1" ht="6.95" customHeight="1" x14ac:dyDescent="0.2">
      <c r="A7" s="6"/>
      <c r="B7" s="6"/>
      <c r="C7" s="22"/>
      <c r="D7" s="70"/>
      <c r="E7" s="70"/>
      <c r="F7" s="70"/>
      <c r="G7" s="70"/>
      <c r="H7" s="70"/>
      <c r="I7" s="70"/>
      <c r="J7" s="70"/>
      <c r="K7" s="70"/>
      <c r="L7" s="70"/>
      <c r="M7" s="70"/>
      <c r="N7" s="70"/>
      <c r="O7" s="70"/>
      <c r="P7" s="70"/>
      <c r="Q7" s="72"/>
      <c r="R7" s="72"/>
      <c r="S7" s="18"/>
    </row>
    <row r="8" spans="1:19" s="13" customFormat="1" ht="15" customHeight="1" x14ac:dyDescent="0.25">
      <c r="A8" s="64" t="s">
        <v>166</v>
      </c>
      <c r="B8" s="26"/>
      <c r="C8" s="605" t="str">
        <f>IF(Basisdaten_Lunge!B7=0,"",Basisdaten_Lunge!B7)</f>
        <v/>
      </c>
      <c r="D8" s="606"/>
      <c r="J8" s="73" t="s">
        <v>163</v>
      </c>
      <c r="K8" s="74"/>
      <c r="L8" s="75" t="str">
        <f>IF(Basisdaten_Lunge!I13=0,"",Basisdaten_Lunge!I13)</f>
        <v/>
      </c>
      <c r="Q8" s="72"/>
      <c r="R8" s="72"/>
      <c r="S8" s="18"/>
    </row>
    <row r="9" spans="1:19" ht="5.25" customHeight="1" x14ac:dyDescent="0.25"/>
    <row r="10" spans="1:19" ht="45" customHeight="1" x14ac:dyDescent="0.25">
      <c r="A10" s="611" t="s">
        <v>560</v>
      </c>
      <c r="B10" s="612"/>
      <c r="C10" s="612"/>
      <c r="D10" s="612"/>
      <c r="E10" s="612"/>
      <c r="F10" s="612"/>
      <c r="G10" s="612"/>
      <c r="H10" s="613"/>
      <c r="I10" s="613"/>
      <c r="J10" s="613"/>
      <c r="K10" s="613"/>
      <c r="L10" s="613"/>
      <c r="M10" s="613"/>
      <c r="N10" s="613"/>
      <c r="O10" s="613"/>
      <c r="P10" s="613"/>
    </row>
    <row r="11" spans="1:19" ht="3.75" customHeight="1" thickBot="1" x14ac:dyDescent="0.3"/>
    <row r="12" spans="1:19" ht="19.5" customHeight="1" thickBot="1" x14ac:dyDescent="0.3">
      <c r="A12" s="614" t="s">
        <v>492</v>
      </c>
      <c r="B12" s="614" t="s">
        <v>0</v>
      </c>
      <c r="C12" s="614" t="s">
        <v>363</v>
      </c>
      <c r="D12" s="621" t="s">
        <v>357</v>
      </c>
      <c r="E12" s="631"/>
      <c r="F12" s="628" t="s">
        <v>368</v>
      </c>
      <c r="G12" s="629"/>
      <c r="H12" s="621" t="s">
        <v>408</v>
      </c>
      <c r="I12" s="622"/>
      <c r="J12" s="622"/>
      <c r="K12" s="623"/>
      <c r="L12" s="624"/>
      <c r="M12" s="614" t="s">
        <v>25</v>
      </c>
      <c r="N12" s="614" t="s">
        <v>1030</v>
      </c>
      <c r="O12" s="614" t="s">
        <v>1031</v>
      </c>
      <c r="P12" s="614" t="s">
        <v>392</v>
      </c>
      <c r="Q12" s="625" t="s">
        <v>165</v>
      </c>
      <c r="R12" s="626"/>
    </row>
    <row r="13" spans="1:19" ht="33" customHeight="1" thickBot="1" x14ac:dyDescent="0.3">
      <c r="A13" s="615"/>
      <c r="B13" s="615"/>
      <c r="C13" s="615"/>
      <c r="D13" s="632"/>
      <c r="E13" s="633"/>
      <c r="F13" s="630"/>
      <c r="G13" s="629"/>
      <c r="H13" s="105"/>
      <c r="I13" s="77" t="s">
        <v>371</v>
      </c>
      <c r="J13" s="77" t="s">
        <v>372</v>
      </c>
      <c r="K13" s="106" t="s">
        <v>359</v>
      </c>
      <c r="L13" s="77" t="s">
        <v>373</v>
      </c>
      <c r="M13" s="627"/>
      <c r="N13" s="616"/>
      <c r="O13" s="615"/>
      <c r="P13" s="586"/>
      <c r="Q13" s="76" t="s">
        <v>1032</v>
      </c>
      <c r="R13" s="76" t="s">
        <v>1033</v>
      </c>
    </row>
    <row r="14" spans="1:19" s="14" customFormat="1" ht="26.1" customHeight="1" thickBot="1" x14ac:dyDescent="0.25">
      <c r="A14" s="585">
        <f>KB_Lunge!A40</f>
        <v>8</v>
      </c>
      <c r="B14" s="587" t="s">
        <v>277</v>
      </c>
      <c r="C14" s="581" t="str">
        <f>KB_Lunge!C40</f>
        <v xml:space="preserve">Flexible Bronchoskopie </v>
      </c>
      <c r="D14" s="581" t="str">
        <f>KB_Lunge!F40</f>
        <v>Flexible Bronchoskopien je Leistungserbringer</v>
      </c>
      <c r="E14" s="582"/>
      <c r="F14" s="594" t="str">
        <f>KB_Lunge!K40</f>
        <v>≥ 500</v>
      </c>
      <c r="G14" s="595"/>
      <c r="H14" s="78" t="s">
        <v>346</v>
      </c>
      <c r="I14" s="84"/>
      <c r="J14" s="84"/>
      <c r="K14" s="337"/>
      <c r="L14" s="84"/>
      <c r="M14" s="85"/>
      <c r="N14" s="310" t="str">
        <f>IF(COUNTIF(I14:M14,"")&gt;0,Berechnung1!$F$5,IF(OR(M14&lt; Berechnung1!$E$54,M14&gt; Berechnung1!$F$54),Berechnung1!$G$5,IF(OR(ROUND(M14,4)&lt;Berechnung1!$J$54,ROUND(M14,4)&gt;Berechnung1!$K$54),Berechnung1!$D$5,IF(OR(ROUND(M14,4)&lt;Berechnung1!$G$54,ROUND(M14,4)&gt;Berechnung1!$H$54),Berechnung1!$E$5,Berechnung1!$C$5))))</f>
        <v>Unvollständig</v>
      </c>
      <c r="O14" s="585" t="str">
        <f>IF(SUM(Expertise_Lunge!M14:M16)=0,"",SUM(Expertise_Lunge!M14:M16))</f>
        <v/>
      </c>
      <c r="P14" s="589" t="str">
        <f>IF(O14="",Berechnung1!$F$5, IF(O14=0,Berechnung1!$D$5,IF(OR(O14&lt; Berechnung1!E54,O14&gt; Berechnung1!F54),Berechnung1!$G$5,IF(OR(ROUND(O14,4)&lt;Berechnung1!J54,ROUND(O14,4)&gt;Berechnung1!K54),Berechnung1!$D$5,IF(OR(ROUND(O14,4)&lt;Berechnung1!G54,ROUND(O14,4)&gt;Berechnung1!H54),Berechnung1!$E$5,Berechnung1!$C$5)))))</f>
        <v>Unvollständig</v>
      </c>
      <c r="Q14" s="511"/>
      <c r="R14" s="512"/>
    </row>
    <row r="15" spans="1:19" s="14" customFormat="1" ht="26.1" customHeight="1" thickBot="1" x14ac:dyDescent="0.25">
      <c r="A15" s="586"/>
      <c r="B15" s="588"/>
      <c r="C15" s="583"/>
      <c r="D15" s="583"/>
      <c r="E15" s="584"/>
      <c r="F15" s="634"/>
      <c r="G15" s="597"/>
      <c r="H15" s="78" t="s">
        <v>347</v>
      </c>
      <c r="I15" s="86"/>
      <c r="J15" s="86"/>
      <c r="K15" s="338"/>
      <c r="L15" s="86"/>
      <c r="M15" s="85"/>
      <c r="N15" s="142" t="str">
        <f>IF(COUNTIF(I15:M15,"")=5,"",IF(COUNTIF(I15:M15,"")&gt;0,Berechnung1!$F$5,IF(OR(M15&lt;Berechnung1!$E$54,M15&gt;Berechnung1!$F$54),Berechnung1!$G$5,IF(OR(ROUND(M15,4)&lt;Berechnung1!$J$54,ROUND(M15,4)&gt;Berechnung1!$K$54),Berechnung1!$D$5,IF(OR(ROUND(M15,4)&lt;Berechnung1!$G$54,ROUND(M15,4)&gt;Berechnung1!$H$54),Berechnung1!$E$5,Berechnung1!$C$5)))))</f>
        <v/>
      </c>
      <c r="O15" s="600"/>
      <c r="P15" s="590"/>
      <c r="Q15" s="511"/>
      <c r="R15" s="512"/>
    </row>
    <row r="16" spans="1:19" s="14" customFormat="1" ht="26.1" customHeight="1" thickBot="1" x14ac:dyDescent="0.25">
      <c r="A16" s="586"/>
      <c r="B16" s="588"/>
      <c r="C16" s="583"/>
      <c r="D16" s="583"/>
      <c r="E16" s="584"/>
      <c r="F16" s="634"/>
      <c r="G16" s="597"/>
      <c r="H16" s="78" t="s">
        <v>348</v>
      </c>
      <c r="I16" s="86"/>
      <c r="J16" s="86"/>
      <c r="K16" s="338"/>
      <c r="L16" s="86"/>
      <c r="M16" s="85"/>
      <c r="N16" s="142" t="str">
        <f>IF(COUNTIF(I16:M16,"")=5,"",IF(COUNTIF(I16:M16,"")&gt;0,Berechnung1!$F$5,IF(OR(M16&lt;Berechnung1!$E$54,M16&gt;Berechnung1!$F$54),Berechnung1!$G$5,IF(OR(ROUND(M16,4)&lt;Berechnung1!$J$54,ROUND(M16,4)&gt;Berechnung1!$K$54),Berechnung1!$D$5,IF(OR(ROUND(M16,4)&lt;Berechnung1!$G$54,ROUND(M16,4)&gt;Berechnung1!$H$54),Berechnung1!$E$5,Berechnung1!$C$5)))))</f>
        <v/>
      </c>
      <c r="O16" s="604"/>
      <c r="P16" s="590"/>
      <c r="Q16" s="511"/>
      <c r="R16" s="512"/>
    </row>
    <row r="17" spans="1:18" s="14" customFormat="1" ht="34.5" customHeight="1" thickBot="1" x14ac:dyDescent="0.25">
      <c r="A17" s="585">
        <f>KB_Lunge!A43</f>
        <v>9</v>
      </c>
      <c r="B17" s="587" t="s">
        <v>277</v>
      </c>
      <c r="C17" s="581" t="str">
        <f>KB_Lunge!C43</f>
        <v xml:space="preserve">Interventionelle bronchoskopische Eingriffe bei Tumorverschluss oder Stenosen </v>
      </c>
      <c r="D17" s="581" t="str">
        <f>KB_Lunge!F43</f>
        <v>Interventionelle bronchoskopische Eingriffe bei Tumorverschluss oder Stenosen (Thermische Verfahren u. Stenteinlage) je Leistungserbringer (OPS: 5-319.14, 5-319.15, 
5-320.0)</v>
      </c>
      <c r="E17" s="582"/>
      <c r="F17" s="617" t="str">
        <f>KB_Lunge!K43</f>
        <v>≥ 10</v>
      </c>
      <c r="G17" s="618"/>
      <c r="H17" s="78" t="s">
        <v>346</v>
      </c>
      <c r="I17" s="307" t="str">
        <f>IF(I14="","",I14)</f>
        <v/>
      </c>
      <c r="J17" s="307" t="str">
        <f>IF(J14="","",J14)</f>
        <v/>
      </c>
      <c r="K17" s="1" t="str">
        <f>IF(K14="","",K14)</f>
        <v/>
      </c>
      <c r="L17" s="307" t="str">
        <f>IF(L14="","",L14)</f>
        <v/>
      </c>
      <c r="M17" s="85"/>
      <c r="N17" s="310" t="str">
        <f>IF(COUNTIF(I17:M17,"")&gt;0,Berechnung1!$F$5, IF(OR(M17&lt; Berechnung1!$E$57,M17&gt; Berechnung1!$F$57),Berechnung1!$G$5,IF(OR(ROUND(M17,4)&lt;Berechnung1!$J$57,ROUND(M17,4)&gt;Berechnung1!$K$57),Berechnung1!$D$5,IF(OR(ROUND(M17,4)&lt;Berechnung1!$G$57,ROUND(M17,4)&gt;Berechnung1!$H$57),Berechnung1!$E$5,Berechnung1!$C$5))))</f>
        <v>Unvollständig</v>
      </c>
      <c r="O17" s="585" t="str">
        <f>IF(SUM(Expertise_Lunge!M17:M19)=0,"",SUM(Expertise_Lunge!M17:M19))</f>
        <v/>
      </c>
      <c r="P17" s="589" t="str">
        <f>IF(O17="",Berechnung1!$F$5, IF(O17=0,Berechnung1!$D$5,IF(OR(O17&lt; Berechnung1!E57,O17&gt; Berechnung1!F57),Berechnung1!$G$5,IF(OR(ROUND(O17,4)&lt;Berechnung1!J57,ROUND(O17,4)&gt;Berechnung1!K57),Berechnung1!$D$5,IF(OR(ROUND(O17,4)&lt;Berechnung1!G57,ROUND(O17,4)&gt;Berechnung1!H57),Berechnung1!$E$5,Berechnung1!$C$5)))))</f>
        <v>Unvollständig</v>
      </c>
      <c r="Q17" s="511"/>
      <c r="R17" s="512"/>
    </row>
    <row r="18" spans="1:18" s="14" customFormat="1" ht="34.5" customHeight="1" thickBot="1" x14ac:dyDescent="0.25">
      <c r="A18" s="586"/>
      <c r="B18" s="588"/>
      <c r="C18" s="583"/>
      <c r="D18" s="583"/>
      <c r="E18" s="584"/>
      <c r="F18" s="619"/>
      <c r="G18" s="620"/>
      <c r="H18" s="78" t="s">
        <v>347</v>
      </c>
      <c r="I18" s="307" t="str">
        <f t="shared" ref="I18:L18" si="0">IF(I15="","",I15)</f>
        <v/>
      </c>
      <c r="J18" s="307" t="str">
        <f t="shared" si="0"/>
        <v/>
      </c>
      <c r="K18" s="1" t="str">
        <f t="shared" si="0"/>
        <v/>
      </c>
      <c r="L18" s="307" t="str">
        <f t="shared" si="0"/>
        <v/>
      </c>
      <c r="M18" s="85"/>
      <c r="N18" s="142" t="str">
        <f>IF(COUNTIF(I18:M18,"")=5,"",IF(COUNTIF(I18:M18,"")&gt;0,Berechnung1!$F$5, IF(OR(M18&lt; Berechnung1!$E$57,M18&gt; Berechnung1!$F$57),Berechnung1!$G$5,IF(OR(ROUND(M18,4)&lt;Berechnung1!$J$57,ROUND(M18,4)&gt;Berechnung1!$K$57),Berechnung1!$D$5,IF(OR(ROUND(M18,4)&lt;Berechnung1!$G$57,ROUND(M18,4)&gt;Berechnung1!$H$57),Berechnung1!$E$5,Berechnung1!$C$5)))))</f>
        <v/>
      </c>
      <c r="O18" s="600"/>
      <c r="P18" s="590"/>
      <c r="Q18" s="511"/>
      <c r="R18" s="512"/>
    </row>
    <row r="19" spans="1:18" s="14" customFormat="1" ht="34.5" customHeight="1" thickBot="1" x14ac:dyDescent="0.25">
      <c r="A19" s="586"/>
      <c r="B19" s="588"/>
      <c r="C19" s="583"/>
      <c r="D19" s="583"/>
      <c r="E19" s="584"/>
      <c r="F19" s="619"/>
      <c r="G19" s="620"/>
      <c r="H19" s="78" t="s">
        <v>348</v>
      </c>
      <c r="I19" s="307" t="str">
        <f t="shared" ref="I19:L19" si="1">IF(I16="","",I16)</f>
        <v/>
      </c>
      <c r="J19" s="307" t="str">
        <f t="shared" si="1"/>
        <v/>
      </c>
      <c r="K19" s="1" t="str">
        <f t="shared" si="1"/>
        <v/>
      </c>
      <c r="L19" s="307" t="str">
        <f t="shared" si="1"/>
        <v/>
      </c>
      <c r="M19" s="85"/>
      <c r="N19" s="142" t="str">
        <f>IF(COUNTIF(I19:M19,"")=5,"",IF(COUNTIF(I19:M19,"")&gt;0,Berechnung1!$F$5, IF(OR(M19&lt; Berechnung1!$E$57,M19&gt; Berechnung1!$F$57),Berechnung1!$G$5,IF(OR(ROUND(M19,4)&lt;Berechnung1!$J$57,ROUND(M19,4)&gt;Berechnung1!$K$57),Berechnung1!$D$5,IF(OR(ROUND(M19,4)&lt;Berechnung1!$G$57,ROUND(M19,4)&gt;Berechnung1!$H$57),Berechnung1!$E$5,Berechnung1!$C$5)))))</f>
        <v/>
      </c>
      <c r="O19" s="604"/>
      <c r="P19" s="590"/>
      <c r="Q19" s="511"/>
      <c r="R19" s="512"/>
    </row>
    <row r="20" spans="1:18" s="14" customFormat="1" ht="28.5" customHeight="1" thickBot="1" x14ac:dyDescent="0.25">
      <c r="A20" s="585">
        <f>KB_Lunge!A73</f>
        <v>18</v>
      </c>
      <c r="B20" s="587" t="s">
        <v>629</v>
      </c>
      <c r="C20" s="581" t="str">
        <f>KB_Lunge!C73</f>
        <v>Thorakale Bestrahlungen</v>
      </c>
      <c r="D20" s="581" t="str">
        <f>KB_Lunge!F73</f>
        <v>Anzahl Pat. mit Lungenkarzinom und thorakaler Bestrahlung als Primärbehandlung*  (keine Beschränkung auf Primärfälle des Zentrums)
* erstmalige thorakale Bestrahlung</v>
      </c>
      <c r="E20" s="582"/>
      <c r="F20" s="594" t="str">
        <f>KB_Lunge!K73</f>
        <v>≥ 50</v>
      </c>
      <c r="G20" s="595"/>
      <c r="H20" s="78" t="s">
        <v>342</v>
      </c>
      <c r="I20" s="84"/>
      <c r="J20" s="84"/>
      <c r="K20" s="522"/>
      <c r="L20" s="84"/>
      <c r="M20" s="85"/>
      <c r="N20" s="310" t="str">
        <f>IF(COUNTIF(I20:M20,"")&gt;0,Berechnung1!$F$5, IF(OR(M20&lt; Berechnung1!$E$87,M20&gt; Berechnung1!$F$87),Berechnung1!$G$5,IF(OR(ROUND(M20,4)&lt;Berechnung1!$J$87,ROUND(M20,4)&gt;Berechnung1!$K$87),Berechnung1!$D$5,IF(OR(ROUND(M20,4)&lt;Berechnung1!$G$87,ROUND(M20,4)&gt;Berechnung1!$H$87),Berechnung1!$E$5,Berechnung1!$C$5))))</f>
        <v>Unvollständig</v>
      </c>
      <c r="O20" s="585" t="str">
        <f>IF(SUM(Expertise_Lunge!M20:M23)=0,"",SUM(Expertise_Lunge!M20:M23))</f>
        <v/>
      </c>
      <c r="P20" s="591" t="str">
        <f>IF(O20="",Berechnung1!$F$5, IF(O20=0,Berechnung1!$D$5,IF(OR(O20&lt; Berechnung1!E87,O20&gt; Berechnung1!F57),Berechnung1!$G$5,IF(OR(ROUND(O20,4)&lt;Berechnung1!J87,ROUND(O20,4)&gt;Berechnung1!K87),Berechnung1!$D$5,IF(OR(ROUND(O20,4)&lt;Berechnung1!G87,ROUND(O20,4)&gt;Berechnung1!H87),Berechnung1!$E$5,Berechnung1!$C$5)))))</f>
        <v>Unvollständig</v>
      </c>
      <c r="Q20" s="511"/>
      <c r="R20" s="512"/>
    </row>
    <row r="21" spans="1:18" s="14" customFormat="1" ht="28.5" customHeight="1" thickBot="1" x14ac:dyDescent="0.25">
      <c r="A21" s="600"/>
      <c r="B21" s="602"/>
      <c r="C21" s="608"/>
      <c r="D21" s="608"/>
      <c r="E21" s="584"/>
      <c r="F21" s="596"/>
      <c r="G21" s="597"/>
      <c r="H21" s="78" t="s">
        <v>343</v>
      </c>
      <c r="I21" s="86"/>
      <c r="J21" s="86"/>
      <c r="K21" s="338"/>
      <c r="L21" s="86"/>
      <c r="M21" s="85"/>
      <c r="N21" s="142" t="str">
        <f>IF(COUNTIF(I21:M21,"")=5,"",IF(COUNTIF(I21:M21,"")&gt;0,Berechnung1!$F$5,IF(OR(M21&lt; Berechnung1!$E$87,M21&gt; Berechnung1!$F$87),Berechnung1!$G$5,IF(OR(ROUND(M21,4)&lt;Berechnung1!$J$87,ROUND(M21,4)&gt;Berechnung1!$K$87),Berechnung1!$D$5,IF(OR(ROUND(M21,4)&lt;Berechnung1!$G$87,ROUND(M21,4)&gt;Berechnung1!$H$87),Berechnung1!$E$5,Berechnung1!$C$5)))))</f>
        <v/>
      </c>
      <c r="O21" s="600"/>
      <c r="P21" s="592"/>
      <c r="Q21" s="511"/>
      <c r="R21" s="512"/>
    </row>
    <row r="22" spans="1:18" s="14" customFormat="1" ht="28.5" customHeight="1" thickBot="1" x14ac:dyDescent="0.25">
      <c r="A22" s="600"/>
      <c r="B22" s="602"/>
      <c r="C22" s="608"/>
      <c r="D22" s="608"/>
      <c r="E22" s="584"/>
      <c r="F22" s="596"/>
      <c r="G22" s="597"/>
      <c r="H22" s="78" t="s">
        <v>344</v>
      </c>
      <c r="I22" s="86"/>
      <c r="J22" s="86"/>
      <c r="K22" s="338"/>
      <c r="L22" s="86"/>
      <c r="M22" s="85"/>
      <c r="N22" s="142" t="str">
        <f>IF(COUNTIF(I22:M22,"")=5,"",IF(COUNTIF(I22:M22,"")&gt;0,Berechnung1!$F$5,IF(OR(M22&lt; Berechnung1!$E$87,M22&gt; Berechnung1!$F$87),Berechnung1!$G$5,IF(OR(ROUND(M22,4)&lt;Berechnung1!$J$87,ROUND(M22,4)&gt;Berechnung1!$K$87),Berechnung1!$D$5,IF(OR(ROUND(M22,4)&lt;Berechnung1!$G$87,ROUND(M22,4)&gt;Berechnung1!$H$87),Berechnung1!$E$5,Berechnung1!$C$5)))))</f>
        <v/>
      </c>
      <c r="O22" s="600"/>
      <c r="P22" s="592"/>
      <c r="Q22" s="511"/>
      <c r="R22" s="512"/>
    </row>
    <row r="23" spans="1:18" s="14" customFormat="1" ht="28.5" customHeight="1" thickBot="1" x14ac:dyDescent="0.25">
      <c r="A23" s="601"/>
      <c r="B23" s="603"/>
      <c r="C23" s="609"/>
      <c r="D23" s="609"/>
      <c r="E23" s="610"/>
      <c r="F23" s="598"/>
      <c r="G23" s="599"/>
      <c r="H23" s="78" t="s">
        <v>345</v>
      </c>
      <c r="I23" s="86"/>
      <c r="J23" s="86"/>
      <c r="K23" s="338"/>
      <c r="L23" s="86"/>
      <c r="M23" s="85"/>
      <c r="N23" s="142" t="str">
        <f>IF(COUNTIF(I23:M23,"")=5,"",IF(COUNTIF(I23:M23,"")&gt;0,Berechnung1!$F$5,IF(OR(M23&lt; Berechnung1!$E$87,M23&gt; Berechnung1!$F$87),Berechnung1!$G$5,IF(OR(ROUND(M23,4)&lt;Berechnung1!$J$87,ROUND(M23,4)&gt;Berechnung1!$K$87),Berechnung1!$D$5,IF(OR(ROUND(M23,4)&lt;Berechnung1!$G$87,ROUND(M23,4)&gt;Berechnung1!$H$87),Berechnung1!$E$5,Berechnung1!$C$5)))))</f>
        <v/>
      </c>
      <c r="O23" s="604"/>
      <c r="P23" s="593"/>
      <c r="Q23" s="511"/>
      <c r="R23" s="512"/>
    </row>
    <row r="24" spans="1:18" s="14" customFormat="1" ht="28.5" customHeight="1" thickBot="1" x14ac:dyDescent="0.25">
      <c r="A24" s="585">
        <f>KB_Lunge!A79</f>
        <v>20</v>
      </c>
      <c r="B24" s="587" t="s">
        <v>630</v>
      </c>
      <c r="C24" s="581" t="str">
        <f>KB_Lunge!C79</f>
        <v>Pathologische Begutachtungen</v>
      </c>
      <c r="D24" s="581" t="str">
        <f>KB_Lunge!F79</f>
        <v>Begutachtete maligne Lungenfälle</v>
      </c>
      <c r="E24" s="582"/>
      <c r="F24" s="594" t="str">
        <f>KB_Lunge!K79</f>
        <v>≥ 200 maligne Lungenfälle 
(je Facharzt 100 L.)</v>
      </c>
      <c r="G24" s="595"/>
      <c r="H24" s="78" t="s">
        <v>353</v>
      </c>
      <c r="I24" s="84"/>
      <c r="J24" s="84"/>
      <c r="K24" s="522"/>
      <c r="L24" s="84"/>
      <c r="M24" s="85"/>
      <c r="N24" s="310" t="str">
        <f>IF(COUNTIF(I24:M24,"")&gt;0,Berechnung1!$F$5, IF(OR(M24&lt; Berechnung1!$E$93,M24&gt; Berechnung1!$F$93),Berechnung1!$G$5,IF(OR(ROUND(M24,4)&lt;Berechnung1!$J$93,ROUND(M24,4)&gt;Berechnung1!$K$93),Berechnung1!$D$5,IF(OR(ROUND(M24,4)&lt;Berechnung1!$G$93,ROUND(M24,4)&gt;Berechnung1!$H$93),Berechnung1!$E$5,Berechnung1!$C$5))))</f>
        <v>Unvollständig</v>
      </c>
      <c r="O24" s="585" t="str">
        <f>IF(SUM(Expertise_Lunge!M24:M27)=0,"",SUM(Expertise_Lunge!M24:M27))</f>
        <v/>
      </c>
      <c r="P24" s="591" t="str">
        <f>IF(O24="",Berechnung1!$F$5, IF(O24=0,Berechnung1!$D$5,IF(OR(O24&lt; Berechnung1!E93,O24&gt; Berechnung1!F93),Berechnung1!$G$5,IF(OR(ROUND(O24,4)&lt;Berechnung1!J93,ROUND(O24,4)&gt;Berechnung1!K93),Berechnung1!$D$5,IF(OR(ROUND(O24,4)&lt;Berechnung1!G93,ROUND(O24,4)&gt;Berechnung1!H93),Berechnung1!$E$5,Berechnung1!$C$5)))))</f>
        <v>Unvollständig</v>
      </c>
      <c r="Q24" s="511"/>
      <c r="R24" s="512"/>
    </row>
    <row r="25" spans="1:18" s="14" customFormat="1" ht="28.5" customHeight="1" thickBot="1" x14ac:dyDescent="0.25">
      <c r="A25" s="600"/>
      <c r="B25" s="602"/>
      <c r="C25" s="608"/>
      <c r="D25" s="608"/>
      <c r="E25" s="584"/>
      <c r="F25" s="596"/>
      <c r="G25" s="597"/>
      <c r="H25" s="78" t="s">
        <v>354</v>
      </c>
      <c r="I25" s="86"/>
      <c r="J25" s="86"/>
      <c r="K25" s="338"/>
      <c r="L25" s="86"/>
      <c r="M25" s="85"/>
      <c r="N25" s="142" t="str">
        <f>IF(COUNTIF(I25:M25,"")=5,"",IF(COUNTIF(I25:M25,"")&gt;0,Berechnung1!$F$5, IF(OR(M25&lt; Berechnung1!$E$93,M25&gt; Berechnung1!$F$93),Berechnung1!$G$5,IF(OR(ROUND(M25,4)&lt;Berechnung1!$J$93,ROUND(M25,4)&gt;Berechnung1!$K$93),Berechnung1!$D$5,IF(OR(ROUND(M25,4)&lt;Berechnung1!$G$93,ROUND(M25,4)&gt;Berechnung1!$H$93),Berechnung1!$E$5,Berechnung1!$C$5)))))</f>
        <v/>
      </c>
      <c r="O25" s="600"/>
      <c r="P25" s="592"/>
      <c r="Q25" s="511"/>
      <c r="R25" s="512"/>
    </row>
    <row r="26" spans="1:18" s="14" customFormat="1" ht="28.5" customHeight="1" thickBot="1" x14ac:dyDescent="0.25">
      <c r="A26" s="600"/>
      <c r="B26" s="602"/>
      <c r="C26" s="608"/>
      <c r="D26" s="608"/>
      <c r="E26" s="584"/>
      <c r="F26" s="596"/>
      <c r="G26" s="597"/>
      <c r="H26" s="78" t="s">
        <v>355</v>
      </c>
      <c r="I26" s="86"/>
      <c r="J26" s="86"/>
      <c r="K26" s="338"/>
      <c r="L26" s="86"/>
      <c r="M26" s="85"/>
      <c r="N26" s="142" t="str">
        <f>IF(COUNTIF(I26:M26,"")=5,"",IF(COUNTIF(I26:M26,"")&gt;0,Berechnung1!$F$5, IF(OR(M26&lt; Berechnung1!$E$93,M26&gt; Berechnung1!$F$93),Berechnung1!$G$5,IF(OR(ROUND(M26,4)&lt;Berechnung1!$J$93,ROUND(M26,4)&gt;Berechnung1!$K$93),Berechnung1!$D$5,IF(OR(ROUND(M26,4)&lt;Berechnung1!$G$93,ROUND(M26,4)&gt;Berechnung1!$H$93),Berechnung1!$E$5,Berechnung1!$C$5)))))</f>
        <v/>
      </c>
      <c r="O26" s="600"/>
      <c r="P26" s="592"/>
      <c r="Q26" s="511"/>
      <c r="R26" s="512"/>
    </row>
    <row r="27" spans="1:18" s="14" customFormat="1" ht="28.5" customHeight="1" thickBot="1" x14ac:dyDescent="0.25">
      <c r="A27" s="601"/>
      <c r="B27" s="603"/>
      <c r="C27" s="609"/>
      <c r="D27" s="609"/>
      <c r="E27" s="610"/>
      <c r="F27" s="598"/>
      <c r="G27" s="599"/>
      <c r="H27" s="78" t="s">
        <v>356</v>
      </c>
      <c r="I27" s="87"/>
      <c r="J27" s="87"/>
      <c r="K27" s="340"/>
      <c r="L27" s="87"/>
      <c r="M27" s="85"/>
      <c r="N27" s="142" t="str">
        <f>IF(COUNTIF(I27:M27,"")=5,"",IF(COUNTIF(I27:M27,"")&gt;0,Berechnung1!$F$5, IF(OR(M27&lt; Berechnung1!$E$93,M27&gt; Berechnung1!$F$93),Berechnung1!$G$5,IF(OR(ROUND(M27,4)&lt;Berechnung1!$J$93,ROUND(M27,4)&gt;Berechnung1!$K$93),Berechnung1!$D$5,IF(OR(ROUND(M27,4)&lt;Berechnung1!$G$93,ROUND(M27,4)&gt;Berechnung1!$H$93),Berechnung1!$E$5,Berechnung1!$C$5)))))</f>
        <v/>
      </c>
      <c r="O27" s="604"/>
      <c r="P27" s="593"/>
      <c r="Q27" s="511"/>
      <c r="R27" s="512"/>
    </row>
    <row r="28" spans="1:18" ht="39" customHeight="1" x14ac:dyDescent="0.25">
      <c r="A28" s="578" t="s">
        <v>493</v>
      </c>
      <c r="B28" s="579"/>
      <c r="C28" s="579"/>
      <c r="D28" s="579"/>
      <c r="E28" s="579"/>
      <c r="F28" s="579"/>
      <c r="G28" s="579"/>
      <c r="H28" s="580"/>
      <c r="I28" s="580"/>
      <c r="J28" s="580"/>
      <c r="K28" s="580"/>
      <c r="L28" s="580"/>
      <c r="M28" s="580"/>
      <c r="N28" s="580"/>
      <c r="O28" s="580"/>
      <c r="P28" s="580"/>
    </row>
    <row r="33" spans="2:4" hidden="1" x14ac:dyDescent="0.25">
      <c r="B33" s="71" t="s">
        <v>394</v>
      </c>
      <c r="D33" s="107" t="str">
        <f>Basisdaten_Lunge!K34</f>
        <v/>
      </c>
    </row>
  </sheetData>
  <sheetProtection algorithmName="SHA-512" hashValue="qmYwFzxJSDGO/+bo1Jv5cqsjeW50tjlam5ZUqhFIacRAgxo+v8ZPnwX/AlAWoYcftJA9CpQc+ZWWb/RhWlvPog==" saltValue="RTCjRdMdYOG6AiI2qHBF6A==" spinCount="100000" sheet="1" objects="1" scenarios="1" selectLockedCells="1"/>
  <dataConsolidate/>
  <mergeCells count="43">
    <mergeCell ref="Q12:R12"/>
    <mergeCell ref="M12:M13"/>
    <mergeCell ref="P14:P16"/>
    <mergeCell ref="C20:C23"/>
    <mergeCell ref="F12:G13"/>
    <mergeCell ref="D12:E13"/>
    <mergeCell ref="F14:G16"/>
    <mergeCell ref="D20:E23"/>
    <mergeCell ref="O12:O13"/>
    <mergeCell ref="O14:O16"/>
    <mergeCell ref="O20:O23"/>
    <mergeCell ref="C8:D8"/>
    <mergeCell ref="C6:L6"/>
    <mergeCell ref="B17:B19"/>
    <mergeCell ref="C24:C27"/>
    <mergeCell ref="D24:E27"/>
    <mergeCell ref="A10:P10"/>
    <mergeCell ref="A12:A13"/>
    <mergeCell ref="B12:B13"/>
    <mergeCell ref="N12:N13"/>
    <mergeCell ref="F17:G19"/>
    <mergeCell ref="H12:L12"/>
    <mergeCell ref="C12:C13"/>
    <mergeCell ref="A17:A19"/>
    <mergeCell ref="P12:P13"/>
    <mergeCell ref="D14:E16"/>
    <mergeCell ref="O24:O27"/>
    <mergeCell ref="A28:P28"/>
    <mergeCell ref="D17:E19"/>
    <mergeCell ref="A14:A16"/>
    <mergeCell ref="B14:B16"/>
    <mergeCell ref="C14:C16"/>
    <mergeCell ref="C17:C19"/>
    <mergeCell ref="P17:P19"/>
    <mergeCell ref="P24:P27"/>
    <mergeCell ref="F20:G23"/>
    <mergeCell ref="A24:A27"/>
    <mergeCell ref="A20:A23"/>
    <mergeCell ref="B20:B23"/>
    <mergeCell ref="B24:B27"/>
    <mergeCell ref="F24:G27"/>
    <mergeCell ref="P20:P23"/>
    <mergeCell ref="O17:O19"/>
  </mergeCells>
  <phoneticPr fontId="38" type="noConversion"/>
  <conditionalFormatting sqref="I14:L14">
    <cfRule type="notContainsBlanks" dxfId="281" priority="112" stopIfTrue="1">
      <formula>LEN(TRIM(I14))&gt;0</formula>
    </cfRule>
  </conditionalFormatting>
  <conditionalFormatting sqref="I20:L24">
    <cfRule type="notContainsBlanks" dxfId="280" priority="10" stopIfTrue="1">
      <formula>LEN(TRIM(I20))&gt;0</formula>
    </cfRule>
  </conditionalFormatting>
  <conditionalFormatting sqref="K27:L27">
    <cfRule type="notContainsBlanks" dxfId="279" priority="116" stopIfTrue="1">
      <formula>LEN(TRIM(K27))&gt;0</formula>
    </cfRule>
  </conditionalFormatting>
  <conditionalFormatting sqref="M14">
    <cfRule type="expression" dxfId="278" priority="162" stopIfTrue="1">
      <formula>LEN(TRIM(M14))=0</formula>
    </cfRule>
  </conditionalFormatting>
  <conditionalFormatting sqref="M17">
    <cfRule type="expression" dxfId="277" priority="46" stopIfTrue="1">
      <formula>LEN(TRIM(M17))=0</formula>
    </cfRule>
  </conditionalFormatting>
  <conditionalFormatting sqref="M20">
    <cfRule type="expression" dxfId="276" priority="20" stopIfTrue="1">
      <formula>LEN(TRIM(M20))=0</formula>
    </cfRule>
  </conditionalFormatting>
  <conditionalFormatting sqref="M24">
    <cfRule type="expression" dxfId="275" priority="14" stopIfTrue="1">
      <formula>LEN(TRIM(M24))=0</formula>
    </cfRule>
  </conditionalFormatting>
  <conditionalFormatting sqref="N15:N16 N14:O14">
    <cfRule type="expression" dxfId="274" priority="174" stopIfTrue="1">
      <formula>OR(N14="Unvollständig",N14="Unvollständig")</formula>
    </cfRule>
    <cfRule type="cellIs" dxfId="273" priority="174" stopIfTrue="1" operator="equal">
      <formula>"Sollvorgabe nicht erfüllt"</formula>
    </cfRule>
    <cfRule type="cellIs" dxfId="272" priority="175" stopIfTrue="1" operator="equal">
      <formula>"I.O."</formula>
    </cfRule>
  </conditionalFormatting>
  <conditionalFormatting sqref="N15:N17">
    <cfRule type="cellIs" dxfId="271" priority="103" stopIfTrue="1" operator="equal">
      <formula>"I.O. (Plausibilität unklar)"</formula>
    </cfRule>
  </conditionalFormatting>
  <conditionalFormatting sqref="N17:N19">
    <cfRule type="cellIs" dxfId="270" priority="104" stopIfTrue="1" operator="equal">
      <formula>"Sollvorgabe nicht erfüllt"</formula>
    </cfRule>
    <cfRule type="cellIs" dxfId="269" priority="105" stopIfTrue="1" operator="equal">
      <formula>"I.O."</formula>
    </cfRule>
  </conditionalFormatting>
  <conditionalFormatting sqref="N18:N19">
    <cfRule type="cellIs" dxfId="268" priority="176" stopIfTrue="1" operator="equal">
      <formula>"I.O. (Plausibilität unklar)"</formula>
    </cfRule>
    <cfRule type="expression" dxfId="267" priority="176" stopIfTrue="1">
      <formula>OR(N18="Unvollständig",N18="Unvollständig")</formula>
    </cfRule>
  </conditionalFormatting>
  <conditionalFormatting sqref="N21:N23">
    <cfRule type="cellIs" dxfId="266" priority="145" stopIfTrue="1" operator="equal">
      <formula>"I.O."</formula>
    </cfRule>
    <cfRule type="cellIs" dxfId="265" priority="144" stopIfTrue="1" operator="equal">
      <formula>"Sollvorgabe nicht erfüllt"</formula>
    </cfRule>
    <cfRule type="cellIs" dxfId="264" priority="143" stopIfTrue="1" operator="equal">
      <formula>"I.O. (Plausibilität unklar)"</formula>
    </cfRule>
    <cfRule type="expression" dxfId="263" priority="142" stopIfTrue="1">
      <formula>OR(N21="Unvollständig",N21="Unvollständig")</formula>
    </cfRule>
  </conditionalFormatting>
  <conditionalFormatting sqref="N25:N27">
    <cfRule type="cellIs" dxfId="262" priority="141" stopIfTrue="1" operator="equal">
      <formula>"I.O."</formula>
    </cfRule>
    <cfRule type="cellIs" dxfId="261" priority="140" stopIfTrue="1" operator="equal">
      <formula>"Sollvorgabe nicht erfüllt"</formula>
    </cfRule>
    <cfRule type="cellIs" dxfId="260" priority="139" stopIfTrue="1" operator="equal">
      <formula>"I.O. (Plausibilität unklar)"</formula>
    </cfRule>
    <cfRule type="expression" dxfId="259" priority="138" stopIfTrue="1">
      <formula>OR(N25="Unvollständig",N25="Unvollständig")</formula>
    </cfRule>
  </conditionalFormatting>
  <conditionalFormatting sqref="N20:O20">
    <cfRule type="cellIs" dxfId="258" priority="95" stopIfTrue="1" operator="equal">
      <formula>"I.O. (Plausibilität unklar)"</formula>
    </cfRule>
    <cfRule type="cellIs" dxfId="257" priority="96" stopIfTrue="1" operator="equal">
      <formula>"Sollvorgabe nicht erfüllt"</formula>
    </cfRule>
    <cfRule type="cellIs" dxfId="256" priority="97" stopIfTrue="1" operator="equal">
      <formula>"I.O."</formula>
    </cfRule>
  </conditionalFormatting>
  <conditionalFormatting sqref="N14:P14">
    <cfRule type="cellIs" dxfId="255" priority="165" stopIfTrue="1" operator="equal">
      <formula>"I.O. (Plausibilität unklar)"</formula>
    </cfRule>
  </conditionalFormatting>
  <conditionalFormatting sqref="N17:P20">
    <cfRule type="expression" dxfId="254" priority="1" stopIfTrue="1">
      <formula>OR(N17="Unvollständig",N17="Unvollständig")</formula>
    </cfRule>
  </conditionalFormatting>
  <conditionalFormatting sqref="N24:P24">
    <cfRule type="cellIs" dxfId="253" priority="92" stopIfTrue="1" operator="equal">
      <formula>"Sollvorgabe nicht erfüllt"</formula>
    </cfRule>
    <cfRule type="cellIs" dxfId="252" priority="91" stopIfTrue="1" operator="equal">
      <formula>"I.O. (Plausibilität unklar)"</formula>
    </cfRule>
    <cfRule type="expression" dxfId="251" priority="90" stopIfTrue="1">
      <formula>OR(N24="Unvollständig",N24="Unvollständig")</formula>
    </cfRule>
    <cfRule type="cellIs" dxfId="250" priority="93" stopIfTrue="1" operator="equal">
      <formula>"I.O."</formula>
    </cfRule>
  </conditionalFormatting>
  <conditionalFormatting sqref="O17">
    <cfRule type="cellIs" dxfId="249" priority="2" stopIfTrue="1" operator="equal">
      <formula>"I.O."</formula>
    </cfRule>
  </conditionalFormatting>
  <conditionalFormatting sqref="P14">
    <cfRule type="cellIs" dxfId="248" priority="166" stopIfTrue="1" operator="equal">
      <formula>"Sollvorgabe nicht erfüllt"</formula>
    </cfRule>
    <cfRule type="cellIs" dxfId="247" priority="167" stopIfTrue="1" operator="equal">
      <formula>"I.O."</formula>
    </cfRule>
    <cfRule type="expression" dxfId="246" priority="164" stopIfTrue="1">
      <formula>OR(P14="Unvollständig",P14="Unvollständig")</formula>
    </cfRule>
  </conditionalFormatting>
  <conditionalFormatting sqref="P17:P20">
    <cfRule type="cellIs" dxfId="245" priority="133" stopIfTrue="1" operator="equal">
      <formula>"I.O."</formula>
    </cfRule>
    <cfRule type="cellIs" dxfId="244" priority="131" stopIfTrue="1" operator="equal">
      <formula>"I.O. (Plausibilität unklar)"</formula>
    </cfRule>
    <cfRule type="cellIs" dxfId="243" priority="132" stopIfTrue="1" operator="equal">
      <formula>"Sollvorgabe nicht erfüllt"</formula>
    </cfRule>
  </conditionalFormatting>
  <conditionalFormatting sqref="Q14:Q16">
    <cfRule type="notContainsBlanks" dxfId="242" priority="173">
      <formula>LEN(TRIM(Q14))&gt;0</formula>
    </cfRule>
    <cfRule type="expression" dxfId="241" priority="178">
      <formula>OR($N14="Unvollständig",$N14="Sollvorgabe nicht erfüllt")</formula>
    </cfRule>
  </conditionalFormatting>
  <conditionalFormatting sqref="Q17:Q19">
    <cfRule type="expression" dxfId="240" priority="9" stopIfTrue="1">
      <formula>OR($N17="Unvollständig",$N17="Sollvorgabe nicht erfüllt")</formula>
    </cfRule>
  </conditionalFormatting>
  <conditionalFormatting sqref="Q17:Q27">
    <cfRule type="notContainsBlanks" dxfId="239" priority="8" stopIfTrue="1">
      <formula>LEN(TRIM(Q17))&gt;0</formula>
    </cfRule>
  </conditionalFormatting>
  <conditionalFormatting sqref="Q20:Q27">
    <cfRule type="expression" dxfId="238" priority="107" stopIfTrue="1">
      <formula>OR($N20="Unvollständig",$N20="Sollvorgabe nicht erfüllt")</formula>
    </cfRule>
  </conditionalFormatting>
  <dataValidations xWindow="488" yWindow="700" count="6">
    <dataValidation errorStyle="information" allowBlank="1" showInputMessage="1" showErrorMessage="1" errorTitle="Kennzahl" promptTitle="Kennzahl" sqref="A12:B13" xr:uid="{00000000-0002-0000-0400-000000000000}"/>
    <dataValidation type="whole" allowBlank="1" showInputMessage="1" showErrorMessage="1" errorTitle="Eingabefehler" error="Ganze Zahl zwischen 0 und 10000 eingeben." sqref="M14:M27" xr:uid="{00000000-0002-0000-0400-000001000000}">
      <formula1>0</formula1>
      <formula2>10000</formula2>
    </dataValidation>
    <dataValidation type="textLength" allowBlank="1" showInputMessage="1" showErrorMessage="1" errorTitle="Hinweis" error="Nur Texteingabe bis 100 Zeichen möglich." sqref="K17:L19 L20:L27 J14:J27 L14:L16" xr:uid="{00000000-0002-0000-0400-00000200000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4:I27" xr:uid="{00000000-0002-0000-0400-000003000000}">
      <formula1>0</formula1>
      <formula2>100</formula2>
    </dataValidation>
    <dataValidation type="textLength" allowBlank="1" showInputMessage="1" showErrorMessage="1" errorTitle="Zeichenlänge" error="Minimal 30 Zeichen und max. 500 Zeichen." sqref="Q14:R27" xr:uid="{00000000-0002-0000-0400-000004000000}">
      <formula1>30</formula1>
      <formula2>500</formula2>
    </dataValidation>
    <dataValidation type="textLength" allowBlank="1" showInputMessage="1" showErrorMessage="1" errorTitle="Hinweis" error="Nur Texteingabe bis 10 Zeichen möglich." sqref="K20:K27 K14:K16" xr:uid="{00000000-0002-0000-0400-000005000000}">
      <formula1>0</formula1>
      <formula2>10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&amp;L&amp;"Arial,Standard"&amp;7&amp;F&amp;C&amp;"Arial,Standard"&amp;7 © DKG  Alle Rechte vorbehalten&amp;R&amp;"Arial,Standard"&amp;7&amp;P</oddFooter>
  </headerFooter>
  <ignoredErrors>
    <ignoredError sqref="B17:B19 B21:B23 B25:B27"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H17"/>
  <sheetViews>
    <sheetView workbookViewId="0">
      <selection activeCell="G24" sqref="G24"/>
    </sheetView>
  </sheetViews>
  <sheetFormatPr defaultColWidth="11.42578125" defaultRowHeight="12.75" x14ac:dyDescent="0.2"/>
  <cols>
    <col min="1" max="1" width="13.42578125" style="209" customWidth="1"/>
    <col min="2" max="2" width="30.140625" style="209" customWidth="1"/>
    <col min="3" max="3" width="18.42578125" style="209" customWidth="1"/>
    <col min="4" max="4" width="9.28515625" style="208" customWidth="1"/>
    <col min="5" max="5" width="18.28515625" style="209" customWidth="1"/>
    <col min="6" max="6" width="9.140625" style="209" customWidth="1"/>
    <col min="7" max="7" width="19.5703125" style="209" customWidth="1"/>
    <col min="8" max="8" width="21.85546875" style="209" customWidth="1"/>
    <col min="9" max="256" width="9.140625" style="209" customWidth="1"/>
    <col min="257" max="16384" width="11.42578125" style="209"/>
  </cols>
  <sheetData>
    <row r="2" spans="1:8" x14ac:dyDescent="0.2">
      <c r="B2" s="209" t="str">
        <f>IF(Expertise_Lunge!I12="","",Expertise_Lunge!I12)</f>
        <v/>
      </c>
    </row>
    <row r="3" spans="1:8" ht="41.25" customHeight="1" x14ac:dyDescent="0.2">
      <c r="A3" s="231" t="s">
        <v>18</v>
      </c>
      <c r="B3" s="231" t="str">
        <f>IF(Expertise_Lunge!I13="","",Expertise_Lunge!I13)</f>
        <v>Klinik-, Praxis-, Einrichtungsname</v>
      </c>
      <c r="C3" s="231" t="str">
        <f>IF(Expertise_Lunge!J13="","",Expertise_Lunge!J13)</f>
        <v>Straße Hausnummer</v>
      </c>
      <c r="D3" s="231" t="str">
        <f>IF(Expertise_Lunge!K13="","",Expertise_Lunge!K13)</f>
        <v>PLZ</v>
      </c>
      <c r="E3" s="231" t="str">
        <f>IF(Expertise_Lunge!L13="","",Expertise_Lunge!L13)</f>
        <v>Ort</v>
      </c>
      <c r="F3" s="229" t="str">
        <f>IF(Expertise_Lunge!M12="","",Expertise_Lunge!M12)</f>
        <v>Anzahl</v>
      </c>
      <c r="G3" s="229" t="s">
        <v>112</v>
      </c>
      <c r="H3" s="229" t="s">
        <v>471</v>
      </c>
    </row>
    <row r="4" spans="1:8" x14ac:dyDescent="0.2">
      <c r="A4" s="206">
        <f>Expertise_Lunge!A14</f>
        <v>8</v>
      </c>
      <c r="B4" s="207" t="str">
        <f>IF(Expertise_Lunge!I14="","",Expertise_Lunge!I14)</f>
        <v/>
      </c>
      <c r="C4" s="207" t="str">
        <f>IF(Expertise_Lunge!J14="","",Expertise_Lunge!J14)</f>
        <v/>
      </c>
      <c r="D4" s="206" t="str">
        <f>IF(Expertise_Lunge!K14="","",Expertise_Lunge!K14)</f>
        <v/>
      </c>
      <c r="E4" s="207" t="str">
        <f>IF(Expertise_Lunge!L14="","",Expertise_Lunge!L14)</f>
        <v/>
      </c>
      <c r="F4" s="205" t="str">
        <f>IF(Expertise_Lunge!M14="","",Expertise_Lunge!M14)</f>
        <v/>
      </c>
      <c r="G4" s="133" t="str">
        <f>IF(Expertise_Lunge!N14="","",Expertise_Lunge!N14)</f>
        <v>Unvollständig</v>
      </c>
      <c r="H4" s="133" t="str">
        <f>IF(Expertise_Lunge!P14="","",Expertise_Lunge!P14)</f>
        <v>Unvollständig</v>
      </c>
    </row>
    <row r="5" spans="1:8" x14ac:dyDescent="0.2">
      <c r="A5" s="206"/>
      <c r="B5" s="207" t="str">
        <f>IF(Expertise_Lunge!I15="","",Expertise_Lunge!I15)</f>
        <v/>
      </c>
      <c r="C5" s="207" t="str">
        <f>IF(Expertise_Lunge!J15="","",Expertise_Lunge!J15)</f>
        <v/>
      </c>
      <c r="D5" s="206" t="str">
        <f>IF(Expertise_Lunge!K15="","",Expertise_Lunge!K15)</f>
        <v/>
      </c>
      <c r="E5" s="207" t="str">
        <f>IF(Expertise_Lunge!L15="","",Expertise_Lunge!L15)</f>
        <v/>
      </c>
      <c r="F5" s="205" t="str">
        <f>IF(Expertise_Lunge!M15="","",Expertise_Lunge!M15)</f>
        <v/>
      </c>
      <c r="G5" s="133" t="str">
        <f>IF(Expertise_Lunge!N15="","",Expertise_Lunge!N15)</f>
        <v/>
      </c>
      <c r="H5" s="133" t="str">
        <f>IF(Expertise_Lunge!P15="","",Expertise_Lunge!P15)</f>
        <v/>
      </c>
    </row>
    <row r="6" spans="1:8" x14ac:dyDescent="0.2">
      <c r="A6" s="206"/>
      <c r="B6" s="207" t="str">
        <f>IF(Expertise_Lunge!I16="","",Expertise_Lunge!I16)</f>
        <v/>
      </c>
      <c r="C6" s="207" t="str">
        <f>IF(Expertise_Lunge!J16="","",Expertise_Lunge!J16)</f>
        <v/>
      </c>
      <c r="D6" s="206" t="str">
        <f>IF(Expertise_Lunge!K16="","",Expertise_Lunge!K16)</f>
        <v/>
      </c>
      <c r="E6" s="207" t="str">
        <f>IF(Expertise_Lunge!L16="","",Expertise_Lunge!L16)</f>
        <v/>
      </c>
      <c r="F6" s="205" t="str">
        <f>IF(Expertise_Lunge!M16="","",Expertise_Lunge!M16)</f>
        <v/>
      </c>
      <c r="G6" s="133" t="str">
        <f>IF(Expertise_Lunge!N16="","",Expertise_Lunge!N16)</f>
        <v/>
      </c>
      <c r="H6" s="133" t="str">
        <f>IF(Expertise_Lunge!P16="","",Expertise_Lunge!P16)</f>
        <v/>
      </c>
    </row>
    <row r="7" spans="1:8" x14ac:dyDescent="0.2">
      <c r="A7" s="206">
        <f>Expertise_Lunge!A17</f>
        <v>9</v>
      </c>
      <c r="B7" s="207" t="str">
        <f>IF(Expertise_Lunge!I17="","",Expertise_Lunge!I17)</f>
        <v/>
      </c>
      <c r="C7" s="207" t="str">
        <f>IF(Expertise_Lunge!J17="","",Expertise_Lunge!J17)</f>
        <v/>
      </c>
      <c r="D7" s="206" t="str">
        <f>IF(Expertise_Lunge!K17="","",Expertise_Lunge!K17)</f>
        <v/>
      </c>
      <c r="E7" s="207" t="str">
        <f>IF(Expertise_Lunge!L17="","",Expertise_Lunge!L17)</f>
        <v/>
      </c>
      <c r="F7" s="205" t="str">
        <f>IF(Expertise_Lunge!M17="","",Expertise_Lunge!M17)</f>
        <v/>
      </c>
      <c r="G7" s="133" t="str">
        <f>IF(Expertise_Lunge!N17="","",Expertise_Lunge!N17)</f>
        <v>Unvollständig</v>
      </c>
      <c r="H7" s="133" t="str">
        <f>IF(Expertise_Lunge!P17="","",Expertise_Lunge!P17)</f>
        <v>Unvollständig</v>
      </c>
    </row>
    <row r="8" spans="1:8" x14ac:dyDescent="0.2">
      <c r="A8" s="206"/>
      <c r="B8" s="207" t="str">
        <f>IF(Expertise_Lunge!I18="","",Expertise_Lunge!I18)</f>
        <v/>
      </c>
      <c r="C8" s="207" t="str">
        <f>IF(Expertise_Lunge!J18="","",Expertise_Lunge!J18)</f>
        <v/>
      </c>
      <c r="D8" s="206" t="str">
        <f>IF(Expertise_Lunge!K18="","",Expertise_Lunge!K18)</f>
        <v/>
      </c>
      <c r="E8" s="207" t="str">
        <f>IF(Expertise_Lunge!L18="","",Expertise_Lunge!L18)</f>
        <v/>
      </c>
      <c r="F8" s="205" t="str">
        <f>IF(Expertise_Lunge!M18="","",Expertise_Lunge!M18)</f>
        <v/>
      </c>
      <c r="G8" s="133" t="str">
        <f>IF(Expertise_Lunge!N18="","",Expertise_Lunge!N18)</f>
        <v/>
      </c>
      <c r="H8" s="133" t="str">
        <f>IF(Expertise_Lunge!P18="","",Expertise_Lunge!P18)</f>
        <v/>
      </c>
    </row>
    <row r="9" spans="1:8" x14ac:dyDescent="0.2">
      <c r="A9" s="206"/>
      <c r="B9" s="207" t="str">
        <f>IF(Expertise_Lunge!I19="","",Expertise_Lunge!I19)</f>
        <v/>
      </c>
      <c r="C9" s="207" t="str">
        <f>IF(Expertise_Lunge!J19="","",Expertise_Lunge!J19)</f>
        <v/>
      </c>
      <c r="D9" s="206" t="str">
        <f>IF(Expertise_Lunge!K19="","",Expertise_Lunge!K19)</f>
        <v/>
      </c>
      <c r="E9" s="207" t="str">
        <f>IF(Expertise_Lunge!L19="","",Expertise_Lunge!L19)</f>
        <v/>
      </c>
      <c r="F9" s="205" t="str">
        <f>IF(Expertise_Lunge!M19="","",Expertise_Lunge!M19)</f>
        <v/>
      </c>
      <c r="G9" s="133" t="str">
        <f>IF(Expertise_Lunge!N19="","",Expertise_Lunge!N19)</f>
        <v/>
      </c>
      <c r="H9" s="133" t="str">
        <f>IF(Expertise_Lunge!P19="","",Expertise_Lunge!P19)</f>
        <v/>
      </c>
    </row>
    <row r="10" spans="1:8" x14ac:dyDescent="0.2">
      <c r="A10" s="206">
        <f>Expertise_Lunge!A20</f>
        <v>18</v>
      </c>
      <c r="B10" s="207" t="str">
        <f>IF(Expertise_Lunge!I20="","",Expertise_Lunge!I20)</f>
        <v/>
      </c>
      <c r="C10" s="207" t="str">
        <f>IF(Expertise_Lunge!J20="","",Expertise_Lunge!J20)</f>
        <v/>
      </c>
      <c r="D10" s="206" t="str">
        <f>IF(Expertise_Lunge!K20="","",Expertise_Lunge!K20)</f>
        <v/>
      </c>
      <c r="E10" s="207" t="str">
        <f>IF(Expertise_Lunge!L20="","",Expertise_Lunge!L20)</f>
        <v/>
      </c>
      <c r="F10" s="205" t="str">
        <f>IF(Expertise_Lunge!M20="","",Expertise_Lunge!M20)</f>
        <v/>
      </c>
      <c r="G10" s="133" t="str">
        <f>IF(Expertise_Lunge!N20="","",Expertise_Lunge!N20)</f>
        <v>Unvollständig</v>
      </c>
      <c r="H10" s="133" t="str">
        <f>IF(Expertise_Lunge!P20="","",Expertise_Lunge!P20)</f>
        <v>Unvollständig</v>
      </c>
    </row>
    <row r="11" spans="1:8" x14ac:dyDescent="0.2">
      <c r="A11" s="206"/>
      <c r="B11" s="207" t="str">
        <f>IF(Expertise_Lunge!I21="","",Expertise_Lunge!I21)</f>
        <v/>
      </c>
      <c r="C11" s="207" t="str">
        <f>IF(Expertise_Lunge!J21="","",Expertise_Lunge!J21)</f>
        <v/>
      </c>
      <c r="D11" s="206" t="str">
        <f>IF(Expertise_Lunge!K21="","",Expertise_Lunge!K21)</f>
        <v/>
      </c>
      <c r="E11" s="207" t="str">
        <f>IF(Expertise_Lunge!L21="","",Expertise_Lunge!L21)</f>
        <v/>
      </c>
      <c r="F11" s="205" t="str">
        <f>IF(Expertise_Lunge!M21="","",Expertise_Lunge!M21)</f>
        <v/>
      </c>
      <c r="G11" s="133" t="str">
        <f>IF(Expertise_Lunge!N21="","",Expertise_Lunge!N21)</f>
        <v/>
      </c>
      <c r="H11" s="133" t="str">
        <f>IF(Expertise_Lunge!P21="","",Expertise_Lunge!P21)</f>
        <v/>
      </c>
    </row>
    <row r="12" spans="1:8" x14ac:dyDescent="0.2">
      <c r="A12" s="206"/>
      <c r="B12" s="207" t="str">
        <f>IF(Expertise_Lunge!I22="","",Expertise_Lunge!I22)</f>
        <v/>
      </c>
      <c r="C12" s="207" t="str">
        <f>IF(Expertise_Lunge!J22="","",Expertise_Lunge!J22)</f>
        <v/>
      </c>
      <c r="D12" s="206" t="str">
        <f>IF(Expertise_Lunge!K22="","",Expertise_Lunge!K22)</f>
        <v/>
      </c>
      <c r="E12" s="207" t="str">
        <f>IF(Expertise_Lunge!L22="","",Expertise_Lunge!L22)</f>
        <v/>
      </c>
      <c r="F12" s="205" t="str">
        <f>IF(Expertise_Lunge!M22="","",Expertise_Lunge!M22)</f>
        <v/>
      </c>
      <c r="G12" s="133" t="str">
        <f>IF(Expertise_Lunge!N22="","",Expertise_Lunge!N22)</f>
        <v/>
      </c>
      <c r="H12" s="133" t="str">
        <f>IF(Expertise_Lunge!P22="","",Expertise_Lunge!P22)</f>
        <v/>
      </c>
    </row>
    <row r="13" spans="1:8" x14ac:dyDescent="0.2">
      <c r="A13" s="206"/>
      <c r="B13" s="207" t="str">
        <f>IF(Expertise_Lunge!I23="","",Expertise_Lunge!I23)</f>
        <v/>
      </c>
      <c r="C13" s="207" t="str">
        <f>IF(Expertise_Lunge!J23="","",Expertise_Lunge!J23)</f>
        <v/>
      </c>
      <c r="D13" s="206" t="str">
        <f>IF(Expertise_Lunge!K23="","",Expertise_Lunge!K23)</f>
        <v/>
      </c>
      <c r="E13" s="207" t="str">
        <f>IF(Expertise_Lunge!L23="","",Expertise_Lunge!L23)</f>
        <v/>
      </c>
      <c r="F13" s="205" t="str">
        <f>IF(Expertise_Lunge!M23="","",Expertise_Lunge!M23)</f>
        <v/>
      </c>
      <c r="G13" s="133" t="str">
        <f>IF(Expertise_Lunge!N23="","",Expertise_Lunge!N23)</f>
        <v/>
      </c>
      <c r="H13" s="133" t="str">
        <f>IF(Expertise_Lunge!P23="","",Expertise_Lunge!P23)</f>
        <v/>
      </c>
    </row>
    <row r="14" spans="1:8" x14ac:dyDescent="0.2">
      <c r="A14" s="206">
        <f>Expertise_Lunge!A24</f>
        <v>20</v>
      </c>
      <c r="B14" s="207" t="str">
        <f>IF(Expertise_Lunge!I24="","",Expertise_Lunge!I24)</f>
        <v/>
      </c>
      <c r="C14" s="207" t="str">
        <f>IF(Expertise_Lunge!J24="","",Expertise_Lunge!J24)</f>
        <v/>
      </c>
      <c r="D14" s="206" t="str">
        <f>IF(Expertise_Lunge!K24="","",Expertise_Lunge!K24)</f>
        <v/>
      </c>
      <c r="E14" s="207" t="str">
        <f>IF(Expertise_Lunge!L24="","",Expertise_Lunge!L24)</f>
        <v/>
      </c>
      <c r="F14" s="205" t="str">
        <f>IF(Expertise_Lunge!M24="","",Expertise_Lunge!M24)</f>
        <v/>
      </c>
      <c r="G14" s="133" t="str">
        <f>IF(Expertise_Lunge!N24="","",Expertise_Lunge!N24)</f>
        <v>Unvollständig</v>
      </c>
      <c r="H14" s="133" t="str">
        <f>IF(Expertise_Lunge!P24="","",Expertise_Lunge!P24)</f>
        <v>Unvollständig</v>
      </c>
    </row>
    <row r="15" spans="1:8" x14ac:dyDescent="0.2">
      <c r="A15" s="206"/>
      <c r="B15" s="207" t="str">
        <f>IF(Expertise_Lunge!I25="","",Expertise_Lunge!I25)</f>
        <v/>
      </c>
      <c r="C15" s="207" t="str">
        <f>IF(Expertise_Lunge!J25="","",Expertise_Lunge!J25)</f>
        <v/>
      </c>
      <c r="D15" s="206" t="str">
        <f>IF(Expertise_Lunge!K25="","",Expertise_Lunge!K25)</f>
        <v/>
      </c>
      <c r="E15" s="207" t="str">
        <f>IF(Expertise_Lunge!L25="","",Expertise_Lunge!L25)</f>
        <v/>
      </c>
      <c r="F15" s="205" t="str">
        <f>IF(Expertise_Lunge!M25="","",Expertise_Lunge!M25)</f>
        <v/>
      </c>
      <c r="G15" s="133" t="str">
        <f>IF(Expertise_Lunge!N25="","",Expertise_Lunge!N25)</f>
        <v/>
      </c>
      <c r="H15" s="133" t="str">
        <f>IF(Expertise_Lunge!P25="","",Expertise_Lunge!P25)</f>
        <v/>
      </c>
    </row>
    <row r="16" spans="1:8" x14ac:dyDescent="0.2">
      <c r="A16" s="206"/>
      <c r="B16" s="207" t="str">
        <f>IF(Expertise_Lunge!I26="","",Expertise_Lunge!I26)</f>
        <v/>
      </c>
      <c r="C16" s="207" t="str">
        <f>IF(Expertise_Lunge!J26="","",Expertise_Lunge!J26)</f>
        <v/>
      </c>
      <c r="D16" s="206" t="str">
        <f>IF(Expertise_Lunge!K26="","",Expertise_Lunge!K26)</f>
        <v/>
      </c>
      <c r="E16" s="207" t="str">
        <f>IF(Expertise_Lunge!L26="","",Expertise_Lunge!L26)</f>
        <v/>
      </c>
      <c r="F16" s="205" t="str">
        <f>IF(Expertise_Lunge!M26="","",Expertise_Lunge!M26)</f>
        <v/>
      </c>
      <c r="G16" s="133" t="str">
        <f>IF(Expertise_Lunge!N26="","",Expertise_Lunge!N26)</f>
        <v/>
      </c>
      <c r="H16" s="133" t="str">
        <f>IF(Expertise_Lunge!P26="","",Expertise_Lunge!P26)</f>
        <v/>
      </c>
    </row>
    <row r="17" spans="1:8" x14ac:dyDescent="0.2">
      <c r="A17" s="206"/>
      <c r="B17" s="207" t="str">
        <f>IF(Expertise_Lunge!I27="","",Expertise_Lunge!I27)</f>
        <v/>
      </c>
      <c r="C17" s="207" t="str">
        <f>IF(Expertise_Lunge!J27="","",Expertise_Lunge!J27)</f>
        <v/>
      </c>
      <c r="D17" s="206" t="str">
        <f>IF(Expertise_Lunge!K27="","",Expertise_Lunge!K27)</f>
        <v/>
      </c>
      <c r="E17" s="207" t="str">
        <f>IF(Expertise_Lunge!L27="","",Expertise_Lunge!L27)</f>
        <v/>
      </c>
      <c r="F17" s="205" t="str">
        <f>IF(Expertise_Lunge!M27="","",Expertise_Lunge!M27)</f>
        <v/>
      </c>
      <c r="G17" s="133" t="str">
        <f>IF(Expertise_Lunge!N27="","",Expertise_Lunge!N27)</f>
        <v/>
      </c>
      <c r="H17" s="133" t="str">
        <f>IF(Expertise_Lunge!P27="","",Expertise_Lunge!P27)</f>
        <v/>
      </c>
    </row>
  </sheetData>
  <phoneticPr fontId="38" type="noConversion"/>
  <pageMargins left="0.7" right="0.7" top="0.78740157499999996" bottom="0.78740157499999996"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3"/>
  <sheetViews>
    <sheetView showGridLines="0" zoomScaleNormal="100" zoomScaleSheetLayoutView="100" workbookViewId="0">
      <selection activeCell="K14" sqref="K14"/>
    </sheetView>
  </sheetViews>
  <sheetFormatPr defaultColWidth="11.42578125" defaultRowHeight="15" x14ac:dyDescent="0.25"/>
  <cols>
    <col min="1" max="1" width="3.85546875" style="71" customWidth="1"/>
    <col min="2" max="2" width="4.5703125" style="71" customWidth="1"/>
    <col min="3" max="3" width="14.5703125" style="71" customWidth="1"/>
    <col min="4" max="4" width="9.42578125" style="71" customWidth="1"/>
    <col min="5" max="5" width="10.140625" style="71" customWidth="1"/>
    <col min="6" max="6" width="18.5703125" style="71" customWidth="1"/>
    <col min="7" max="7" width="6.42578125" style="71" customWidth="1"/>
    <col min="8" max="8" width="4.42578125" style="71" customWidth="1"/>
    <col min="9" max="9" width="3.42578125" style="71" customWidth="1"/>
    <col min="10" max="10" width="10.28515625" style="71" customWidth="1"/>
    <col min="11" max="11" width="20.7109375" style="71" customWidth="1"/>
    <col min="12" max="12" width="15.7109375" style="71" customWidth="1"/>
    <col min="13" max="13" width="6.28515625" style="71" customWidth="1"/>
    <col min="14" max="14" width="15.7109375" style="71" customWidth="1"/>
    <col min="15" max="16" width="6.7109375" style="71" customWidth="1"/>
    <col min="17" max="17" width="7" style="71" customWidth="1"/>
    <col min="18" max="18" width="9.42578125" style="71" customWidth="1"/>
    <col min="19" max="19" width="7" style="71" customWidth="1"/>
    <col min="20" max="20" width="8.7109375" style="71" customWidth="1"/>
    <col min="21" max="21" width="61.28515625" style="71" customWidth="1"/>
    <col min="22" max="22" width="55.5703125" style="71" customWidth="1"/>
    <col min="23" max="23" width="9.140625" style="71" hidden="1" customWidth="1"/>
    <col min="24" max="261" width="9.140625" style="71" customWidth="1"/>
    <col min="262" max="16384" width="11.42578125" style="71"/>
  </cols>
  <sheetData>
    <row r="1" spans="1:23" s="14" customFormat="1" ht="9.9499999999999993" customHeight="1" x14ac:dyDescent="0.2"/>
    <row r="2" spans="1:23" s="14" customFormat="1" ht="12.95" customHeight="1" x14ac:dyDescent="0.2">
      <c r="A2" s="348" t="str">
        <f>Basisdaten_Lunge!A2</f>
        <v>Anlage EB Version I1.3 (Auditjahr 2023 / Kennzahlenjahr 2022)</v>
      </c>
    </row>
    <row r="3" spans="1:23" s="14" customFormat="1" ht="16.5" customHeight="1" x14ac:dyDescent="0.25">
      <c r="A3" s="83" t="s">
        <v>961</v>
      </c>
    </row>
    <row r="4" spans="1:23" s="14" customFormat="1" ht="15.75" customHeight="1" x14ac:dyDescent="0.2"/>
    <row r="5" spans="1:23" s="14" customFormat="1" ht="15" customHeight="1" x14ac:dyDescent="0.2">
      <c r="T5" s="70"/>
    </row>
    <row r="6" spans="1:23" s="13" customFormat="1" ht="15" customHeight="1" x14ac:dyDescent="0.25">
      <c r="A6" s="64" t="s">
        <v>236</v>
      </c>
      <c r="B6" s="26"/>
      <c r="C6" s="605" t="str">
        <f>IF(Basisdaten_Lunge!B9=0,"",Basisdaten_Lunge!B9)</f>
        <v/>
      </c>
      <c r="D6" s="607"/>
      <c r="E6" s="607"/>
      <c r="F6" s="607"/>
      <c r="G6" s="607"/>
      <c r="H6" s="607"/>
      <c r="I6" s="607"/>
      <c r="J6" s="607"/>
      <c r="K6" s="607"/>
      <c r="L6" s="607"/>
      <c r="M6" s="607"/>
      <c r="N6" s="606"/>
      <c r="O6" s="71"/>
      <c r="P6" s="71"/>
      <c r="Q6" s="71"/>
      <c r="R6" s="71"/>
      <c r="S6" s="71"/>
      <c r="U6" s="72"/>
      <c r="V6" s="72"/>
      <c r="W6" s="18"/>
    </row>
    <row r="7" spans="1:23" s="13" customFormat="1" ht="6.95" customHeight="1" x14ac:dyDescent="0.2">
      <c r="A7" s="6"/>
      <c r="B7" s="6"/>
      <c r="C7" s="22"/>
      <c r="D7" s="70"/>
      <c r="E7" s="70"/>
      <c r="F7" s="70"/>
      <c r="G7" s="70"/>
      <c r="H7" s="70"/>
      <c r="I7" s="70"/>
      <c r="J7" s="70"/>
      <c r="K7" s="70"/>
      <c r="L7" s="70"/>
      <c r="M7" s="70"/>
      <c r="N7" s="70"/>
      <c r="O7" s="70"/>
      <c r="P7" s="70"/>
      <c r="Q7" s="70"/>
      <c r="R7" s="70"/>
      <c r="S7" s="70"/>
      <c r="T7" s="70"/>
      <c r="U7" s="72"/>
      <c r="V7" s="72"/>
      <c r="W7" s="18"/>
    </row>
    <row r="8" spans="1:23" s="13" customFormat="1" ht="15" customHeight="1" x14ac:dyDescent="0.25">
      <c r="A8" s="64" t="s">
        <v>166</v>
      </c>
      <c r="B8" s="26"/>
      <c r="C8" s="605" t="str">
        <f>IF(Basisdaten_Lunge!B7=0,"",Basisdaten_Lunge!B7)</f>
        <v/>
      </c>
      <c r="D8" s="606"/>
      <c r="L8" s="73" t="s">
        <v>163</v>
      </c>
      <c r="M8" s="74"/>
      <c r="N8" s="75" t="str">
        <f>IF(Basisdaten_Lunge!I13=0,"",Basisdaten_Lunge!I13)</f>
        <v/>
      </c>
      <c r="U8" s="72"/>
      <c r="V8" s="72"/>
      <c r="W8" s="18"/>
    </row>
    <row r="9" spans="1:23" ht="5.25" customHeight="1" x14ac:dyDescent="0.25"/>
    <row r="10" spans="1:23" ht="45" customHeight="1" x14ac:dyDescent="0.25">
      <c r="A10" s="611" t="s">
        <v>962</v>
      </c>
      <c r="B10" s="612"/>
      <c r="C10" s="612"/>
      <c r="D10" s="612"/>
      <c r="E10" s="612"/>
      <c r="F10" s="612"/>
      <c r="G10" s="612"/>
      <c r="H10" s="612"/>
      <c r="I10" s="612"/>
      <c r="J10" s="613"/>
      <c r="K10" s="613"/>
      <c r="L10" s="613"/>
      <c r="M10" s="613"/>
      <c r="N10" s="613"/>
      <c r="O10" s="613"/>
      <c r="P10" s="613"/>
      <c r="Q10" s="613"/>
      <c r="R10" s="613"/>
      <c r="S10" s="613"/>
      <c r="T10" s="613"/>
    </row>
    <row r="11" spans="1:23" ht="3.75" customHeight="1" thickBot="1" x14ac:dyDescent="0.3"/>
    <row r="12" spans="1:23" ht="19.5" customHeight="1" thickBot="1" x14ac:dyDescent="0.3">
      <c r="A12" s="614" t="s">
        <v>492</v>
      </c>
      <c r="B12" s="614" t="s">
        <v>0</v>
      </c>
      <c r="C12" s="614" t="s">
        <v>363</v>
      </c>
      <c r="D12" s="621" t="s">
        <v>20</v>
      </c>
      <c r="E12" s="631"/>
      <c r="F12" s="614" t="s">
        <v>169</v>
      </c>
      <c r="G12" s="614" t="s">
        <v>965</v>
      </c>
      <c r="H12" s="628" t="s">
        <v>368</v>
      </c>
      <c r="I12" s="629"/>
      <c r="J12" s="621" t="s">
        <v>408</v>
      </c>
      <c r="K12" s="622"/>
      <c r="L12" s="622"/>
      <c r="M12" s="623"/>
      <c r="N12" s="624"/>
      <c r="O12" s="614" t="s">
        <v>967</v>
      </c>
      <c r="P12" s="614" t="s">
        <v>22</v>
      </c>
      <c r="Q12" s="614" t="s">
        <v>45</v>
      </c>
      <c r="R12" s="614" t="s">
        <v>968</v>
      </c>
      <c r="S12" s="614" t="s">
        <v>969</v>
      </c>
      <c r="T12" s="614" t="s">
        <v>392</v>
      </c>
      <c r="U12" s="625" t="s">
        <v>165</v>
      </c>
      <c r="V12" s="626"/>
    </row>
    <row r="13" spans="1:23" ht="33" customHeight="1" thickBot="1" x14ac:dyDescent="0.3">
      <c r="A13" s="615"/>
      <c r="B13" s="615"/>
      <c r="C13" s="615"/>
      <c r="D13" s="632"/>
      <c r="E13" s="633"/>
      <c r="F13" s="615"/>
      <c r="G13" s="615"/>
      <c r="H13" s="630"/>
      <c r="I13" s="629"/>
      <c r="J13" s="105"/>
      <c r="K13" s="77" t="s">
        <v>371</v>
      </c>
      <c r="L13" s="77" t="s">
        <v>372</v>
      </c>
      <c r="M13" s="106" t="s">
        <v>359</v>
      </c>
      <c r="N13" s="77" t="s">
        <v>373</v>
      </c>
      <c r="O13" s="627"/>
      <c r="P13" s="615"/>
      <c r="Q13" s="615"/>
      <c r="R13" s="586"/>
      <c r="S13" s="615"/>
      <c r="T13" s="586"/>
      <c r="U13" s="76" t="s">
        <v>970</v>
      </c>
      <c r="V13" s="76" t="s">
        <v>423</v>
      </c>
    </row>
    <row r="14" spans="1:23" s="14" customFormat="1" ht="26.1" customHeight="1" thickBot="1" x14ac:dyDescent="0.25">
      <c r="A14" s="585" t="str">
        <f>KB_Lunge!A49</f>
        <v>11a</v>
      </c>
      <c r="B14" s="587" t="s">
        <v>278</v>
      </c>
      <c r="C14" s="585" t="str">
        <f>KB_Lunge!C49</f>
        <v>Lungenresektionen</v>
      </c>
      <c r="D14" s="581" t="str">
        <f>KB_Lunge!F49</f>
        <v>Operative Primärfälle mit anatomischer Lungenresektion
(OPS: 5-323 bis 5-328, 6-stellig, ausschließlich mit ICD-10 C34)</v>
      </c>
      <c r="E14" s="582"/>
      <c r="F14" s="656" t="s">
        <v>251</v>
      </c>
      <c r="G14" s="659"/>
      <c r="H14" s="594" t="str">
        <f>KB_Lunge!K49</f>
        <v>Derzeit keine Vorgaben</v>
      </c>
      <c r="I14" s="595"/>
      <c r="J14" s="78" t="s">
        <v>349</v>
      </c>
      <c r="K14" s="84"/>
      <c r="L14" s="84"/>
      <c r="M14" s="337"/>
      <c r="N14" s="84"/>
      <c r="O14" s="85"/>
      <c r="P14" s="519"/>
      <c r="Q14" s="519"/>
      <c r="R14" s="310" t="str">
        <f>IF(COUNTIF(K14:O14,"")&gt;0,Berechnung1!$F$5,IF(OR(O14&lt; Berechnung1!$E$63,O14&gt; Berechnung1!$F$63),Berechnung1!$G$5,IF(OR(ROUND(O14,4)&lt;Berechnung1!$J$63,ROUND(O14,4)&gt;Berechnung1!$K$63),Berechnung1!$D$5,IF(OR(ROUND(O14,4)&lt;Berechnung1!$G$63,ROUND(O14,4)&gt;Berechnung1!$H$63),Berechnung1!$E$5,Berechnung1!$C$5))))</f>
        <v>Unvollständig</v>
      </c>
      <c r="S14" s="585" t="str">
        <f>IF(SUM(O14:O16)=0,"",SUM(O14:O16))</f>
        <v/>
      </c>
      <c r="T14" s="589" t="str">
        <f>IF(S14="",Berechnung1!$F$5, IF(S14=0,Berechnung1!$D$5,IF(OR(S14&lt; Berechnung1!E63,S14&gt; Berechnung1!F63),Berechnung1!$G$5,IF(OR(ROUND(S14,4)&lt;Berechnung1!J63,ROUND(S14,4)&gt;Berechnung1!K63),Berechnung1!$D$5,IF(OR(ROUND(S14,4)&lt;Berechnung1!G63,ROUND(S14,4)&gt;Berechnung1!H63),Berechnung1!$E$5,Berechnung1!$C$5)))))</f>
        <v>Unvollständig</v>
      </c>
      <c r="U14" s="513"/>
      <c r="V14" s="514"/>
    </row>
    <row r="15" spans="1:23" s="14" customFormat="1" ht="26.1" customHeight="1" thickBot="1" x14ac:dyDescent="0.25">
      <c r="A15" s="586"/>
      <c r="B15" s="602"/>
      <c r="C15" s="600"/>
      <c r="D15" s="583"/>
      <c r="E15" s="584"/>
      <c r="F15" s="657"/>
      <c r="G15" s="586"/>
      <c r="H15" s="634"/>
      <c r="I15" s="597"/>
      <c r="J15" s="78" t="s">
        <v>350</v>
      </c>
      <c r="K15" s="525"/>
      <c r="L15" s="525"/>
      <c r="M15" s="526"/>
      <c r="N15" s="525"/>
      <c r="O15" s="527"/>
      <c r="P15" s="519"/>
      <c r="Q15" s="519"/>
      <c r="R15" s="142" t="str">
        <f>IF(COUNTIF(K18:O18,"")=5,"",IF(COUNTIF(K15:O15,"")&gt;0,Berechnung1!$F$5,IF(OR(O15&lt;Berechnung1!$E$63,O15&gt;Berechnung1!$F$63),Berechnung1!$G$5,IF(OR(ROUND(O15,4)&lt;Berechnung1!$J$63,ROUND(O15,4)&gt;Berechnung1!$K$63),Berechnung1!$D$5,IF(OR(ROUND(O15,4)&lt;Berechnung1!$G$63,ROUND(O15,4)&gt;Berechnung1!$H$63),Berechnung1!$E$5,Berechnung1!$C$5)))))</f>
        <v/>
      </c>
      <c r="S15" s="600"/>
      <c r="T15" s="590"/>
      <c r="U15" s="513"/>
      <c r="V15" s="514"/>
    </row>
    <row r="16" spans="1:23" s="14" customFormat="1" ht="26.1" customHeight="1" thickBot="1" x14ac:dyDescent="0.25">
      <c r="A16" s="586"/>
      <c r="B16" s="602"/>
      <c r="C16" s="600"/>
      <c r="D16" s="583"/>
      <c r="E16" s="584"/>
      <c r="F16" s="658"/>
      <c r="G16" s="601"/>
      <c r="H16" s="634"/>
      <c r="I16" s="597"/>
      <c r="J16" s="78" t="s">
        <v>351</v>
      </c>
      <c r="K16" s="525"/>
      <c r="L16" s="525"/>
      <c r="M16" s="526"/>
      <c r="N16" s="525"/>
      <c r="O16" s="527"/>
      <c r="P16" s="519"/>
      <c r="Q16" s="519"/>
      <c r="R16" s="142" t="str">
        <f>IF(COUNTIF(K19:O19,"")=5,"",IF(COUNTIF(K16:O16,"")&gt;0,Berechnung1!$F$5,IF(OR(O16&lt;Berechnung1!$E$63,O16&gt;Berechnung1!$F$63),Berechnung1!$G$5,IF(OR(ROUND(O16,4)&lt;Berechnung1!$J$63,ROUND(O16,4)&gt;Berechnung1!$K$63),Berechnung1!$D$5,IF(OR(ROUND(O16,4)&lt;Berechnung1!$G$63,ROUND(O16,4)&gt;Berechnung1!$H$63),Berechnung1!$E$5,Berechnung1!$C$5)))))</f>
        <v/>
      </c>
      <c r="S16" s="604"/>
      <c r="T16" s="590"/>
      <c r="U16" s="513"/>
      <c r="V16" s="514"/>
    </row>
    <row r="17" spans="1:22" s="14" customFormat="1" ht="29.25" customHeight="1" thickBot="1" x14ac:dyDescent="0.25">
      <c r="A17" s="585" t="str">
        <f>KB_Lunge!A52</f>
        <v>11b</v>
      </c>
      <c r="B17" s="602"/>
      <c r="C17" s="600"/>
      <c r="D17" s="581" t="str">
        <f>KB_Lunge!F52</f>
        <v xml:space="preserve">Operative Expertise Anzahl anatomische Resektionen (OPS: 
5-323 bis 5-328 bei ICD-10 C34.0 -.9, C78.0) </v>
      </c>
      <c r="E17" s="582"/>
      <c r="F17" s="656" t="s">
        <v>251</v>
      </c>
      <c r="G17" s="659"/>
      <c r="H17" s="617" t="str">
        <f>KB_Lunge!K52</f>
        <v>≥ 75</v>
      </c>
      <c r="I17" s="618"/>
      <c r="J17" s="78" t="s">
        <v>349</v>
      </c>
      <c r="K17" s="307" t="str">
        <f t="shared" ref="K17:N19" si="0">IF(K14="","",K14)</f>
        <v/>
      </c>
      <c r="L17" s="307" t="str">
        <f t="shared" si="0"/>
        <v/>
      </c>
      <c r="M17" s="339" t="str">
        <f t="shared" si="0"/>
        <v/>
      </c>
      <c r="N17" s="307" t="str">
        <f>IF(N14="","",N14)</f>
        <v/>
      </c>
      <c r="O17" s="85"/>
      <c r="P17" s="519"/>
      <c r="Q17" s="519"/>
      <c r="R17" s="310" t="str">
        <f>IF(COUNTIF(K17:O17,"")&gt;0,Berechnung1!$F$5,IF(OR(O17&lt; Berechnung1!$E$66,O17&gt; Berechnung1!$F$66),Berechnung1!$G$5,IF(OR(ROUND(O17,4)&lt;Berechnung1!$J$66,ROUND(O17,4)&gt;Berechnung1!$K$66),Berechnung1!$D$5,IF(OR(ROUND(O17,4)&lt;Berechnung1!$G$66,ROUND(O17,4)&gt;Berechnung1!$H$66),Berechnung1!$E$5,Berechnung1!$C$5))))</f>
        <v>Unvollständig</v>
      </c>
      <c r="S17" s="585" t="str">
        <f>IF(SUM(O17:O19)=0,"",SUM(O17:O19))</f>
        <v/>
      </c>
      <c r="T17" s="589" t="str">
        <f>IF(S17="",Berechnung1!$F$5,IF(S17=0,Berechnung1!$D$5,IF(OR(S17&lt; Berechnung1!E66,S17&gt; Berechnung1!F66),Berechnung1!$G$5,IF(OR(ROUND(S17,4)&lt;Berechnung1!J66,ROUND(S17,4)&gt;Berechnung1!K66),Berechnung1!$D$5,IF(OR(ROUND(S17,4)&lt;Berechnung1!G66,ROUND(S17,4)&gt;Berechnung1!H66),Berechnung1!$E$5,Berechnung1!$C$5)))))</f>
        <v>Unvollständig</v>
      </c>
      <c r="U17" s="513"/>
      <c r="V17" s="514"/>
    </row>
    <row r="18" spans="1:22" s="14" customFormat="1" ht="29.25" customHeight="1" thickBot="1" x14ac:dyDescent="0.25">
      <c r="A18" s="586"/>
      <c r="B18" s="602"/>
      <c r="C18" s="600"/>
      <c r="D18" s="583"/>
      <c r="E18" s="584"/>
      <c r="F18" s="657"/>
      <c r="G18" s="586"/>
      <c r="H18" s="619"/>
      <c r="I18" s="620"/>
      <c r="J18" s="78" t="s">
        <v>350</v>
      </c>
      <c r="K18" s="307" t="str">
        <f t="shared" si="0"/>
        <v/>
      </c>
      <c r="L18" s="307" t="str">
        <f t="shared" si="0"/>
        <v/>
      </c>
      <c r="M18" s="339" t="str">
        <f t="shared" si="0"/>
        <v/>
      </c>
      <c r="N18" s="307" t="str">
        <f t="shared" si="0"/>
        <v/>
      </c>
      <c r="O18" s="85"/>
      <c r="P18" s="519"/>
      <c r="Q18" s="519"/>
      <c r="R18" s="142" t="str">
        <f>IF(COUNTIF(K18:O18,"")=5,"",IF(COUNTIF(K18:O18,"")&gt;0,Berechnung1!$F$5,IF(OR(O18&lt;Berechnung1!$E$66,O18&gt;Berechnung1!$F$66),Berechnung1!$G$5,IF(OR(ROUND(O18,4)&lt;Berechnung1!$J$66,ROUND(O18,4)&gt;Berechnung1!$K$66),Berechnung1!$D$5,IF(OR(ROUND(O18,4)&lt;Berechnung1!$G$66,ROUND(O18,4)&gt;Berechnung1!$H$66),Berechnung1!$E$5,Berechnung1!$C$5)))))</f>
        <v/>
      </c>
      <c r="S18" s="600"/>
      <c r="T18" s="590"/>
      <c r="U18" s="513"/>
      <c r="V18" s="514"/>
    </row>
    <row r="19" spans="1:22" s="14" customFormat="1" ht="29.25" customHeight="1" thickBot="1" x14ac:dyDescent="0.25">
      <c r="A19" s="586"/>
      <c r="B19" s="655"/>
      <c r="C19" s="604"/>
      <c r="D19" s="583"/>
      <c r="E19" s="584"/>
      <c r="F19" s="658"/>
      <c r="G19" s="601"/>
      <c r="H19" s="619"/>
      <c r="I19" s="620"/>
      <c r="J19" s="78" t="s">
        <v>351</v>
      </c>
      <c r="K19" s="307" t="str">
        <f t="shared" si="0"/>
        <v/>
      </c>
      <c r="L19" s="307" t="str">
        <f t="shared" si="0"/>
        <v/>
      </c>
      <c r="M19" s="339" t="str">
        <f t="shared" si="0"/>
        <v/>
      </c>
      <c r="N19" s="307" t="str">
        <f t="shared" si="0"/>
        <v/>
      </c>
      <c r="O19" s="85"/>
      <c r="P19" s="519"/>
      <c r="Q19" s="519"/>
      <c r="R19" s="142" t="str">
        <f>IF(COUNTIF(K19:O19,"")=5,"",IF(COUNTIF(K16:O16,"")&gt;0,Berechnung1!$F$5,IF(OR(O19&lt;Berechnung1!$E$66,O19&gt;Berechnung1!$F$66),Berechnung1!$G$5,IF(OR(ROUND(O19,4)&lt;Berechnung1!$J$66,ROUND(O19,4)&gt;Berechnung1!$K$66),Berechnung1!$D$5,IF(OR(ROUND(O19,4)&lt;Berechnung1!$G$66,ROUND(O19,4)&gt;Berechnung1!$H$66),Berechnung1!$E$5,Berechnung1!$C$5)))))</f>
        <v/>
      </c>
      <c r="S19" s="604"/>
      <c r="T19" s="590"/>
      <c r="U19" s="513"/>
      <c r="V19" s="514"/>
    </row>
    <row r="20" spans="1:22" s="14" customFormat="1" ht="28.5" customHeight="1" thickBot="1" x14ac:dyDescent="0.25">
      <c r="A20" s="585">
        <f>KB_Lunge!A55</f>
        <v>12</v>
      </c>
      <c r="B20" s="587"/>
      <c r="C20" s="581" t="str">
        <f>KB_Lunge!C55</f>
        <v>Verhältnis Broncho-/Angioplastischen Operationen zu Pneumonektomien</v>
      </c>
      <c r="D20" s="581" t="str">
        <f>KB_Lunge!F55</f>
        <v>Primärfälle des Nenners mit Broncho-/Angioplastischen Operationen</v>
      </c>
      <c r="E20" s="582"/>
      <c r="F20" s="581" t="str">
        <f>KB_Lunge!H55</f>
        <v xml:space="preserve">Primärfälle mit Pneumonektomien und Primärfälle mit Broncho-/Angioplastischen Operationen
</v>
      </c>
      <c r="G20" s="617" t="str">
        <f>KB_Lunge!J55</f>
        <v>&lt; 50%</v>
      </c>
      <c r="H20" s="594" t="str">
        <f>KB_Lunge!K55</f>
        <v>Derzeit keine Vorgaben</v>
      </c>
      <c r="I20" s="595"/>
      <c r="J20" s="78" t="s">
        <v>349</v>
      </c>
      <c r="K20" s="84"/>
      <c r="L20" s="84"/>
      <c r="M20" s="337"/>
      <c r="N20" s="84"/>
      <c r="O20" s="85"/>
      <c r="P20" s="85"/>
      <c r="Q20" s="520" t="str">
        <f t="shared" ref="Q20:Q37" si="1">IF(O20="","n.d.",IF(P20="","n.d.",IF(P20=0,"",O20/P20)))</f>
        <v>n.d.</v>
      </c>
      <c r="R20" s="310" t="str">
        <f>IF(COUNTIF(K20:P20,"")&gt;0,Berechnung1!$F$5,IF(OR(Q20&lt;Berechnung1!$E$69,Q20&gt;Berechnung1!$F$69),Berechnung1!$G$5,IF(OR(ROUND(Q20,4)&lt;Berechnung1!$J$69,ROUND(Q20,4)&gt;Berechnung1!$K$69),Berechnung1!$D$5,IF(OR(ROUND(Q20,4)&lt;Berechnung1!$G$69,ROUND(Q20,4)&gt;Berechnung1!$H$69),Berechnung1!$E$5,Berechnung1!$C$5))))</f>
        <v>Unvollständig</v>
      </c>
      <c r="S20" s="654" t="str">
        <f>IFERROR(SUM(O20:O22)/SUM(P20:P22),"n.d.")</f>
        <v>n.d.</v>
      </c>
      <c r="T20" s="591" t="str">
        <f>IF(S20=Berechnung1!D69,Berechnung1!$F$5,IF(OR(S20&lt; Berechnung1!E69,S20&gt; Berechnung1!F69),Berechnung1!$G$5,IF(OR(ROUND(S20,4)&lt;Berechnung1!G69,ROUND(S20,4)&gt;Berechnung1!H69),Berechnung1!$E$5,IF(OR(ROUND(S20,4)&lt;Berechnung1!J69,ROUND(S20,4)&gt;Berechnung1!K69),Berechnung1!$D$5,Berechnung1!$C$5))))</f>
        <v>Unvollständig</v>
      </c>
      <c r="U20" s="513"/>
      <c r="V20" s="514"/>
    </row>
    <row r="21" spans="1:22" s="14" customFormat="1" ht="28.5" customHeight="1" thickBot="1" x14ac:dyDescent="0.25">
      <c r="A21" s="600"/>
      <c r="B21" s="602"/>
      <c r="C21" s="608"/>
      <c r="D21" s="608"/>
      <c r="E21" s="584"/>
      <c r="F21" s="608"/>
      <c r="G21" s="619"/>
      <c r="H21" s="596"/>
      <c r="I21" s="597"/>
      <c r="J21" s="78" t="s">
        <v>350</v>
      </c>
      <c r="K21" s="86"/>
      <c r="L21" s="86"/>
      <c r="M21" s="338"/>
      <c r="N21" s="86"/>
      <c r="O21" s="85"/>
      <c r="P21" s="85"/>
      <c r="Q21" s="520" t="str">
        <f t="shared" si="1"/>
        <v>n.d.</v>
      </c>
      <c r="R21" s="142" t="str">
        <f>IF(COUNTIF(K21:P21,"")=6,"",IF(COUNTIF(K21:P21,"")&gt;0,Berechnung1!$F$5,IF(OR(Q21&lt;Berechnung1!$E$69,Q21&gt;Berechnung1!$F$69),Berechnung1!$G$5,IF(OR(ROUND(Q21,4)&lt;Berechnung1!$J$69,ROUND(Q21,4)&gt;Berechnung1!$K$69),Berechnung1!$D$5,IF(OR(ROUND(Q21,4)&lt;Berechnung1!$G$69,ROUND(Q21,4)&gt;Berechnung1!$H$69),Berechnung1!$E$5,Berechnung1!$C$5)))))</f>
        <v/>
      </c>
      <c r="S21" s="600"/>
      <c r="T21" s="592"/>
      <c r="U21" s="513"/>
      <c r="V21" s="514"/>
    </row>
    <row r="22" spans="1:22" s="14" customFormat="1" ht="28.5" customHeight="1" thickBot="1" x14ac:dyDescent="0.25">
      <c r="A22" s="600"/>
      <c r="B22" s="602"/>
      <c r="C22" s="608"/>
      <c r="D22" s="608"/>
      <c r="E22" s="584"/>
      <c r="F22" s="608"/>
      <c r="G22" s="619"/>
      <c r="H22" s="596"/>
      <c r="I22" s="597"/>
      <c r="J22" s="78" t="s">
        <v>351</v>
      </c>
      <c r="K22" s="86"/>
      <c r="L22" s="86"/>
      <c r="M22" s="338"/>
      <c r="N22" s="86"/>
      <c r="O22" s="85"/>
      <c r="P22" s="85"/>
      <c r="Q22" s="520" t="str">
        <f t="shared" si="1"/>
        <v>n.d.</v>
      </c>
      <c r="R22" s="142" t="str">
        <f>IF(COUNTIF(K22:P22,"")=6,"",IF(COUNTIF(K22:P22,"")&gt;0,Berechnung1!$F$5,IF(OR(Q22&lt;Berechnung1!$E$69,Q22&gt;Berechnung1!$F$69),Berechnung1!$G$5,IF(OR(ROUND(Q22,4)&lt;Berechnung1!$J$69,ROUND(Q22,4)&gt;Berechnung1!$K$69),Berechnung1!$D$5,IF(OR(ROUND(Q22,4)&lt;Berechnung1!$G$69,ROUND(Q22,4)&gt;Berechnung1!$H$69),Berechnung1!$E$5,Berechnung1!$C$5)))))</f>
        <v/>
      </c>
      <c r="S22" s="604"/>
      <c r="T22" s="592"/>
      <c r="U22" s="513"/>
      <c r="V22" s="514"/>
    </row>
    <row r="23" spans="1:22" s="14" customFormat="1" ht="28.5" customHeight="1" thickBot="1" x14ac:dyDescent="0.25">
      <c r="A23" s="585">
        <f>KB_Lunge!A58</f>
        <v>13</v>
      </c>
      <c r="B23" s="587"/>
      <c r="C23" s="581" t="str">
        <f>KB_Lunge!C58</f>
        <v>Videothorakoskopische (VATS) und Roboter-assistierte (RATS) anatomische Resektionen</v>
      </c>
      <c r="D23" s="581" t="str">
        <f>KB_Lunge!F58</f>
        <v>Operationen des Nenners, die videothorakoskopisch (VATS) und Roboter-assistiert (RATS) durchgeführt wurden</v>
      </c>
      <c r="E23" s="582"/>
      <c r="F23" s="660" t="str">
        <f>KB_Lunge!H58</f>
        <v>Operative Primärfälle 
(= Kennzahl 11a)</v>
      </c>
      <c r="G23" s="659"/>
      <c r="H23" s="594" t="str">
        <f>KB_Lunge!K58</f>
        <v>Derzeit keine Vorgaben</v>
      </c>
      <c r="I23" s="595"/>
      <c r="J23" s="78" t="s">
        <v>349</v>
      </c>
      <c r="K23" s="84"/>
      <c r="L23" s="84"/>
      <c r="M23" s="337"/>
      <c r="N23" s="84"/>
      <c r="O23" s="85"/>
      <c r="P23" s="85"/>
      <c r="Q23" s="520" t="str">
        <f t="shared" si="1"/>
        <v>n.d.</v>
      </c>
      <c r="R23" s="310" t="str">
        <f>IF(COUNTIF(K23:P23,"")&gt;0,Berechnung1!$F$5,IF(OR(Q23&lt; Berechnung1!$E$72,Q23&gt; Berechnung1!$F$72),Berechnung1!$G$5,IF(OR(ROUND(Q23,4)&lt;Berechnung1!$J$72,ROUND(Q23,4)&gt;Berechnung1!$K$72),Berechnung1!$D$5,IF(OR(ROUND(Q23,4)&lt;Berechnung1!$G$72,ROUND(Q23,4)&gt;Berechnung1!$H$72),Berechnung1!$E$5,Berechnung1!$C$5))))</f>
        <v>Unvollständig</v>
      </c>
      <c r="S23" s="654" t="str">
        <f>IFERROR(SUM(O23:O25)/SUM(P23:P25),"n.d.")</f>
        <v>n.d.</v>
      </c>
      <c r="T23" s="591" t="str">
        <f>IF(S23=Berechnung1!D72,Berechnung1!$F$5,IF(OR(S23&lt; Berechnung1!E69,S23&gt; Berechnung1!F72),Berechnung1!$G$5,IF(OR(ROUND(S23,4)&lt;Berechnung1!G72,ROUND(S23,4)&gt;Berechnung1!H72),Berechnung1!$E$5,IF(OR(ROUND(S23,4)&lt;Berechnung1!J72,ROUND(S23,4)&gt;Berechnung1!K72),Berechnung1!$D$5,Berechnung1!$C$5))))</f>
        <v>Unvollständig</v>
      </c>
      <c r="U23" s="513"/>
      <c r="V23" s="514"/>
    </row>
    <row r="24" spans="1:22" s="14" customFormat="1" ht="28.5" customHeight="1" thickBot="1" x14ac:dyDescent="0.25">
      <c r="A24" s="600"/>
      <c r="B24" s="602"/>
      <c r="C24" s="608"/>
      <c r="D24" s="608"/>
      <c r="E24" s="584"/>
      <c r="F24" s="661"/>
      <c r="G24" s="586"/>
      <c r="H24" s="596"/>
      <c r="I24" s="597"/>
      <c r="J24" s="78" t="s">
        <v>350</v>
      </c>
      <c r="K24" s="86"/>
      <c r="L24" s="86"/>
      <c r="M24" s="338"/>
      <c r="N24" s="86"/>
      <c r="O24" s="85"/>
      <c r="P24" s="85"/>
      <c r="Q24" s="520" t="str">
        <f t="shared" si="1"/>
        <v>n.d.</v>
      </c>
      <c r="R24" s="142" t="str">
        <f>IF(COUNTIF(K24:P24,"")=6,"",IF(COUNTIF(K24:P24,"")&gt;0,Berechnung1!$F$5,IF(OR(Q24&lt;Berechnung1!$E$72,Q24&gt;Berechnung1!$F$72),Berechnung1!$G$5,IF(OR(ROUND(Q24,4)&lt;Berechnung1!$J$72,ROUND(Q24,4)&gt;Berechnung1!$K$72),Berechnung1!$D$5,IF(OR(ROUND(Q24,4)&lt;Berechnung1!$G$72,ROUND(Q24,4)&gt;Berechnung1!$H$72),Berechnung1!$E$5,Berechnung1!$C$5)))))</f>
        <v/>
      </c>
      <c r="S24" s="600"/>
      <c r="T24" s="592"/>
      <c r="U24" s="513"/>
      <c r="V24" s="514"/>
    </row>
    <row r="25" spans="1:22" s="14" customFormat="1" ht="28.5" customHeight="1" thickBot="1" x14ac:dyDescent="0.25">
      <c r="A25" s="600"/>
      <c r="B25" s="602"/>
      <c r="C25" s="608"/>
      <c r="D25" s="608"/>
      <c r="E25" s="584"/>
      <c r="F25" s="661"/>
      <c r="G25" s="586"/>
      <c r="H25" s="596"/>
      <c r="I25" s="597"/>
      <c r="J25" s="78" t="s">
        <v>351</v>
      </c>
      <c r="K25" s="86"/>
      <c r="L25" s="86"/>
      <c r="M25" s="338"/>
      <c r="N25" s="86"/>
      <c r="O25" s="85"/>
      <c r="P25" s="85"/>
      <c r="Q25" s="520" t="str">
        <f t="shared" si="1"/>
        <v>n.d.</v>
      </c>
      <c r="R25" s="142" t="str">
        <f>IF(COUNTIF(K25:P25,"")=6,"",IF(COUNTIF(K25:P25,"")&gt;0,Berechnung1!$F$5,IF(OR(Q25&lt;Berechnung1!$E$72,Q25&gt;Berechnung1!$F$69),Berechnung1!$G$5,IF(OR(ROUND(Q25,4)&lt;Berechnung1!$J$72,ROUND(Q25,4)&gt;Berechnung1!$K$72),Berechnung1!$D$5,IF(OR(ROUND(Q25,4)&lt;Berechnung1!$G$72,ROUND(Q25,4)&gt;Berechnung1!$H$72),Berechnung1!$E$5,Berechnung1!$C$5)))))</f>
        <v/>
      </c>
      <c r="S25" s="604"/>
      <c r="T25" s="592"/>
      <c r="U25" s="513"/>
      <c r="V25" s="514"/>
    </row>
    <row r="26" spans="1:22" s="14" customFormat="1" ht="28.5" customHeight="1" thickBot="1" x14ac:dyDescent="0.25">
      <c r="A26" s="585">
        <f>KB_Lunge!A61</f>
        <v>14</v>
      </c>
      <c r="B26" s="587" t="s">
        <v>279</v>
      </c>
      <c r="C26" s="581" t="str">
        <f>KB_Lunge!C61</f>
        <v>30d-Letalität nach Resektionen</v>
      </c>
      <c r="D26" s="581" t="str">
        <f>KB_Lunge!F61</f>
        <v>Primärfälle des Nenners, die postoperativ innerhalb von 30d verstorben sind</v>
      </c>
      <c r="E26" s="582"/>
      <c r="F26" s="660" t="str">
        <f>KB_Lunge!H61</f>
        <v>Operative Primärfälle
(= Kennzahl 11a)</v>
      </c>
      <c r="G26" s="585" t="str">
        <f>KB_Lunge!J61</f>
        <v>&lt; 0,01%</v>
      </c>
      <c r="H26" s="594" t="str">
        <f>KB_Lunge!K61</f>
        <v>≤ 5%</v>
      </c>
      <c r="I26" s="595"/>
      <c r="J26" s="78" t="s">
        <v>349</v>
      </c>
      <c r="K26" s="84"/>
      <c r="L26" s="84"/>
      <c r="M26" s="337"/>
      <c r="N26" s="84"/>
      <c r="O26" s="85"/>
      <c r="P26" s="85"/>
      <c r="Q26" s="520" t="str">
        <f t="shared" si="1"/>
        <v>n.d.</v>
      </c>
      <c r="R26" s="310" t="str">
        <f>IF(COUNTIF(K26:P26,"")&gt;0,Berechnung1!$F$5,IF(OR(Q26&lt; Berechnung1!$E$75,Q26&gt; Berechnung1!$F$75),Berechnung1!$G$5,IF(OR(ROUND(Q26,4)&lt;Berechnung1!$J$75,ROUND(Q26,4)&gt;Berechnung1!$K$75),Berechnung1!$D$5,IF(OR(ROUND(Q26,4)&lt;Berechnung1!$G$75,ROUND(Q26,4)&gt;Berechnung1!$H$75),Berechnung1!$E$5,Berechnung1!$C$5))))</f>
        <v>Unvollständig</v>
      </c>
      <c r="S26" s="654" t="str">
        <f>IFERROR(SUM(O26:O28)/SUM(P26:P28),"n.d.")</f>
        <v>n.d.</v>
      </c>
      <c r="T26" s="591" t="str">
        <f>IF(S26=Berechnung1!D75,Berechnung1!$F$5,IF(OR(S26&lt; Berechnung1!E75,S26&gt; Berechnung1!F75),Berechnung1!$G$5,IF(OR(S26&lt;Berechnung1!J75,S26&gt;Berechnung1!K75),Berechnung1!$D$5,IF(OR(ROUND(S26,4)&lt;Berechnung1!G75,ROUND(S26,4)&gt;Berechnung1!H75),Berechnung1!$E$5,Berechnung1!$C$5))))</f>
        <v>Unvollständig</v>
      </c>
      <c r="U26" s="513"/>
      <c r="V26" s="514"/>
    </row>
    <row r="27" spans="1:22" s="14" customFormat="1" ht="28.5" customHeight="1" thickBot="1" x14ac:dyDescent="0.25">
      <c r="A27" s="600"/>
      <c r="B27" s="602"/>
      <c r="C27" s="608"/>
      <c r="D27" s="608"/>
      <c r="E27" s="584"/>
      <c r="F27" s="661"/>
      <c r="G27" s="600"/>
      <c r="H27" s="634"/>
      <c r="I27" s="597"/>
      <c r="J27" s="78" t="s">
        <v>350</v>
      </c>
      <c r="K27" s="86"/>
      <c r="L27" s="86"/>
      <c r="M27" s="338"/>
      <c r="N27" s="86"/>
      <c r="O27" s="85"/>
      <c r="P27" s="85"/>
      <c r="Q27" s="520" t="str">
        <f t="shared" si="1"/>
        <v>n.d.</v>
      </c>
      <c r="R27" s="142" t="str">
        <f>IF(COUNTIF(K27:P27,"")=6,"",IF(COUNTIF(K27:P27,"")&gt;0,Berechnung1!$F$5,IF(OR(Q27&lt;Berechnung1!$E$75,Q27&gt;Berechnung1!$F$75),Berechnung1!$G$5,IF(OR(ROUND(Q27,4)&lt;Berechnung1!$J$75,ROUND(Q27,4)&gt;Berechnung1!$K$75),Berechnung1!$D$5,IF(OR(ROUND(Q27,4)&lt;Berechnung1!$G$75,ROUND(Q27,4)&gt;Berechnung1!$H$75),Berechnung1!$E$5,Berechnung1!$C$5)))))</f>
        <v/>
      </c>
      <c r="S27" s="600"/>
      <c r="T27" s="592"/>
      <c r="U27" s="513"/>
      <c r="V27" s="514"/>
    </row>
    <row r="28" spans="1:22" s="14" customFormat="1" ht="28.5" customHeight="1" thickBot="1" x14ac:dyDescent="0.25">
      <c r="A28" s="600"/>
      <c r="B28" s="602"/>
      <c r="C28" s="608"/>
      <c r="D28" s="608"/>
      <c r="E28" s="584"/>
      <c r="F28" s="661"/>
      <c r="G28" s="604"/>
      <c r="H28" s="598"/>
      <c r="I28" s="599"/>
      <c r="J28" s="78" t="s">
        <v>351</v>
      </c>
      <c r="K28" s="86"/>
      <c r="L28" s="86"/>
      <c r="M28" s="338"/>
      <c r="N28" s="86"/>
      <c r="O28" s="85"/>
      <c r="P28" s="85"/>
      <c r="Q28" s="520" t="str">
        <f t="shared" si="1"/>
        <v>n.d.</v>
      </c>
      <c r="R28" s="142" t="str">
        <f>IF(COUNTIF(K28:P28,"")=6,"",IF(COUNTIF(K28:P28,"")&gt;0,Berechnung1!$F$5,IF(OR(Q28&lt;Berechnung1!$E$75,Q28&gt;Berechnung1!$F$75),Berechnung1!$G$5,IF(OR(ROUND(Q28,4)&lt;Berechnung1!$J$75,ROUND(Q28,4)&gt;Berechnung1!$K$75),Berechnung1!$D$5,IF(OR(ROUND(Q28,4)&lt;Berechnung1!$G$75,ROUND(Q28,4)&gt;Berechnung1!$H$75),Berechnung1!$E$5,Berechnung1!$C$5)))))</f>
        <v/>
      </c>
      <c r="S28" s="604"/>
      <c r="T28" s="592"/>
      <c r="U28" s="513"/>
      <c r="V28" s="514"/>
    </row>
    <row r="29" spans="1:22" s="14" customFormat="1" ht="28.5" customHeight="1" thickBot="1" x14ac:dyDescent="0.25">
      <c r="A29" s="635">
        <f>KB_Lunge!A64</f>
        <v>15</v>
      </c>
      <c r="B29" s="640" t="s">
        <v>279</v>
      </c>
      <c r="C29" s="643" t="str">
        <f>KB_Lunge!C64</f>
        <v>Postoperative Bronchusstumpf-/Anastomoseninsuffizienz</v>
      </c>
      <c r="D29" s="643" t="str">
        <f>KB_Lunge!F64</f>
        <v xml:space="preserve">Primärfälle des Nenners mit postoperativen Bronchusstumpf-/ Anastomoseninsuff. </v>
      </c>
      <c r="E29" s="646"/>
      <c r="F29" s="643" t="str">
        <f>KB_Lunge!H64</f>
        <v>Operative Primärfälle
(= Kennzahl 11a)</v>
      </c>
      <c r="G29" s="585" t="str">
        <f>KB_Lunge!J64</f>
        <v>&lt; 0,01%</v>
      </c>
      <c r="H29" s="594" t="str">
        <f>KB_Lunge!K64</f>
        <v>≤ 5%</v>
      </c>
      <c r="I29" s="595"/>
      <c r="J29" s="78" t="s">
        <v>349</v>
      </c>
      <c r="K29" s="84"/>
      <c r="L29" s="84"/>
      <c r="M29" s="337"/>
      <c r="N29" s="84"/>
      <c r="O29" s="85"/>
      <c r="P29" s="85"/>
      <c r="Q29" s="520" t="str">
        <f t="shared" si="1"/>
        <v>n.d.</v>
      </c>
      <c r="R29" s="310" t="str">
        <f>IF(COUNTIF(K29:P29,"")&gt;0,Berechnung1!$F$5,IF(OR(Q29&lt; Berechnung1!$E$78,Q29&gt; Berechnung1!$F$78),Berechnung1!$G$5,IF(OR(ROUND(Q29,4)&lt;Berechnung1!$J$78,ROUND(Q29,4)&gt;Berechnung1!$K$78),Berechnung1!$D$5,IF(OR(ROUND(Q29,4)&lt;Berechnung1!$G$78,ROUND(Q29,4)&gt;Berechnung1!$H$78),Berechnung1!$E$5,Berechnung1!$C$5))))</f>
        <v>Unvollständig</v>
      </c>
      <c r="S29" s="654" t="str">
        <f>IFERROR(SUM(O29:O31)/SUM(P29:P31),"n.d.")</f>
        <v>n.d.</v>
      </c>
      <c r="T29" s="591" t="str">
        <f>IF(S29=Berechnung1!D78,Berechnung1!$F$5,IF(OR(S29&lt; Berechnung1!E78,S29&gt; Berechnung1!F78),Berechnung1!$G$5,IF(OR(S29&lt;Berechnung1!J78,S29&gt;Berechnung1!K78),Berechnung1!$D$5,IF(OR(ROUND(S29,4)&lt;Berechnung1!G78,ROUND(S29,4)&gt;Berechnung1!H78),Berechnung1!$E$5,Berechnung1!$C$5))))</f>
        <v>Unvollständig</v>
      </c>
      <c r="U29" s="513"/>
      <c r="V29" s="514"/>
    </row>
    <row r="30" spans="1:22" s="14" customFormat="1" ht="28.5" customHeight="1" thickBot="1" x14ac:dyDescent="0.25">
      <c r="A30" s="638"/>
      <c r="B30" s="641"/>
      <c r="C30" s="644"/>
      <c r="D30" s="644"/>
      <c r="E30" s="647"/>
      <c r="F30" s="649"/>
      <c r="G30" s="600"/>
      <c r="H30" s="634"/>
      <c r="I30" s="597"/>
      <c r="J30" s="78" t="s">
        <v>350</v>
      </c>
      <c r="K30" s="86"/>
      <c r="L30" s="86"/>
      <c r="M30" s="338"/>
      <c r="N30" s="86"/>
      <c r="O30" s="85"/>
      <c r="P30" s="85"/>
      <c r="Q30" s="520" t="str">
        <f t="shared" si="1"/>
        <v>n.d.</v>
      </c>
      <c r="R30" s="142" t="str">
        <f>IF(COUNTIF(K30:P30,"")=6,"",IF(COUNTIF(K30:P30,"")&gt;0,Berechnung1!$F$5,IF(OR(Q30&lt;Berechnung1!$E$78,Q30&gt;Berechnung1!$F$78),Berechnung1!$G$5,IF(OR(ROUND(Q30,4)&lt;Berechnung1!$J$78,ROUND(Q30,4)&gt;Berechnung1!$K$78),Berechnung1!$D$5,IF(OR(ROUND(Q30,4)&lt;Berechnung1!$G$78,ROUND(Q30,4)&gt;Berechnung1!$H$78),Berechnung1!$E$5,Berechnung1!$C$5)))))</f>
        <v/>
      </c>
      <c r="S30" s="600"/>
      <c r="T30" s="592"/>
      <c r="U30" s="513"/>
      <c r="V30" s="514"/>
    </row>
    <row r="31" spans="1:22" s="14" customFormat="1" ht="28.5" customHeight="1" thickBot="1" x14ac:dyDescent="0.25">
      <c r="A31" s="639"/>
      <c r="B31" s="642"/>
      <c r="C31" s="645"/>
      <c r="D31" s="645"/>
      <c r="E31" s="648"/>
      <c r="F31" s="650"/>
      <c r="G31" s="604"/>
      <c r="H31" s="598"/>
      <c r="I31" s="599"/>
      <c r="J31" s="78" t="s">
        <v>351</v>
      </c>
      <c r="K31" s="86"/>
      <c r="L31" s="86"/>
      <c r="M31" s="338"/>
      <c r="N31" s="86"/>
      <c r="O31" s="85"/>
      <c r="P31" s="85"/>
      <c r="Q31" s="520" t="str">
        <f t="shared" si="1"/>
        <v>n.d.</v>
      </c>
      <c r="R31" s="142" t="str">
        <f>IF(COUNTIF(K31:P31,"")=6,"",IF(COUNTIF(K31:P31,"")&gt;0,Berechnung1!$F$5,IF(OR(Q31&lt;Berechnung1!$E$78,Q31&gt;Berechnung1!$F$78),Berechnung1!$G$5,IF(OR(ROUND(Q31,4)&lt;Berechnung1!$J$78,ROUND(Q31,4)&gt;Berechnung1!$K$78),Berechnung1!$D$5,IF(OR(ROUND(Q31,4)&lt;Berechnung1!$G$78,ROUND(Q31,4)&gt;Berechnung1!$H$78),Berechnung1!$E$5,Berechnung1!$C$5)))))</f>
        <v/>
      </c>
      <c r="S31" s="604"/>
      <c r="T31" s="592"/>
      <c r="U31" s="511"/>
      <c r="V31" s="514"/>
    </row>
    <row r="32" spans="1:22" s="14" customFormat="1" ht="28.5" customHeight="1" thickBot="1" x14ac:dyDescent="0.25">
      <c r="A32" s="635">
        <f>KB_Lunge!A67</f>
        <v>16</v>
      </c>
      <c r="B32" s="640" t="s">
        <v>279</v>
      </c>
      <c r="C32" s="643" t="str">
        <f>KB_Lunge!C67</f>
        <v>Lokale R0-Resektionen im Stadium IA/B u. IIA/B</v>
      </c>
      <c r="D32" s="643" t="str">
        <f>KB_Lunge!F67</f>
        <v>Primärfälle des Nenners mit lokalen R0-Resektionen nach Abschluss der operativen Therapie</v>
      </c>
      <c r="E32" s="646"/>
      <c r="F32" s="651" t="str">
        <f>KB_Lunge!H67</f>
        <v>Operative Primärfälle mit anatomischer Lungenresektion im Stadium IA/B u. IIA/B</v>
      </c>
      <c r="G32" s="635"/>
      <c r="H32" s="594" t="str">
        <f>KB_Lunge!K67</f>
        <v>≥ 95%</v>
      </c>
      <c r="I32" s="595"/>
      <c r="J32" s="78" t="s">
        <v>349</v>
      </c>
      <c r="K32" s="84"/>
      <c r="L32" s="84"/>
      <c r="M32" s="337"/>
      <c r="N32" s="84"/>
      <c r="O32" s="85"/>
      <c r="P32" s="85"/>
      <c r="Q32" s="520" t="str">
        <f t="shared" si="1"/>
        <v>n.d.</v>
      </c>
      <c r="R32" s="310" t="str">
        <f>IF(COUNTIF(K32:P32,"")&gt;0,Berechnung1!$F$5,IF(OR(Q32&lt; Berechnung1!$E$81,Q32&gt; Berechnung1!$F$81),Berechnung1!$G$5,IF(OR(ROUND(Q32,4)&lt;Berechnung1!$J$81,ROUND(Q32,4)&gt;Berechnung1!$K$81),Berechnung1!$D$5,IF(OR(ROUND(Q32,4)&lt;Berechnung1!$G$81,ROUND(Q32,4)&gt;Berechnung1!$H$81),Berechnung1!$E$5,Berechnung1!$C$5))))</f>
        <v>Unvollständig</v>
      </c>
      <c r="S32" s="654" t="str">
        <f>IFERROR(SUM(O32:O34)/SUM(P32:P34),"n.d.")</f>
        <v>n.d.</v>
      </c>
      <c r="T32" s="591" t="str">
        <f>IF(S32=Berechnung1!D81,Berechnung1!$F$5,IF(OR(S32&lt; Berechnung1!E81,S32&gt; Berechnung1!F81),Berechnung1!$G$5,IF(OR(S32&lt;Berechnung1!J81,S32&gt;Berechnung1!K81),Berechnung1!$D$5,IF(OR(ROUND(S32,4)&lt;Berechnung1!G81,ROUND(S32,4)&gt;Berechnung1!H81),Berechnung1!$E$5,Berechnung1!$C$5))))</f>
        <v>Unvollständig</v>
      </c>
      <c r="U32" s="513"/>
      <c r="V32" s="514"/>
    </row>
    <row r="33" spans="1:22" s="14" customFormat="1" ht="28.5" customHeight="1" thickBot="1" x14ac:dyDescent="0.25">
      <c r="A33" s="638"/>
      <c r="B33" s="641"/>
      <c r="C33" s="644"/>
      <c r="D33" s="644"/>
      <c r="E33" s="647"/>
      <c r="F33" s="652"/>
      <c r="G33" s="636"/>
      <c r="H33" s="634"/>
      <c r="I33" s="597"/>
      <c r="J33" s="78" t="s">
        <v>350</v>
      </c>
      <c r="K33" s="86"/>
      <c r="L33" s="86"/>
      <c r="M33" s="338"/>
      <c r="N33" s="86"/>
      <c r="O33" s="85"/>
      <c r="P33" s="85"/>
      <c r="Q33" s="520" t="str">
        <f t="shared" si="1"/>
        <v>n.d.</v>
      </c>
      <c r="R33" s="142" t="str">
        <f>IF(COUNTIF(K33:P33,"")=6,"",IF(COUNTIF(K33:P33,"")&gt;0,Berechnung1!$F$5,IF(OR(Q33&lt;Berechnung1!$E$81,Q33&gt;Berechnung1!$F$81),Berechnung1!$G$5,IF(OR(ROUND(Q33,4)&lt;Berechnung1!$J$81,ROUND(Q33,4)&gt;Berechnung1!$K$81),Berechnung1!$D$5,IF(OR(ROUND(Q33,4)&lt;Berechnung1!$G$81,ROUND(Q33,4)&gt;Berechnung1!$H$81),Berechnung1!$E$5,Berechnung1!$C$5)))))</f>
        <v/>
      </c>
      <c r="S33" s="600"/>
      <c r="T33" s="592"/>
      <c r="U33" s="513"/>
      <c r="V33" s="514"/>
    </row>
    <row r="34" spans="1:22" s="14" customFormat="1" ht="28.5" customHeight="1" thickBot="1" x14ac:dyDescent="0.25">
      <c r="A34" s="639"/>
      <c r="B34" s="642"/>
      <c r="C34" s="645"/>
      <c r="D34" s="645"/>
      <c r="E34" s="648"/>
      <c r="F34" s="653"/>
      <c r="G34" s="637"/>
      <c r="H34" s="598"/>
      <c r="I34" s="599"/>
      <c r="J34" s="78" t="s">
        <v>351</v>
      </c>
      <c r="K34" s="86"/>
      <c r="L34" s="86"/>
      <c r="M34" s="338"/>
      <c r="N34" s="86"/>
      <c r="O34" s="85"/>
      <c r="P34" s="85"/>
      <c r="Q34" s="520" t="str">
        <f t="shared" si="1"/>
        <v>n.d.</v>
      </c>
      <c r="R34" s="142" t="str">
        <f>IF(COUNTIF(K34:P34,"")=6,"",IF(COUNTIF(K34:P34,"")&gt;0,Berechnung1!$F$5,IF(OR(Q34&lt;Berechnung1!$E$81,Q34&gt;Berechnung1!$F$81),Berechnung1!$G$5,IF(OR(ROUND(Q34,4)&lt;Berechnung1!$J$81,ROUND(Q34,4)&gt;Berechnung1!$K$81),Berechnung1!$D$5,IF(OR(ROUND(Q34,4)&lt;Berechnung1!$G$81,ROUND(Q34,4)&gt;Berechnung1!$H$81),Berechnung1!$E$5,Berechnung1!$C$5)))))</f>
        <v/>
      </c>
      <c r="S34" s="604"/>
      <c r="T34" s="592"/>
      <c r="U34" s="513"/>
      <c r="V34" s="514"/>
    </row>
    <row r="35" spans="1:22" s="14" customFormat="1" ht="28.5" customHeight="1" thickBot="1" x14ac:dyDescent="0.25">
      <c r="A35" s="635">
        <f>KB_Lunge!A70</f>
        <v>17</v>
      </c>
      <c r="B35" s="640" t="s">
        <v>279</v>
      </c>
      <c r="C35" s="643" t="str">
        <f>KB_Lunge!C70</f>
        <v xml:space="preserve">Lokale R0-Resektionen im Stadium IIIA/B </v>
      </c>
      <c r="D35" s="643" t="str">
        <f>KB_Lunge!F70</f>
        <v>Primärfälle des Nenners mit lokalen R0-Resektionen nach Abschluss der operativen Therapie</v>
      </c>
      <c r="E35" s="646"/>
      <c r="F35" s="643" t="str">
        <f>KB_Lunge!H70</f>
        <v>Operative Primärfälle mit anatomischer Lungenresektion  im Stadium IIIA/B</v>
      </c>
      <c r="G35" s="585"/>
      <c r="H35" s="594" t="str">
        <f>KB_Lunge!K70</f>
        <v>≥ 85%</v>
      </c>
      <c r="I35" s="595"/>
      <c r="J35" s="78" t="s">
        <v>349</v>
      </c>
      <c r="K35" s="84"/>
      <c r="L35" s="84"/>
      <c r="M35" s="337"/>
      <c r="N35" s="84"/>
      <c r="O35" s="85"/>
      <c r="P35" s="85"/>
      <c r="Q35" s="520" t="str">
        <f t="shared" si="1"/>
        <v>n.d.</v>
      </c>
      <c r="R35" s="310" t="str">
        <f>IF(COUNTIF(K35:P35,"")&gt;0,Berechnung1!$F$5,IF(OR(Q35&lt; Berechnung1!$E$84,Q35&gt; Berechnung1!$F$84),Berechnung1!$G$5,IF(OR(ROUND(Q35,4)&lt;Berechnung1!$J$84,ROUND(Q35,4)&gt;Berechnung1!$K$84),Berechnung1!$D$5,IF(OR(ROUND(Q35,4)&lt;Berechnung1!$G$84,ROUND(Q35,4)&gt;Berechnung1!$H$84),Berechnung1!$E$5,Berechnung1!$C$5))))</f>
        <v>Unvollständig</v>
      </c>
      <c r="S35" s="654" t="str">
        <f>IFERROR(SUM(O35:O37)/SUM(P35:P37),"n.d.")</f>
        <v>n.d.</v>
      </c>
      <c r="T35" s="591" t="str">
        <f>IF(S35=Berechnung1!D84,Berechnung1!$F$5,IF(OR(S35&lt; Berechnung1!E84,S35&gt; Berechnung1!F84),Berechnung1!$G$5,IF(OR(S35&lt;Berechnung1!J84,S35&gt;Berechnung1!K84),Berechnung1!$D$5,IF(OR(ROUND(S35,4)&lt;Berechnung1!G84,ROUND(S35,4)&gt;Berechnung1!H84),Berechnung1!$E$5,Berechnung1!$C$5))))</f>
        <v>Unvollständig</v>
      </c>
      <c r="U35" s="513"/>
      <c r="V35" s="514"/>
    </row>
    <row r="36" spans="1:22" s="14" customFormat="1" ht="28.5" customHeight="1" thickBot="1" x14ac:dyDescent="0.25">
      <c r="A36" s="638"/>
      <c r="B36" s="641"/>
      <c r="C36" s="644"/>
      <c r="D36" s="644"/>
      <c r="E36" s="647"/>
      <c r="F36" s="649"/>
      <c r="G36" s="600"/>
      <c r="H36" s="634"/>
      <c r="I36" s="597"/>
      <c r="J36" s="78" t="s">
        <v>350</v>
      </c>
      <c r="K36" s="86"/>
      <c r="L36" s="86"/>
      <c r="M36" s="338"/>
      <c r="N36" s="86"/>
      <c r="O36" s="85"/>
      <c r="P36" s="85"/>
      <c r="Q36" s="520" t="str">
        <f t="shared" si="1"/>
        <v>n.d.</v>
      </c>
      <c r="R36" s="515" t="str">
        <f>IF(COUNTIF(K36:P36,"")=6,"",IF(COUNTIF(K36:P36,"")&gt;0,Berechnung1!$F$5,IF(OR(Q36&lt;Berechnung1!$E$84,Q36&gt;Berechnung1!$F$84),Berechnung1!$G$5,IF(OR(ROUND(Q36,4)&lt;Berechnung1!$J$84,ROUND(Q36,4)&gt;Berechnung1!$K$84),Berechnung1!$D$5,IF(OR(ROUND(Q36,4)&lt;Berechnung1!$G$84,ROUND(Q36,4)&gt;Berechnung1!$H$84),Berechnung1!$E$5,Berechnung1!$C$5)))))</f>
        <v/>
      </c>
      <c r="S36" s="600"/>
      <c r="T36" s="592"/>
      <c r="U36" s="513"/>
      <c r="V36" s="514"/>
    </row>
    <row r="37" spans="1:22" s="14" customFormat="1" ht="28.5" customHeight="1" thickBot="1" x14ac:dyDescent="0.25">
      <c r="A37" s="639"/>
      <c r="B37" s="642"/>
      <c r="C37" s="645"/>
      <c r="D37" s="645"/>
      <c r="E37" s="648"/>
      <c r="F37" s="650"/>
      <c r="G37" s="604"/>
      <c r="H37" s="598"/>
      <c r="I37" s="599"/>
      <c r="J37" s="78" t="s">
        <v>351</v>
      </c>
      <c r="K37" s="86"/>
      <c r="L37" s="86"/>
      <c r="M37" s="338"/>
      <c r="N37" s="86"/>
      <c r="O37" s="85"/>
      <c r="P37" s="85"/>
      <c r="Q37" s="520" t="str">
        <f t="shared" si="1"/>
        <v>n.d.</v>
      </c>
      <c r="R37" s="515" t="str">
        <f>IF(COUNTIF(K37:P37,"")=6,"",IF(COUNTIF(K37:P37,"")&gt;0,Berechnung1!$F$5,IF(OR(Q37&lt;Berechnung1!$E$84,Q37&gt;Berechnung1!$F$84),Berechnung1!$G$5,IF(OR(ROUND(Q37,4)&lt;Berechnung1!$J$84,ROUND(Q37,4)&gt;Berechnung1!$K$84),Berechnung1!$D$5,IF(OR(ROUND(Q37,4)&lt;Berechnung1!$G$84,ROUND(Q37,4)&gt;Berechnung1!$H$84),Berechnung1!$E$5,Berechnung1!$C$5)))))</f>
        <v/>
      </c>
      <c r="S37" s="604"/>
      <c r="T37" s="592"/>
      <c r="U37" s="511"/>
      <c r="V37" s="512"/>
    </row>
    <row r="38" spans="1:22" ht="28.5" customHeight="1" x14ac:dyDescent="0.25">
      <c r="A38" s="578"/>
      <c r="B38" s="579"/>
      <c r="C38" s="579"/>
      <c r="D38" s="579"/>
      <c r="E38" s="579"/>
      <c r="F38" s="579"/>
      <c r="G38" s="579"/>
      <c r="H38" s="579"/>
      <c r="I38" s="579"/>
      <c r="J38" s="580"/>
      <c r="K38" s="580"/>
      <c r="L38" s="580"/>
      <c r="M38" s="580"/>
      <c r="N38" s="580"/>
      <c r="O38" s="580"/>
      <c r="P38" s="580"/>
      <c r="Q38" s="580"/>
      <c r="R38" s="580"/>
      <c r="S38" s="580"/>
      <c r="T38" s="580"/>
    </row>
    <row r="43" spans="1:22" hidden="1" x14ac:dyDescent="0.25">
      <c r="B43" s="71" t="s">
        <v>394</v>
      </c>
      <c r="D43" s="107" t="str">
        <f>Basisdaten_Lunge!K34</f>
        <v/>
      </c>
    </row>
  </sheetData>
  <sheetProtection algorithmName="SHA-512" hashValue="DsmgN4jhJWv5zzgwY+bZapv2gfGaXMGcX9OeyyOizBkLssughMsVr49EmvW7/ABYYYQriYTlQaCI+DxFwj2M1g==" saltValue="ESTyr3y+b1r49YKccUitlw==" spinCount="100000" sheet="1" objects="1" scenarios="1" selectLockedCells="1"/>
  <dataConsolidate/>
  <mergeCells count="89">
    <mergeCell ref="H17:I19"/>
    <mergeCell ref="T17:T19"/>
    <mergeCell ref="S17:S19"/>
    <mergeCell ref="C6:N6"/>
    <mergeCell ref="C8:D8"/>
    <mergeCell ref="A10:T10"/>
    <mergeCell ref="A12:A13"/>
    <mergeCell ref="B12:B13"/>
    <mergeCell ref="C12:C13"/>
    <mergeCell ref="D12:E13"/>
    <mergeCell ref="H12:I13"/>
    <mergeCell ref="J12:N12"/>
    <mergeCell ref="O12:O13"/>
    <mergeCell ref="U12:V12"/>
    <mergeCell ref="A14:A16"/>
    <mergeCell ref="D14:E16"/>
    <mergeCell ref="H14:I16"/>
    <mergeCell ref="T14:T16"/>
    <mergeCell ref="P12:P13"/>
    <mergeCell ref="Q12:Q13"/>
    <mergeCell ref="S12:S13"/>
    <mergeCell ref="S14:S16"/>
    <mergeCell ref="R12:R13"/>
    <mergeCell ref="T12:T13"/>
    <mergeCell ref="H20:I22"/>
    <mergeCell ref="T20:T22"/>
    <mergeCell ref="S20:S22"/>
    <mergeCell ref="F20:F22"/>
    <mergeCell ref="G20:G22"/>
    <mergeCell ref="A26:A28"/>
    <mergeCell ref="B26:B28"/>
    <mergeCell ref="C26:C28"/>
    <mergeCell ref="D26:E28"/>
    <mergeCell ref="F26:F28"/>
    <mergeCell ref="F23:F25"/>
    <mergeCell ref="G23:G25"/>
    <mergeCell ref="A23:A25"/>
    <mergeCell ref="B23:B25"/>
    <mergeCell ref="C23:C25"/>
    <mergeCell ref="D23:E25"/>
    <mergeCell ref="A20:A22"/>
    <mergeCell ref="B14:B19"/>
    <mergeCell ref="C14:C19"/>
    <mergeCell ref="F12:F13"/>
    <mergeCell ref="G12:G13"/>
    <mergeCell ref="F14:F16"/>
    <mergeCell ref="F17:F19"/>
    <mergeCell ref="G14:G16"/>
    <mergeCell ref="G17:G19"/>
    <mergeCell ref="B20:B22"/>
    <mergeCell ref="C20:C22"/>
    <mergeCell ref="D20:E22"/>
    <mergeCell ref="A17:A19"/>
    <mergeCell ref="D17:E19"/>
    <mergeCell ref="G29:G31"/>
    <mergeCell ref="H29:I31"/>
    <mergeCell ref="T29:T31"/>
    <mergeCell ref="F29:F31"/>
    <mergeCell ref="A38:T38"/>
    <mergeCell ref="A29:A31"/>
    <mergeCell ref="B29:B31"/>
    <mergeCell ref="C29:C31"/>
    <mergeCell ref="D29:E31"/>
    <mergeCell ref="G35:G37"/>
    <mergeCell ref="A32:A34"/>
    <mergeCell ref="S29:S31"/>
    <mergeCell ref="S32:S34"/>
    <mergeCell ref="B32:B34"/>
    <mergeCell ref="C32:C34"/>
    <mergeCell ref="D32:E34"/>
    <mergeCell ref="G26:G28"/>
    <mergeCell ref="H26:I28"/>
    <mergeCell ref="T26:T28"/>
    <mergeCell ref="S23:S25"/>
    <mergeCell ref="S26:S28"/>
    <mergeCell ref="T23:T25"/>
    <mergeCell ref="H23:I25"/>
    <mergeCell ref="H32:I34"/>
    <mergeCell ref="T32:T34"/>
    <mergeCell ref="H35:I37"/>
    <mergeCell ref="T35:T37"/>
    <mergeCell ref="S35:S37"/>
    <mergeCell ref="G32:G34"/>
    <mergeCell ref="A35:A37"/>
    <mergeCell ref="B35:B37"/>
    <mergeCell ref="C35:C37"/>
    <mergeCell ref="D35:E37"/>
    <mergeCell ref="F35:F37"/>
    <mergeCell ref="F32:F34"/>
  </mergeCells>
  <conditionalFormatting sqref="K14:N23">
    <cfRule type="notContainsBlanks" dxfId="237" priority="113" stopIfTrue="1">
      <formula>LEN(TRIM(K14))&gt;0</formula>
    </cfRule>
  </conditionalFormatting>
  <conditionalFormatting sqref="K26:N29">
    <cfRule type="notContainsBlanks" dxfId="236" priority="79" stopIfTrue="1">
      <formula>LEN(TRIM(K26))&gt;0</formula>
    </cfRule>
  </conditionalFormatting>
  <conditionalFormatting sqref="K32:N32">
    <cfRule type="notContainsBlanks" dxfId="235" priority="63" stopIfTrue="1">
      <formula>LEN(TRIM(K32))&gt;0</formula>
    </cfRule>
  </conditionalFormatting>
  <conditionalFormatting sqref="K35:N35">
    <cfRule type="notContainsBlanks" dxfId="234" priority="47" stopIfTrue="1">
      <formula>LEN(TRIM(K35))&gt;0</formula>
    </cfRule>
  </conditionalFormatting>
  <conditionalFormatting sqref="O14">
    <cfRule type="expression" dxfId="233" priority="170" stopIfTrue="1">
      <formula>LEN(TRIM(O14))=0</formula>
    </cfRule>
  </conditionalFormatting>
  <conditionalFormatting sqref="O17">
    <cfRule type="expression" dxfId="232" priority="125" stopIfTrue="1">
      <formula>LEN(TRIM(O17))=0</formula>
    </cfRule>
  </conditionalFormatting>
  <conditionalFormatting sqref="O23:P23">
    <cfRule type="expression" dxfId="231" priority="117" stopIfTrue="1">
      <formula>LEN(TRIM(O23))=0</formula>
    </cfRule>
  </conditionalFormatting>
  <conditionalFormatting sqref="O26:P26">
    <cfRule type="expression" dxfId="230" priority="99" stopIfTrue="1">
      <formula>LEN(TRIM(O26))=0</formula>
    </cfRule>
  </conditionalFormatting>
  <conditionalFormatting sqref="O29:P29">
    <cfRule type="expression" dxfId="229" priority="83" stopIfTrue="1">
      <formula>LEN(TRIM(O29))=0</formula>
    </cfRule>
  </conditionalFormatting>
  <conditionalFormatting sqref="O32:P32">
    <cfRule type="expression" dxfId="228" priority="67" stopIfTrue="1">
      <formula>LEN(TRIM(O32))=0</formula>
    </cfRule>
  </conditionalFormatting>
  <conditionalFormatting sqref="O35:P35">
    <cfRule type="expression" dxfId="227" priority="51" stopIfTrue="1">
      <formula>LEN(TRIM(O35))=0</formula>
    </cfRule>
  </conditionalFormatting>
  <conditionalFormatting sqref="O20:Q20 Q21:Q37">
    <cfRule type="expression" dxfId="226" priority="123" stopIfTrue="1">
      <formula>LEN(TRIM(O20))=0</formula>
    </cfRule>
  </conditionalFormatting>
  <conditionalFormatting sqref="R15:R37">
    <cfRule type="expression" dxfId="225" priority="53" stopIfTrue="1">
      <formula>OR(R15="Unvollständig",R15="Inkorrekt")</formula>
    </cfRule>
    <cfRule type="cellIs" dxfId="224" priority="56" stopIfTrue="1" operator="equal">
      <formula>"I.O."</formula>
    </cfRule>
  </conditionalFormatting>
  <conditionalFormatting sqref="R17:R37">
    <cfRule type="cellIs" dxfId="223" priority="55" stopIfTrue="1" operator="equal">
      <formula>"Sollvorgabe nicht erfüllt"</formula>
    </cfRule>
    <cfRule type="cellIs" dxfId="222" priority="54" stopIfTrue="1" operator="equal">
      <formula>"I.O. (Plausibilität unklar)"</formula>
    </cfRule>
  </conditionalFormatting>
  <conditionalFormatting sqref="R14:T14">
    <cfRule type="cellIs" dxfId="221" priority="175" stopIfTrue="1" operator="equal">
      <formula>"I.O."</formula>
    </cfRule>
    <cfRule type="expression" dxfId="220" priority="172" stopIfTrue="1">
      <formula>OR(R14="Unvollständig",R14="Inkorrekt")</formula>
    </cfRule>
  </conditionalFormatting>
  <conditionalFormatting sqref="S17">
    <cfRule type="expression" dxfId="219" priority="29" stopIfTrue="1">
      <formula>OR(S17="Unvollständig",S17="Unvollständig")</formula>
    </cfRule>
    <cfRule type="cellIs" dxfId="218" priority="30" stopIfTrue="1" operator="equal">
      <formula>"I.O."</formula>
    </cfRule>
  </conditionalFormatting>
  <conditionalFormatting sqref="S20">
    <cfRule type="cellIs" dxfId="217" priority="28" stopIfTrue="1" operator="equal">
      <formula>"I.O."</formula>
    </cfRule>
    <cfRule type="expression" dxfId="216" priority="27" stopIfTrue="1">
      <formula>OR(S20="Unvollständig",S20="Unvollständig")</formula>
    </cfRule>
  </conditionalFormatting>
  <conditionalFormatting sqref="S23">
    <cfRule type="cellIs" dxfId="215" priority="16" stopIfTrue="1" operator="equal">
      <formula>"I.O."</formula>
    </cfRule>
    <cfRule type="expression" dxfId="214" priority="15" stopIfTrue="1">
      <formula>OR(S23="Unvollständig",S23="Unvollständig")</formula>
    </cfRule>
  </conditionalFormatting>
  <conditionalFormatting sqref="S26">
    <cfRule type="cellIs" dxfId="213" priority="14" stopIfTrue="1" operator="equal">
      <formula>"I.O."</formula>
    </cfRule>
    <cfRule type="expression" dxfId="212" priority="13" stopIfTrue="1">
      <formula>OR(S26="Unvollständig",S26="Unvollständig")</formula>
    </cfRule>
  </conditionalFormatting>
  <conditionalFormatting sqref="S29">
    <cfRule type="cellIs" dxfId="211" priority="12" stopIfTrue="1" operator="equal">
      <formula>"I.O."</formula>
    </cfRule>
    <cfRule type="expression" dxfId="210" priority="11" stopIfTrue="1">
      <formula>OR(S29="Unvollständig",S29="Unvollständig")</formula>
    </cfRule>
  </conditionalFormatting>
  <conditionalFormatting sqref="S32">
    <cfRule type="expression" dxfId="209" priority="9" stopIfTrue="1">
      <formula>OR(S32="Unvollständig",S32="Unvollständig")</formula>
    </cfRule>
    <cfRule type="cellIs" dxfId="208" priority="10" stopIfTrue="1" operator="equal">
      <formula>"I.O."</formula>
    </cfRule>
  </conditionalFormatting>
  <conditionalFormatting sqref="S35">
    <cfRule type="expression" dxfId="207" priority="7" stopIfTrue="1">
      <formula>OR(S35="Unvollständig",S35="Unvollständig")</formula>
    </cfRule>
    <cfRule type="cellIs" dxfId="206" priority="8" stopIfTrue="1" operator="equal">
      <formula>"I.O."</formula>
    </cfRule>
  </conditionalFormatting>
  <conditionalFormatting sqref="T14">
    <cfRule type="cellIs" dxfId="205" priority="173" stopIfTrue="1" operator="equal">
      <formula>"I.O. (Plausibilität unklar)"</formula>
    </cfRule>
    <cfRule type="cellIs" dxfId="204" priority="174" stopIfTrue="1" operator="equal">
      <formula>"Sollvorgabe nicht erfüllt"</formula>
    </cfRule>
  </conditionalFormatting>
  <conditionalFormatting sqref="T17">
    <cfRule type="cellIs" dxfId="203" priority="169" stopIfTrue="1" operator="equal">
      <formula>"I.O."</formula>
    </cfRule>
    <cfRule type="cellIs" dxfId="202" priority="167" stopIfTrue="1" operator="equal">
      <formula>"I.O. (Plausibilität unklar)"</formula>
    </cfRule>
    <cfRule type="cellIs" dxfId="201" priority="168" stopIfTrue="1" operator="equal">
      <formula>"Sollvorgabe nicht erfüllt"</formula>
    </cfRule>
  </conditionalFormatting>
  <conditionalFormatting sqref="T17:T35">
    <cfRule type="expression" dxfId="200" priority="75" stopIfTrue="1">
      <formula>OR(T17="Unvollständig",T17="Inkorrekt")</formula>
    </cfRule>
  </conditionalFormatting>
  <conditionalFormatting sqref="T20">
    <cfRule type="cellIs" dxfId="199" priority="153" stopIfTrue="1" operator="equal">
      <formula>"I.O. (Plausibilität unklar)"</formula>
    </cfRule>
    <cfRule type="cellIs" dxfId="198" priority="154" stopIfTrue="1" operator="equal">
      <formula>"Sollvorgabe nicht erfüllt"</formula>
    </cfRule>
    <cfRule type="cellIs" dxfId="197" priority="155" stopIfTrue="1" operator="equal">
      <formula>"I.O."</formula>
    </cfRule>
  </conditionalFormatting>
  <conditionalFormatting sqref="T23">
    <cfRule type="cellIs" dxfId="196" priority="150" stopIfTrue="1" operator="equal">
      <formula>"Sollvorgabe nicht erfüllt"</formula>
    </cfRule>
    <cfRule type="cellIs" dxfId="195" priority="151" stopIfTrue="1" operator="equal">
      <formula>"I.O."</formula>
    </cfRule>
    <cfRule type="cellIs" dxfId="194" priority="149" stopIfTrue="1" operator="equal">
      <formula>"I.O. (Plausibilität unklar)"</formula>
    </cfRule>
  </conditionalFormatting>
  <conditionalFormatting sqref="T26 T29">
    <cfRule type="cellIs" dxfId="193" priority="108" stopIfTrue="1" operator="equal">
      <formula>"I.O. (Plausibilität unklar)"</formula>
    </cfRule>
    <cfRule type="cellIs" dxfId="192" priority="110" stopIfTrue="1" operator="equal">
      <formula>"I.O."</formula>
    </cfRule>
    <cfRule type="cellIs" dxfId="191" priority="109" stopIfTrue="1" operator="equal">
      <formula>"Sollvorgabe nicht erfüllt"</formula>
    </cfRule>
  </conditionalFormatting>
  <conditionalFormatting sqref="T32 T35">
    <cfRule type="cellIs" dxfId="190" priority="78" stopIfTrue="1" operator="equal">
      <formula>"I.O."</formula>
    </cfRule>
    <cfRule type="cellIs" dxfId="189" priority="76" stopIfTrue="1" operator="equal">
      <formula>"I.O. (Plausibilität unklar)"</formula>
    </cfRule>
    <cfRule type="cellIs" dxfId="188" priority="77" stopIfTrue="1" operator="equal">
      <formula>"Sollvorgabe nicht erfüllt"</formula>
    </cfRule>
  </conditionalFormatting>
  <conditionalFormatting sqref="U14:U16">
    <cfRule type="expression" dxfId="187" priority="184" stopIfTrue="1">
      <formula>OR($R14="Unvollständig",$R14="Sollvorgabe nicht erfüllt")</formula>
    </cfRule>
  </conditionalFormatting>
  <conditionalFormatting sqref="U14:U28">
    <cfRule type="notContainsBlanks" dxfId="186" priority="3" stopIfTrue="1">
      <formula>LEN(TRIM(U14))&gt;0</formula>
    </cfRule>
  </conditionalFormatting>
  <conditionalFormatting sqref="U17:U19">
    <cfRule type="expression" dxfId="185" priority="112" stopIfTrue="1">
      <formula>OR($R17="Unvollständig",$R17="Sollvorgabe nicht erfüllt")</formula>
    </cfRule>
  </conditionalFormatting>
  <conditionalFormatting sqref="U20:U22">
    <cfRule type="expression" dxfId="184" priority="185" stopIfTrue="1">
      <formula>OR($R20="Unvollständig",$R20="Sollvorgabe nicht erfüllt",R20="I.O. (Plausibilität unklar)")</formula>
    </cfRule>
  </conditionalFormatting>
  <conditionalFormatting sqref="U23:U25">
    <cfRule type="expression" dxfId="183" priority="106" stopIfTrue="1">
      <formula>OR($R23="Unvollständig",$R23="Sollvorgabe nicht erfüllt")</formula>
    </cfRule>
  </conditionalFormatting>
  <conditionalFormatting sqref="U26:U28">
    <cfRule type="expression" dxfId="182" priority="4" stopIfTrue="1">
      <formula>OR($R26="Unvollständig",$R26="Sollvorgabe nicht erfüllt",$R26="I.O. (Plausibilität unklar)")</formula>
    </cfRule>
  </conditionalFormatting>
  <conditionalFormatting sqref="U29:U31">
    <cfRule type="notContainsBlanks" dxfId="181" priority="1">
      <formula>LEN(TRIM(U29))&gt;0</formula>
    </cfRule>
    <cfRule type="expression" dxfId="180" priority="2">
      <formula>OR($R29="Unvollständig",$R29="Sollvorgabe nicht erfüllt",$R29="I.O. (Plausibilität unklar)")</formula>
    </cfRule>
  </conditionalFormatting>
  <conditionalFormatting sqref="U32:U37">
    <cfRule type="expression" dxfId="179" priority="58" stopIfTrue="1">
      <formula>OR($R32="Unvollständig",$R32="Sollvorgabe nicht erfüllt")</formula>
    </cfRule>
    <cfRule type="notContainsBlanks" dxfId="178" priority="57" stopIfTrue="1">
      <formula>LEN(TRIM(U32))&gt;0</formula>
    </cfRule>
  </conditionalFormatting>
  <dataValidations count="8">
    <dataValidation errorStyle="information" allowBlank="1" showInputMessage="1" showErrorMessage="1" errorTitle="Kennzahl" promptTitle="Kennzahl" sqref="A12:B13" xr:uid="{00000000-0002-0000-0600-000000000000}"/>
    <dataValidation type="textLength" allowBlank="1" showInputMessage="1" showErrorMessage="1" errorTitle="Hinweis" error="Nur Texteingabe bis 10 Zeichen möglich." sqref="M14:M37" xr:uid="{00000000-0002-0000-0600-000001000000}">
      <formula1>0</formula1>
      <formula2>10</formula2>
    </dataValidation>
    <dataValidation type="textLength" allowBlank="1" showInputMessage="1" showErrorMessage="1" errorTitle="Zeichenlänge" error="Minimal 30 Zeichen und max. 500 Zeichen." sqref="U14:V37" xr:uid="{00000000-0002-0000-0600-000002000000}">
      <formula1>30</formula1>
      <formula2>500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4:K37" xr:uid="{00000000-0002-0000-0600-000003000000}">
      <formula1>0</formula1>
      <formula2>100</formula2>
    </dataValidation>
    <dataValidation type="textLength" allowBlank="1" showInputMessage="1" showErrorMessage="1" errorTitle="Hinweis" error="Nur Texteingabe bis 100 Zeichen möglich." sqref="N14:N37 L14:L37" xr:uid="{00000000-0002-0000-0600-000004000000}">
      <formula1>0</formula1>
      <formula2>100</formula2>
    </dataValidation>
    <dataValidation type="whole" allowBlank="1" showInputMessage="1" showErrorMessage="1" errorTitle="Eingabefehler" error="Ganze Zahl zwischen 0 und 10000 eingeben." sqref="Q14:Q19 O14:O37 P14:P19" xr:uid="{00000000-0002-0000-0600-000005000000}">
      <formula1>0</formula1>
      <formula2>10000</formula2>
    </dataValidation>
    <dataValidation allowBlank="1" showInputMessage="1" showErrorMessage="1" errorTitle="Eingabefehler" error="Ganze Zahl zwischen 0 und 10000 eingeben." sqref="Q20:Q37" xr:uid="{00000000-0002-0000-0600-000006000000}"/>
    <dataValidation type="whole" allowBlank="1" showInputMessage="1" showErrorMessage="1" errorTitle="Eingabefehler" error="1. Nenner muss eine positive ganze Zahl sein. _x000a_2. Nenner kann nicht kleiner als Zähler sein." sqref="P20 P21 P22 P23 P24 P25 P26 P27 P28 P29 P30 P31 P32 P33 P34 P35 P36 P37" xr:uid="{00000000-0002-0000-0600-000007000000}">
      <formula1>O20</formula1>
      <formula2>10000</formula2>
    </dataValidation>
  </dataValidations>
  <pageMargins left="0.39370078740157483" right="3.937007874015748E-2" top="0.59055118110236227" bottom="0.39370078740157483" header="0.11811023622047245" footer="0.11811023622047245"/>
  <pageSetup paperSize="9" scale="73" orientation="landscape" r:id="rId1"/>
  <headerFooter>
    <oddFooter>&amp;L&amp;"Arial,Standard"&amp;7&amp;F&amp;C&amp;"Arial,Standard"&amp;7 © DKG  Alle Rechte vorbehalten&amp;R&amp;"Arial,Standard"&amp;7&amp;P</oddFooter>
  </headerFooter>
  <rowBreaks count="1" manualBreakCount="1">
    <brk id="25" max="1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K48"/>
  <sheetViews>
    <sheetView workbookViewId="0">
      <selection activeCell="E17" sqref="E17"/>
    </sheetView>
  </sheetViews>
  <sheetFormatPr defaultColWidth="11.42578125" defaultRowHeight="14.25" x14ac:dyDescent="0.2"/>
  <cols>
    <col min="1" max="1" width="23.85546875" style="132" customWidth="1"/>
    <col min="2" max="2" width="22.28515625" style="132" customWidth="1"/>
    <col min="3" max="3" width="12.7109375" style="132" customWidth="1"/>
    <col min="4" max="4" width="14.7109375" style="132" customWidth="1"/>
    <col min="5" max="5" width="8.42578125" style="132" customWidth="1"/>
    <col min="6" max="6" width="35" style="132" customWidth="1"/>
    <col min="7" max="7" width="37.140625" style="132" customWidth="1"/>
    <col min="8" max="8" width="9.5703125" style="132" customWidth="1"/>
    <col min="9" max="9" width="26.42578125" style="132" customWidth="1"/>
    <col min="10" max="10" width="23.5703125" style="132" customWidth="1"/>
    <col min="11" max="11" width="22" style="132" customWidth="1"/>
    <col min="12" max="256" width="9.140625" style="132" customWidth="1"/>
    <col min="257" max="16384" width="11.42578125" style="132"/>
  </cols>
  <sheetData>
    <row r="1" spans="1:11" x14ac:dyDescent="0.2">
      <c r="A1" s="20" t="s">
        <v>121</v>
      </c>
      <c r="B1" s="146">
        <v>188</v>
      </c>
    </row>
    <row r="2" spans="1:11" x14ac:dyDescent="0.2">
      <c r="A2" s="20" t="s">
        <v>46</v>
      </c>
      <c r="B2" s="146" t="str">
        <f>IF(Basisdaten_Lunge!B7=0,"",Basisdaten_Lunge!B7)</f>
        <v/>
      </c>
      <c r="K2" s="6"/>
    </row>
    <row r="3" spans="1:11" x14ac:dyDescent="0.2">
      <c r="A3" s="20" t="s">
        <v>163</v>
      </c>
      <c r="B3" s="147" t="str">
        <f>IF(Basisdaten_Lunge!I13=0,"",Basisdaten_Lunge!I13)</f>
        <v/>
      </c>
    </row>
    <row r="5" spans="1:11" x14ac:dyDescent="0.2">
      <c r="A5" s="151" t="s">
        <v>447</v>
      </c>
      <c r="B5" s="150"/>
    </row>
    <row r="6" spans="1:11" x14ac:dyDescent="0.2">
      <c r="A6" s="151" t="s">
        <v>448</v>
      </c>
      <c r="B6" s="150"/>
    </row>
    <row r="7" spans="1:11" x14ac:dyDescent="0.2">
      <c r="A7" s="151" t="s">
        <v>449</v>
      </c>
      <c r="B7" s="150"/>
    </row>
    <row r="8" spans="1:11" x14ac:dyDescent="0.2">
      <c r="A8" s="151" t="s">
        <v>468</v>
      </c>
      <c r="B8" s="150"/>
    </row>
    <row r="9" spans="1:11" x14ac:dyDescent="0.2">
      <c r="A9" s="151" t="s">
        <v>469</v>
      </c>
      <c r="B9" s="150"/>
    </row>
    <row r="11" spans="1:11" ht="19.5" customHeight="1" x14ac:dyDescent="0.2">
      <c r="A11" s="152" t="s">
        <v>120</v>
      </c>
      <c r="B11" s="152" t="s">
        <v>119</v>
      </c>
      <c r="C11" s="152" t="s">
        <v>22</v>
      </c>
      <c r="D11" s="152" t="s">
        <v>45</v>
      </c>
      <c r="E11" s="152" t="s">
        <v>118</v>
      </c>
      <c r="F11" s="152" t="s">
        <v>122</v>
      </c>
      <c r="G11" s="152" t="s">
        <v>116</v>
      </c>
      <c r="H11" s="152" t="s">
        <v>117</v>
      </c>
      <c r="I11" s="155" t="s">
        <v>450</v>
      </c>
      <c r="J11" s="155" t="s">
        <v>451</v>
      </c>
      <c r="K11" s="155" t="s">
        <v>452</v>
      </c>
    </row>
    <row r="12" spans="1:11" x14ac:dyDescent="0.2">
      <c r="A12" s="306" t="s">
        <v>821</v>
      </c>
      <c r="B12" s="145" t="str">
        <f>IF(KB_Lunge!O13 =0,"n.d.", KB_Lunge!O13)</f>
        <v>n.d.</v>
      </c>
      <c r="C12" s="143"/>
      <c r="D12" s="144"/>
      <c r="E12" s="145">
        <f>Berechnung1!N27</f>
        <v>1</v>
      </c>
      <c r="F12" s="146" t="str">
        <f>IF(KB_Lunge!Q13=0,"",KB_Lunge!Q13)</f>
        <v/>
      </c>
      <c r="G12" s="146" t="str">
        <f>IF(KB_Lunge!R13=0,"",KB_Lunge!R13)</f>
        <v/>
      </c>
      <c r="H12" s="153">
        <f>Berechnung1!O27</f>
        <v>0</v>
      </c>
      <c r="I12" s="154"/>
      <c r="J12" s="154"/>
      <c r="K12" s="154"/>
    </row>
    <row r="13" spans="1:11" x14ac:dyDescent="0.2">
      <c r="A13" s="306" t="s">
        <v>822</v>
      </c>
      <c r="B13" s="496" t="str">
        <f>IF(KB_Lunge!O16 ="","n.d.", KB_Lunge!O16)</f>
        <v>n.d.</v>
      </c>
      <c r="C13" s="143"/>
      <c r="D13" s="144"/>
      <c r="E13" s="145">
        <f>Berechnung1!N30</f>
        <v>1</v>
      </c>
      <c r="F13" s="146" t="str">
        <f>IF(KB_Lunge!Q16=0,"",KB_Lunge!Q16)</f>
        <v/>
      </c>
      <c r="G13" s="146" t="str">
        <f>IF(KB_Lunge!R16=0,"",KB_Lunge!R16)</f>
        <v/>
      </c>
      <c r="H13" s="153">
        <f>Berechnung1!O30</f>
        <v>0</v>
      </c>
      <c r="I13" s="154"/>
      <c r="J13" s="154"/>
      <c r="K13" s="154"/>
    </row>
    <row r="14" spans="1:11" x14ac:dyDescent="0.2">
      <c r="A14" s="149" t="s">
        <v>271</v>
      </c>
      <c r="B14" s="145" t="str">
        <f>IF(KB_Lunge!O19 = "", "",KB_Lunge!O19)</f>
        <v/>
      </c>
      <c r="C14" s="145">
        <f>IF(KB_Lunge!O20="","",KB_Lunge!O20)</f>
        <v>0</v>
      </c>
      <c r="D14" s="305" t="str">
        <f>IF(KB_Lunge!O21="n.d.","n.d.",KB_Lunge!O21*100)</f>
        <v>n.d.</v>
      </c>
      <c r="E14" s="145">
        <f>Berechnung1!N33</f>
        <v>1</v>
      </c>
      <c r="F14" s="146" t="str">
        <f>IF(KB_Lunge!Q19=0,"",KB_Lunge!Q19)</f>
        <v/>
      </c>
      <c r="G14" s="146" t="str">
        <f>IF(KB_Lunge!R19=0,"",KB_Lunge!R19)</f>
        <v/>
      </c>
      <c r="H14" s="153">
        <f>Berechnung1!O33</f>
        <v>0</v>
      </c>
      <c r="I14" s="154"/>
      <c r="J14" s="154"/>
      <c r="K14" s="154"/>
    </row>
    <row r="15" spans="1:11" x14ac:dyDescent="0.2">
      <c r="A15" s="149" t="s">
        <v>272</v>
      </c>
      <c r="B15" s="145" t="str">
        <f>IF(KB_Lunge!O22 = "", "",KB_Lunge!O22)</f>
        <v/>
      </c>
      <c r="C15" s="145" t="str">
        <f>IF(KB_Lunge!O23="","",KB_Lunge!O23)</f>
        <v/>
      </c>
      <c r="D15" s="305" t="str">
        <f>IF(KB_Lunge!O24="n.d.","n.d.",KB_Lunge!O24*100)</f>
        <v>n.d.</v>
      </c>
      <c r="E15" s="145">
        <f>Berechnung1!N36</f>
        <v>1</v>
      </c>
      <c r="F15" s="146" t="str">
        <f>IF(KB_Lunge!Q22=0,"",KB_Lunge!Q22)</f>
        <v/>
      </c>
      <c r="G15" s="146" t="str">
        <f>IF(KB_Lunge!R22=0,"",KB_Lunge!R22)</f>
        <v/>
      </c>
      <c r="H15" s="153">
        <f>Berechnung1!O36</f>
        <v>0</v>
      </c>
      <c r="I15" s="154"/>
      <c r="J15" s="154"/>
      <c r="K15" s="154"/>
    </row>
    <row r="16" spans="1:11" x14ac:dyDescent="0.2">
      <c r="A16" s="149">
        <v>3</v>
      </c>
      <c r="B16" s="145" t="str">
        <f>IF(KB_Lunge!O25 = "", "",KB_Lunge!O25)</f>
        <v/>
      </c>
      <c r="C16" s="145">
        <f>IF(KB_Lunge!O26="","",KB_Lunge!O26)</f>
        <v>0</v>
      </c>
      <c r="D16" s="305" t="str">
        <f>IF(KB_Lunge!O27="n.d.","n.d.",KB_Lunge!O27*100)</f>
        <v>n.d.</v>
      </c>
      <c r="E16" s="145">
        <f>Berechnung1!N39</f>
        <v>1</v>
      </c>
      <c r="F16" s="146" t="str">
        <f>IF(KB_Lunge!Q25=0,"",KB_Lunge!Q25)</f>
        <v/>
      </c>
      <c r="G16" s="146" t="str">
        <f>IF(KB_Lunge!R25=0,"",KB_Lunge!R25)</f>
        <v/>
      </c>
      <c r="H16" s="153">
        <f>Berechnung1!O39</f>
        <v>0</v>
      </c>
      <c r="I16" s="154"/>
      <c r="J16" s="154"/>
      <c r="K16" s="154"/>
    </row>
    <row r="17" spans="1:11" x14ac:dyDescent="0.2">
      <c r="A17" s="149">
        <v>4</v>
      </c>
      <c r="B17" s="145" t="str">
        <f>IF(KB_Lunge!O28 = "", "",KB_Lunge!O28)</f>
        <v/>
      </c>
      <c r="C17" s="145" t="str">
        <f>IF(KB_Lunge!O29="","",KB_Lunge!O29)</f>
        <v/>
      </c>
      <c r="D17" s="305" t="str">
        <f>IF(KB_Lunge!O30="n.d.","n.d.",IF(KB_Lunge!O30="","n.d.",KB_Lunge!O30*100))</f>
        <v>n.d.</v>
      </c>
      <c r="E17" s="145">
        <f>Berechnung1!N42</f>
        <v>1</v>
      </c>
      <c r="F17" s="146" t="str">
        <f>IF(KB_Lunge!Q28=0,"",KB_Lunge!Q28)</f>
        <v/>
      </c>
      <c r="G17" s="146" t="str">
        <f>IF(KB_Lunge!R28=0,"",KB_Lunge!R28)</f>
        <v/>
      </c>
      <c r="H17" s="153">
        <f>Berechnung1!O42</f>
        <v>0</v>
      </c>
      <c r="I17" s="154"/>
      <c r="J17" s="154"/>
      <c r="K17" s="154"/>
    </row>
    <row r="18" spans="1:11" x14ac:dyDescent="0.2">
      <c r="A18" s="149">
        <v>5</v>
      </c>
      <c r="B18" s="145" t="str">
        <f>IF(KB_Lunge!O31 = "", "",KB_Lunge!O31)</f>
        <v/>
      </c>
      <c r="C18" s="145">
        <f>IF(KB_Lunge!O32="","",KB_Lunge!O32)</f>
        <v>0</v>
      </c>
      <c r="D18" s="305" t="str">
        <f>IF(KB_Lunge!O33="n.d.","n.d.",KB_Lunge!O33*100)</f>
        <v>n.d.</v>
      </c>
      <c r="E18" s="145">
        <f>Berechnung1!N45</f>
        <v>1</v>
      </c>
      <c r="F18" s="146" t="str">
        <f>IF(KB_Lunge!Q31=0,"",KB_Lunge!Q31)</f>
        <v/>
      </c>
      <c r="G18" s="146" t="str">
        <f>IF(KB_Lunge!R31=0,"",KB_Lunge!R31)</f>
        <v/>
      </c>
      <c r="H18" s="153">
        <f>Berechnung1!O45</f>
        <v>0</v>
      </c>
      <c r="I18" s="154"/>
      <c r="J18" s="154"/>
      <c r="K18" s="156"/>
    </row>
    <row r="19" spans="1:11" x14ac:dyDescent="0.2">
      <c r="A19" s="149">
        <v>6</v>
      </c>
      <c r="B19" s="145" t="str">
        <f>IF(KB_Lunge!O34 = "", "",KB_Lunge!O34)</f>
        <v/>
      </c>
      <c r="C19" s="145">
        <f>IF(KB_Lunge!O35="","",KB_Lunge!O35)</f>
        <v>0</v>
      </c>
      <c r="D19" s="305" t="str">
        <f>IF(KB_Lunge!O36="n.d.","n.d.",KB_Lunge!O36*100)</f>
        <v>n.d.</v>
      </c>
      <c r="E19" s="145">
        <f>Berechnung1!N48</f>
        <v>1</v>
      </c>
      <c r="F19" s="146" t="str">
        <f>IF(KB_Lunge!Q34=0,"",KB_Lunge!Q34)</f>
        <v/>
      </c>
      <c r="G19" s="146" t="str">
        <f>IF(KB_Lunge!R34=0,"",KB_Lunge!R34)</f>
        <v/>
      </c>
      <c r="H19" s="153">
        <f>Berechnung1!O48</f>
        <v>0</v>
      </c>
      <c r="I19" s="154"/>
      <c r="J19" s="154"/>
      <c r="K19" s="156"/>
    </row>
    <row r="20" spans="1:11" x14ac:dyDescent="0.2">
      <c r="A20" s="149">
        <v>7</v>
      </c>
      <c r="B20" s="145" t="str">
        <f>IF(KB_Lunge!O37 = "", "",KB_Lunge!O37)</f>
        <v/>
      </c>
      <c r="C20" s="145">
        <f>IF(KB_Lunge!O38="","",KB_Lunge!O38)</f>
        <v>0</v>
      </c>
      <c r="D20" s="305" t="str">
        <f>IF(KB_Lunge!O39="n.d.","n.d.",KB_Lunge!O39*100)</f>
        <v>n.d.</v>
      </c>
      <c r="E20" s="145">
        <f>Berechnung1!N51</f>
        <v>1</v>
      </c>
      <c r="F20" s="146" t="str">
        <f>IF(KB_Lunge!Q37=0,"",KB_Lunge!Q37)</f>
        <v/>
      </c>
      <c r="G20" s="146" t="str">
        <f>IF(KB_Lunge!R37=0,"",KB_Lunge!R37)</f>
        <v/>
      </c>
      <c r="H20" s="153">
        <f>Berechnung1!O51</f>
        <v>0</v>
      </c>
      <c r="I20" s="154"/>
      <c r="J20" s="154"/>
      <c r="K20" s="156"/>
    </row>
    <row r="21" spans="1:11" x14ac:dyDescent="0.2">
      <c r="A21" s="149">
        <v>8</v>
      </c>
      <c r="B21" s="145" t="str">
        <f>IF(SUM(Expertise_Lunge!M14:M16)=0, "n.d.",SUM(Expertise_Lunge!M14:M16))</f>
        <v>n.d.</v>
      </c>
      <c r="C21" s="143"/>
      <c r="D21" s="144"/>
      <c r="E21" s="145">
        <f>Berechnung1!N54</f>
        <v>1</v>
      </c>
      <c r="F21" s="146" t="str">
        <f>IF(KB_Lunge!Q40=0,"",KB_Lunge!Q40)</f>
        <v/>
      </c>
      <c r="G21" s="146" t="str">
        <f>IF(KB_Lunge!R40=0,"",KB_Lunge!R40)</f>
        <v/>
      </c>
      <c r="H21" s="153">
        <f>Berechnung1!O54</f>
        <v>0</v>
      </c>
      <c r="I21" s="154"/>
      <c r="J21" s="154"/>
      <c r="K21" s="156"/>
    </row>
    <row r="22" spans="1:11" x14ac:dyDescent="0.2">
      <c r="A22" s="149">
        <v>9</v>
      </c>
      <c r="B22" s="145" t="str">
        <f>IF(SUM(Expertise_Lunge!M17:M19)= 0, "n.d.",SUM(Expertise_Lunge!M17:M19))</f>
        <v>n.d.</v>
      </c>
      <c r="C22" s="143"/>
      <c r="D22" s="144"/>
      <c r="E22" s="145">
        <f>Berechnung1!N57</f>
        <v>1</v>
      </c>
      <c r="F22" s="146" t="str">
        <f>IF(KB_Lunge!Q43=0,"",KB_Lunge!Q43)</f>
        <v/>
      </c>
      <c r="G22" s="146" t="str">
        <f>IF(KB_Lunge!R43=0,"",KB_Lunge!R43)</f>
        <v/>
      </c>
      <c r="H22" s="153">
        <f>Berechnung1!O57</f>
        <v>0</v>
      </c>
      <c r="I22" s="154"/>
      <c r="J22" s="154"/>
      <c r="K22" s="156"/>
    </row>
    <row r="23" spans="1:11" x14ac:dyDescent="0.2">
      <c r="A23" s="149">
        <v>10</v>
      </c>
      <c r="B23" s="145" t="str">
        <f>IF(KB_Lunge!O46 = "", "",KB_Lunge!O46)</f>
        <v/>
      </c>
      <c r="C23" s="145" t="str">
        <f>IF(KB_Lunge!O47 = "", "",KB_Lunge!O47)</f>
        <v/>
      </c>
      <c r="D23" s="305" t="str">
        <f>IF(KB_Lunge!O48="n.d.","n.d.",KB_Lunge!O48*100)</f>
        <v>n.d.</v>
      </c>
      <c r="E23" s="145">
        <f>Berechnung1!N60</f>
        <v>1</v>
      </c>
      <c r="F23" s="510" t="str">
        <f>IF(KB_Lunge!Q46=0,"",KB_Lunge!Q46)</f>
        <v/>
      </c>
      <c r="G23" s="146" t="str">
        <f>IF(KB_Lunge!R46=0,"",KB_Lunge!R46)</f>
        <v/>
      </c>
      <c r="H23" s="153">
        <f>Berechnung1!O60</f>
        <v>0</v>
      </c>
      <c r="I23" s="154"/>
      <c r="J23" s="154"/>
      <c r="K23" s="156"/>
    </row>
    <row r="24" spans="1:11" x14ac:dyDescent="0.2">
      <c r="A24" s="306" t="s">
        <v>963</v>
      </c>
      <c r="B24" s="145" t="str">
        <f>IF(SUM(KB_Lunge!O49:O51)=0, "n.d.",SUM(KB_Lunge!O49:O51))</f>
        <v>n.d.</v>
      </c>
      <c r="C24" s="143"/>
      <c r="D24" s="144"/>
      <c r="E24" s="145">
        <f>Berechnung1!N63</f>
        <v>1</v>
      </c>
      <c r="F24" s="146" t="str">
        <f>IF(KB_Lunge!Q49=0,"",KB_Lunge!Q49)</f>
        <v/>
      </c>
      <c r="G24" s="146" t="str">
        <f>IF(KB_Lunge!R49=0,"",KB_Lunge!R49)</f>
        <v/>
      </c>
      <c r="H24" s="153">
        <f>Berechnung1!O63</f>
        <v>0</v>
      </c>
      <c r="I24" s="154"/>
      <c r="J24" s="154"/>
      <c r="K24" s="154"/>
    </row>
    <row r="25" spans="1:11" x14ac:dyDescent="0.2">
      <c r="A25" s="306" t="s">
        <v>964</v>
      </c>
      <c r="B25" s="145" t="str">
        <f>IF(SUM(KB_Lunge!O52:O54)=0, "n.d.",SUM(KB_Lunge!O52:O54))</f>
        <v>n.d.</v>
      </c>
      <c r="C25" s="143"/>
      <c r="D25" s="144"/>
      <c r="E25" s="145">
        <f>Berechnung1!N66</f>
        <v>1</v>
      </c>
      <c r="F25" s="146" t="str">
        <f>IF(KB_Lunge!Q52=0,"",KB_Lunge!Q52)</f>
        <v/>
      </c>
      <c r="G25" s="146" t="str">
        <f>IF(KB_Lunge!R52=0,"",KB_Lunge!R52)</f>
        <v/>
      </c>
      <c r="H25" s="153">
        <f>Berechnung1!O66</f>
        <v>0</v>
      </c>
      <c r="I25" s="154"/>
      <c r="J25" s="154"/>
      <c r="K25" s="154"/>
    </row>
    <row r="26" spans="1:11" x14ac:dyDescent="0.2">
      <c r="A26" s="149">
        <v>12</v>
      </c>
      <c r="B26" s="145" t="str">
        <f>IF(KB_Lunge!O55 = "", "", KB_Lunge!O55)</f>
        <v/>
      </c>
      <c r="C26" s="145" t="str">
        <f>IF(KB_Lunge!O56="","",KB_Lunge!O56)</f>
        <v/>
      </c>
      <c r="D26" s="305" t="str">
        <f>IF(KB_Lunge!O57="n.d.","n.d.",KB_Lunge!O57*100)</f>
        <v>n.d.</v>
      </c>
      <c r="E26" s="145">
        <f>Berechnung1!N69</f>
        <v>1</v>
      </c>
      <c r="F26" s="146" t="str">
        <f>IF(KB_Lunge!Q55=0,"",KB_Lunge!Q55)</f>
        <v/>
      </c>
      <c r="G26" s="146" t="str">
        <f>IF(KB_Lunge!R55=0,"",KB_Lunge!R55)</f>
        <v/>
      </c>
      <c r="H26" s="153">
        <f>Berechnung1!O69</f>
        <v>0</v>
      </c>
      <c r="I26" s="154"/>
      <c r="J26" s="154"/>
      <c r="K26" s="154"/>
    </row>
    <row r="27" spans="1:11" x14ac:dyDescent="0.2">
      <c r="A27" s="149">
        <v>13</v>
      </c>
      <c r="B27" s="145" t="str">
        <f>IF(KB_Lunge!O58 = "", "", KB_Lunge!O58)</f>
        <v/>
      </c>
      <c r="C27" s="145">
        <f>IF(KB_Lunge!O59="","",KB_Lunge!O59)</f>
        <v>0</v>
      </c>
      <c r="D27" s="305" t="str">
        <f>IF(KB_Lunge!O60="n.d.","n.d.",KB_Lunge!O60*100)</f>
        <v>n.d.</v>
      </c>
      <c r="E27" s="145">
        <f>Berechnung1!N72</f>
        <v>1</v>
      </c>
      <c r="F27" s="146" t="str">
        <f>IF(KB_Lunge!Q58=0,"",KB_Lunge!Q58)</f>
        <v/>
      </c>
      <c r="G27" s="146" t="str">
        <f>IF(KB_Lunge!R58=0,"",KB_Lunge!R58)</f>
        <v/>
      </c>
      <c r="H27" s="153">
        <f>Berechnung1!O72</f>
        <v>0</v>
      </c>
      <c r="I27" s="154"/>
      <c r="J27" s="154"/>
      <c r="K27" s="154"/>
    </row>
    <row r="28" spans="1:11" x14ac:dyDescent="0.2">
      <c r="A28" s="149">
        <v>14</v>
      </c>
      <c r="B28" s="145" t="str">
        <f>IF(KB_Lunge!O61 = "", "", KB_Lunge!O61)</f>
        <v/>
      </c>
      <c r="C28" s="145">
        <f>IF(KB_Lunge!O62="","",KB_Lunge!O62)</f>
        <v>0</v>
      </c>
      <c r="D28" s="305" t="str">
        <f>IF(KB_Lunge!O63="n.d.","n.d.",KB_Lunge!O63*100)</f>
        <v>n.d.</v>
      </c>
      <c r="E28" s="145">
        <f>Berechnung1!N75</f>
        <v>1</v>
      </c>
      <c r="F28" s="146" t="str">
        <f>IF(KB_Lunge!Q61=0,"",KB_Lunge!Q61)</f>
        <v/>
      </c>
      <c r="G28" s="146" t="str">
        <f>IF(KB_Lunge!R61=0,"",KB_Lunge!R61)</f>
        <v/>
      </c>
      <c r="H28" s="153">
        <f>Berechnung1!O75</f>
        <v>0</v>
      </c>
      <c r="I28" s="154"/>
      <c r="J28" s="154"/>
      <c r="K28" s="154"/>
    </row>
    <row r="29" spans="1:11" x14ac:dyDescent="0.2">
      <c r="A29" s="149">
        <v>15</v>
      </c>
      <c r="B29" s="145" t="str">
        <f>IF(KB_Lunge!O64 = "", "", KB_Lunge!O64)</f>
        <v/>
      </c>
      <c r="C29" s="145">
        <f>IF(KB_Lunge!O65="","",KB_Lunge!O65)</f>
        <v>0</v>
      </c>
      <c r="D29" s="305" t="str">
        <f>IF(KB_Lunge!O66="n.d.","n.d.",KB_Lunge!O66*100)</f>
        <v>n.d.</v>
      </c>
      <c r="E29" s="145">
        <f>Berechnung1!N78</f>
        <v>1</v>
      </c>
      <c r="F29" s="146" t="str">
        <f>IF(KB_Lunge!Q64=0,"",KB_Lunge!Q64)</f>
        <v/>
      </c>
      <c r="G29" s="146" t="str">
        <f>IF(KB_Lunge!R64=0,"",KB_Lunge!R64)</f>
        <v/>
      </c>
      <c r="H29" s="153">
        <f>Berechnung1!O78</f>
        <v>0</v>
      </c>
      <c r="I29" s="154"/>
      <c r="J29" s="154"/>
      <c r="K29" s="154"/>
    </row>
    <row r="30" spans="1:11" x14ac:dyDescent="0.2">
      <c r="A30" s="149">
        <v>16</v>
      </c>
      <c r="B30" s="145" t="str">
        <f>IF(KB_Lunge!O67 = "", "", KB_Lunge!O67)</f>
        <v/>
      </c>
      <c r="C30" s="145">
        <f>IF(KB_Lunge!O68="","",KB_Lunge!O68)</f>
        <v>0</v>
      </c>
      <c r="D30" s="305" t="str">
        <f>IF(KB_Lunge!O69="n.d.","n.d.",KB_Lunge!O69*100)</f>
        <v>n.d.</v>
      </c>
      <c r="E30" s="145">
        <f>Berechnung1!N81</f>
        <v>1</v>
      </c>
      <c r="F30" s="146" t="str">
        <f>IF(KB_Lunge!Q67=0,"",KB_Lunge!Q67)</f>
        <v/>
      </c>
      <c r="G30" s="146" t="str">
        <f>IF(KB_Lunge!R67=0,"",KB_Lunge!R67)</f>
        <v/>
      </c>
      <c r="H30" s="153">
        <f>Berechnung1!O81</f>
        <v>0</v>
      </c>
      <c r="I30" s="154"/>
      <c r="J30" s="154"/>
      <c r="K30" s="154"/>
    </row>
    <row r="31" spans="1:11" x14ac:dyDescent="0.2">
      <c r="A31" s="149">
        <v>17</v>
      </c>
      <c r="B31" s="145" t="str">
        <f>IF(KB_Lunge!O70 = "", "", KB_Lunge!O70)</f>
        <v/>
      </c>
      <c r="C31" s="145">
        <f>IF(KB_Lunge!O71="","",KB_Lunge!O71)</f>
        <v>0</v>
      </c>
      <c r="D31" s="305" t="str">
        <f>IF(KB_Lunge!O72="n.d.","n.d.",KB_Lunge!O72*100)</f>
        <v>n.d.</v>
      </c>
      <c r="E31" s="145">
        <f>Berechnung1!N84</f>
        <v>1</v>
      </c>
      <c r="F31" s="146" t="str">
        <f>IF(KB_Lunge!Q70=0,"",KB_Lunge!Q70)</f>
        <v/>
      </c>
      <c r="G31" s="146" t="str">
        <f>IF(KB_Lunge!R70=0,"",KB_Lunge!R70)</f>
        <v/>
      </c>
      <c r="H31" s="153">
        <f>Berechnung1!O84</f>
        <v>0</v>
      </c>
      <c r="I31" s="154"/>
      <c r="J31" s="154"/>
      <c r="K31" s="154"/>
    </row>
    <row r="32" spans="1:11" x14ac:dyDescent="0.2">
      <c r="A32" s="149">
        <v>18</v>
      </c>
      <c r="B32" s="145" t="str">
        <f>IF(SUM(Expertise_Lunge!M20:M23)=0, "n.d.",SUM(Expertise_Lunge!M20:M23))</f>
        <v>n.d.</v>
      </c>
      <c r="C32" s="143"/>
      <c r="D32" s="144"/>
      <c r="E32" s="145">
        <f>Berechnung1!N87</f>
        <v>1</v>
      </c>
      <c r="F32" s="146" t="str">
        <f>IF(KB_Lunge!Q73=0,"",KB_Lunge!Q73)</f>
        <v/>
      </c>
      <c r="G32" s="146" t="str">
        <f>IF(KB_Lunge!R73=0,"",KB_Lunge!R73)</f>
        <v/>
      </c>
      <c r="H32" s="153">
        <f>Berechnung1!O87</f>
        <v>0</v>
      </c>
      <c r="I32" s="154"/>
      <c r="J32" s="154"/>
      <c r="K32" s="154"/>
    </row>
    <row r="33" spans="1:11" x14ac:dyDescent="0.2">
      <c r="A33" s="149">
        <v>19</v>
      </c>
      <c r="B33" s="145" t="str">
        <f>IF(KB_Lunge!O76 = "", "",KB_Lunge!O76)</f>
        <v/>
      </c>
      <c r="C33" s="145" t="str">
        <f>IF(KB_Lunge!O77 = "", "",KB_Lunge!O77)</f>
        <v/>
      </c>
      <c r="D33" s="509" t="str">
        <f>IF(KB_Lunge!O78="n.d.","n.d.",KB_Lunge!O78*100)</f>
        <v>n.d.</v>
      </c>
      <c r="E33" s="145">
        <f>Berechnung1!N90</f>
        <v>1</v>
      </c>
      <c r="F33" s="146" t="str">
        <f>IF(KB_Lunge!Q76=0,"",KB_Lunge!Q76)</f>
        <v/>
      </c>
      <c r="G33" s="146" t="str">
        <f>IF(KB_Lunge!R76=0,"",KB_Lunge!R76)</f>
        <v/>
      </c>
      <c r="H33" s="153">
        <f>Berechnung1!O90</f>
        <v>0</v>
      </c>
      <c r="I33" s="154"/>
      <c r="J33" s="154"/>
      <c r="K33" s="154"/>
    </row>
    <row r="34" spans="1:11" x14ac:dyDescent="0.2">
      <c r="A34" s="149">
        <v>20</v>
      </c>
      <c r="B34" s="145" t="str">
        <f>IF(SUM(Expertise_Lunge!M24:M27)=0, "n.d.",SUM(Expertise_Lunge!M24:M27))</f>
        <v>n.d.</v>
      </c>
      <c r="C34" s="143"/>
      <c r="D34" s="144"/>
      <c r="E34" s="145">
        <f>Berechnung1!N93</f>
        <v>1</v>
      </c>
      <c r="F34" s="146" t="str">
        <f>IF(KB_Lunge!Q79=0,"",KB_Lunge!Q79)</f>
        <v/>
      </c>
      <c r="G34" s="146" t="str">
        <f>IF(KB_Lunge!R79=0,"",KB_Lunge!R79)</f>
        <v/>
      </c>
      <c r="H34" s="153">
        <f>Berechnung1!O93</f>
        <v>0</v>
      </c>
      <c r="I34" s="154"/>
      <c r="J34" s="154"/>
      <c r="K34" s="154"/>
    </row>
    <row r="35" spans="1:11" x14ac:dyDescent="0.2">
      <c r="A35" s="149">
        <v>21</v>
      </c>
      <c r="B35" s="145" t="str">
        <f>IF(KB_Lunge!O82 = "", "", KB_Lunge!O82)</f>
        <v/>
      </c>
      <c r="C35" s="145" t="str">
        <f>IF(KB_Lunge!O83="","",KB_Lunge!O83)</f>
        <v/>
      </c>
      <c r="D35" s="305" t="str">
        <f>IF(KB_Lunge!O84="n.d.","n.d.",KB_Lunge!O84*100)</f>
        <v>n.d.</v>
      </c>
      <c r="E35" s="145">
        <f>Berechnung1!N96</f>
        <v>1</v>
      </c>
      <c r="F35" s="146" t="str">
        <f>IF(KB_Lunge!Q82=0,"",KB_Lunge!Q82)</f>
        <v/>
      </c>
      <c r="G35" s="146" t="str">
        <f>IF(KB_Lunge!R82=0,"",KB_Lunge!R82)</f>
        <v/>
      </c>
      <c r="H35" s="153">
        <f>Berechnung1!O96</f>
        <v>0</v>
      </c>
      <c r="I35" s="154"/>
      <c r="J35" s="154"/>
      <c r="K35" s="154"/>
    </row>
    <row r="36" spans="1:11" x14ac:dyDescent="0.2">
      <c r="A36" s="149">
        <v>22</v>
      </c>
      <c r="B36" s="145" t="str">
        <f>IF(KB_Lunge!O85 = "", "", KB_Lunge!O85)</f>
        <v/>
      </c>
      <c r="C36" s="145" t="str">
        <f>IF(KB_Lunge!O86="","",KB_Lunge!O86)</f>
        <v/>
      </c>
      <c r="D36" s="305" t="str">
        <f>IF(KB_Lunge!O87="n.d.","n.d.",KB_Lunge!O87*100)</f>
        <v>n.d.</v>
      </c>
      <c r="E36" s="145">
        <f>Berechnung1!N99</f>
        <v>1</v>
      </c>
      <c r="F36" s="146" t="str">
        <f>IF(KB_Lunge!Q85=0,"",KB_Lunge!Q85)</f>
        <v/>
      </c>
      <c r="G36" s="146" t="str">
        <f>IF(KB_Lunge!R85=0,"",KB_Lunge!R85)</f>
        <v/>
      </c>
      <c r="H36" s="153">
        <f>Berechnung1!O99</f>
        <v>0</v>
      </c>
      <c r="I36" s="154"/>
      <c r="J36" s="154"/>
      <c r="K36" s="154"/>
    </row>
    <row r="37" spans="1:11" x14ac:dyDescent="0.2">
      <c r="A37" s="149">
        <v>23</v>
      </c>
      <c r="B37" s="145" t="str">
        <f>IF(KB_Lunge!O88 = "", "", KB_Lunge!O88)</f>
        <v/>
      </c>
      <c r="C37" s="145" t="str">
        <f>IF(KB_Lunge!O89="","",KB_Lunge!O89)</f>
        <v/>
      </c>
      <c r="D37" s="305" t="str">
        <f>IF(KB_Lunge!O90="n.d.","n.d.",KB_Lunge!O90*100)</f>
        <v>n.d.</v>
      </c>
      <c r="E37" s="145">
        <f>Berechnung1!N102</f>
        <v>1</v>
      </c>
      <c r="F37" s="146" t="str">
        <f>IF(KB_Lunge!Q88=0,"",KB_Lunge!Q88)</f>
        <v/>
      </c>
      <c r="G37" s="146" t="str">
        <f>IF(KB_Lunge!R88=0,"",KB_Lunge!R88)</f>
        <v/>
      </c>
      <c r="H37" s="153">
        <f>Berechnung1!O102</f>
        <v>0</v>
      </c>
      <c r="I37" s="154"/>
      <c r="J37" s="154"/>
      <c r="K37" s="154"/>
    </row>
    <row r="38" spans="1:11" x14ac:dyDescent="0.2">
      <c r="A38" s="149">
        <v>24</v>
      </c>
      <c r="B38" s="145" t="str">
        <f>IF(KB_Lunge!O91 = "", "", KB_Lunge!O91)</f>
        <v/>
      </c>
      <c r="C38" s="145" t="str">
        <f>IF(KB_Lunge!O92="","",KB_Lunge!O92)</f>
        <v/>
      </c>
      <c r="D38" s="444" t="str">
        <f>IF(KB_Lunge!O93="n.d.","n.d.",IF(KB_Lunge!O93="","n.d.",KB_Lunge!O93*100))</f>
        <v>n.d.</v>
      </c>
      <c r="E38" s="145">
        <f>Berechnung1!N105</f>
        <v>1</v>
      </c>
      <c r="F38" s="146" t="str">
        <f>IF(KB_Lunge!Q91=0,"",KB_Lunge!Q91)</f>
        <v/>
      </c>
      <c r="G38" s="146" t="str">
        <f>IF(KB_Lunge!R91=0,"",KB_Lunge!R91)</f>
        <v/>
      </c>
      <c r="H38" s="153">
        <f>Berechnung1!O105</f>
        <v>0</v>
      </c>
      <c r="I38" s="154"/>
      <c r="J38" s="154"/>
      <c r="K38" s="154"/>
    </row>
    <row r="39" spans="1:11" x14ac:dyDescent="0.2">
      <c r="A39" s="149">
        <v>25</v>
      </c>
      <c r="B39" s="145" t="str">
        <f>IF(KB_Lunge!O94 = "", "", KB_Lunge!O94)</f>
        <v/>
      </c>
      <c r="C39" s="145" t="str">
        <f>IF(KB_Lunge!O95="","",KB_Lunge!O95)</f>
        <v/>
      </c>
      <c r="D39" s="444" t="str">
        <f>IF(KB_Lunge!O96="n.d.","n.d.",IF(KB_Lunge!O96="","n.d.",KB_Lunge!O96*100))</f>
        <v>n.d.</v>
      </c>
      <c r="E39" s="145">
        <f>Berechnung1!N108</f>
        <v>1</v>
      </c>
      <c r="F39" s="146" t="str">
        <f>IF(KB_Lunge!Q94=0,"",KB_Lunge!Q94)</f>
        <v/>
      </c>
      <c r="G39" s="146" t="str">
        <f>IF(KB_Lunge!R94=0,"",KB_Lunge!R94)</f>
        <v/>
      </c>
      <c r="H39" s="153">
        <f>Berechnung1!O108</f>
        <v>0</v>
      </c>
      <c r="I39" s="154"/>
      <c r="J39" s="154"/>
      <c r="K39" s="154"/>
    </row>
    <row r="40" spans="1:11" x14ac:dyDescent="0.2">
      <c r="A40" s="149">
        <v>26</v>
      </c>
      <c r="B40" s="145" t="str">
        <f>IF(KB_Lunge!O97 = "", "", KB_Lunge!O97)</f>
        <v/>
      </c>
      <c r="C40" s="145" t="str">
        <f>IF(KB_Lunge!O98="","",KB_Lunge!O98)</f>
        <v/>
      </c>
      <c r="D40" s="444" t="str">
        <f>IF(KB_Lunge!O99="n.d.","n.d.",IF(KB_Lunge!O99="","n.d.",KB_Lunge!O99*100))</f>
        <v>n.d.</v>
      </c>
      <c r="E40" s="145">
        <f>Berechnung1!N111</f>
        <v>1</v>
      </c>
      <c r="F40" s="146" t="str">
        <f>IF(KB_Lunge!Q97=0,"",KB_Lunge!Q97)</f>
        <v/>
      </c>
      <c r="G40" s="146" t="str">
        <f>IF(KB_Lunge!R97=0,"",KB_Lunge!R97)</f>
        <v/>
      </c>
      <c r="H40" s="153">
        <f>Berechnung1!O111</f>
        <v>0</v>
      </c>
      <c r="I40" s="154"/>
      <c r="J40" s="154"/>
      <c r="K40" s="154"/>
    </row>
    <row r="41" spans="1:11" x14ac:dyDescent="0.2">
      <c r="A41" s="149">
        <v>27</v>
      </c>
      <c r="B41" s="145" t="str">
        <f>IF(KB_Lunge!O100 = "", "", KB_Lunge!O100)</f>
        <v/>
      </c>
      <c r="C41" s="145" t="str">
        <f>IF(KB_Lunge!O101="","",KB_Lunge!O101)</f>
        <v/>
      </c>
      <c r="D41" s="444" t="str">
        <f>IF(KB_Lunge!O102="n.d.","n.d.",IF(KB_Lunge!O102="","n.d.",KB_Lunge!O102*100))</f>
        <v>n.d.</v>
      </c>
      <c r="E41" s="145">
        <f>Berechnung1!N114</f>
        <v>1</v>
      </c>
      <c r="F41" s="146" t="str">
        <f>IF(KB_Lunge!Q100=0,"",KB_Lunge!Q100)</f>
        <v/>
      </c>
      <c r="G41" s="146" t="str">
        <f>IF(KB_Lunge!R100=0,"",KB_Lunge!R100)</f>
        <v/>
      </c>
      <c r="H41" s="153">
        <f>Berechnung1!O114</f>
        <v>0</v>
      </c>
      <c r="I41" s="154"/>
      <c r="J41" s="154"/>
      <c r="K41" s="154"/>
    </row>
    <row r="42" spans="1:11" x14ac:dyDescent="0.2">
      <c r="A42" s="149">
        <v>28</v>
      </c>
      <c r="B42" s="145" t="str">
        <f>IF(KB_Lunge!O103 = "", "", KB_Lunge!O103)</f>
        <v/>
      </c>
      <c r="C42" s="145" t="str">
        <f>IF(KB_Lunge!O104="","",KB_Lunge!O104)</f>
        <v/>
      </c>
      <c r="D42" s="444" t="str">
        <f>IF(KB_Lunge!O105="n.d.","n.d.",IF(KB_Lunge!O105="","n.d.",KB_Lunge!O105*100))</f>
        <v>n.d.</v>
      </c>
      <c r="E42" s="145">
        <f>Berechnung1!N117</f>
        <v>1</v>
      </c>
      <c r="F42" s="146" t="str">
        <f>IF(KB_Lunge!Q103=0,"",KB_Lunge!Q103)</f>
        <v/>
      </c>
      <c r="G42" s="146" t="str">
        <f>IF(KB_Lunge!R103=0,"",KB_Lunge!R103)</f>
        <v/>
      </c>
      <c r="H42" s="153">
        <f>Berechnung1!O117</f>
        <v>0</v>
      </c>
      <c r="I42" s="154"/>
      <c r="J42" s="154"/>
      <c r="K42" s="154"/>
    </row>
    <row r="43" spans="1:11" x14ac:dyDescent="0.2">
      <c r="A43" s="149">
        <v>29</v>
      </c>
      <c r="B43" s="145" t="str">
        <f>IF(KB_Lunge!O106 = "", "", KB_Lunge!O106)</f>
        <v/>
      </c>
      <c r="C43" s="145" t="str">
        <f>IF(KB_Lunge!O107="","",KB_Lunge!O107)</f>
        <v/>
      </c>
      <c r="D43" s="444" t="str">
        <f>IF(KB_Lunge!O108="n.d.","n.d.",IF(KB_Lunge!O108="","n.d.",KB_Lunge!O108*100))</f>
        <v>n.d.</v>
      </c>
      <c r="E43" s="145">
        <f>Berechnung1!N120</f>
        <v>1</v>
      </c>
      <c r="F43" s="146" t="str">
        <f>IF(KB_Lunge!Q106=0,"",KB_Lunge!Q106)</f>
        <v/>
      </c>
      <c r="G43" s="146" t="str">
        <f>IF(KB_Lunge!R106=0,"",KB_Lunge!R106)</f>
        <v/>
      </c>
      <c r="H43" s="153">
        <f>Berechnung1!O120</f>
        <v>0</v>
      </c>
      <c r="I43" s="154"/>
      <c r="J43" s="154"/>
      <c r="K43" s="154"/>
    </row>
    <row r="44" spans="1:11" x14ac:dyDescent="0.2">
      <c r="A44" s="149">
        <v>30</v>
      </c>
      <c r="B44" s="145" t="str">
        <f>IF(KB_Lunge!O109 = "", "", KB_Lunge!O109)</f>
        <v/>
      </c>
      <c r="C44" s="145" t="str">
        <f>IF(KB_Lunge!O110="","",KB_Lunge!O110)</f>
        <v/>
      </c>
      <c r="D44" s="444" t="str">
        <f>IF(KB_Lunge!O111="n.d.","n.d.",IF(KB_Lunge!O111="","n.d.",KB_Lunge!O111*100))</f>
        <v>n.d.</v>
      </c>
      <c r="E44" s="145">
        <f>Berechnung1!N123</f>
        <v>1</v>
      </c>
      <c r="F44" s="146" t="str">
        <f>IF(KB_Lunge!Q109=0,"",KB_Lunge!Q109)</f>
        <v/>
      </c>
      <c r="G44" s="146" t="str">
        <f>IF(KB_Lunge!R109=0,"",KB_Lunge!R109)</f>
        <v/>
      </c>
      <c r="H44" s="153">
        <f>Berechnung1!O123</f>
        <v>0</v>
      </c>
      <c r="I44" s="154"/>
      <c r="J44" s="154"/>
      <c r="K44" s="154"/>
    </row>
    <row r="45" spans="1:11" x14ac:dyDescent="0.2">
      <c r="A45" s="149">
        <v>31</v>
      </c>
      <c r="B45" s="145" t="str">
        <f>IF(KB_Lunge!O112 = "", "", KB_Lunge!O112)</f>
        <v/>
      </c>
      <c r="C45" s="145" t="str">
        <f>IF(KB_Lunge!O113="","",KB_Lunge!O113)</f>
        <v/>
      </c>
      <c r="D45" s="305" t="str">
        <f>IF(KB_Lunge!O114="n.d.","n.d.",KB_Lunge!O114*100)</f>
        <v>n.d.</v>
      </c>
      <c r="E45" s="145">
        <f>Berechnung1!N126</f>
        <v>1</v>
      </c>
      <c r="F45" s="146" t="str">
        <f>IF(KB_Lunge!Q112=0,"",KB_Lunge!Q112)</f>
        <v/>
      </c>
      <c r="G45" s="146" t="str">
        <f>IF(KB_Lunge!R112=0,"",KB_Lunge!R112)</f>
        <v/>
      </c>
      <c r="H45" s="153">
        <f>Berechnung1!O126</f>
        <v>0</v>
      </c>
      <c r="I45" s="154"/>
      <c r="J45" s="154"/>
      <c r="K45" s="154"/>
    </row>
    <row r="46" spans="1:11" x14ac:dyDescent="0.2">
      <c r="A46" s="149">
        <v>32</v>
      </c>
      <c r="B46" s="145" t="str">
        <f>IF(KB_Lunge!O115 = "", "", KB_Lunge!O115)</f>
        <v/>
      </c>
      <c r="C46" s="145">
        <f>IF(KB_Lunge!O116="","",KB_Lunge!O116)</f>
        <v>0</v>
      </c>
      <c r="D46" s="305" t="str">
        <f>IF(KB_Lunge!O117="n.d.","n.d.",KB_Lunge!O117*100)</f>
        <v>n.d.</v>
      </c>
      <c r="E46" s="145">
        <f>Berechnung1!N129</f>
        <v>1</v>
      </c>
      <c r="F46" s="146" t="str">
        <f>IF(KB_Lunge!Q115=0,"",KB_Lunge!Q115)</f>
        <v/>
      </c>
      <c r="G46" s="146" t="str">
        <f>IF(KB_Lunge!R115=0,"",KB_Lunge!R115)</f>
        <v/>
      </c>
      <c r="H46" s="153">
        <f>Berechnung1!O129</f>
        <v>0</v>
      </c>
      <c r="I46" s="154"/>
      <c r="J46" s="154"/>
      <c r="K46" s="154"/>
    </row>
    <row r="47" spans="1:11" x14ac:dyDescent="0.2">
      <c r="A47" s="149">
        <v>33</v>
      </c>
      <c r="B47" s="145" t="str">
        <f>IF(KB_Lunge!O118 = "", "", KB_Lunge!O118)</f>
        <v/>
      </c>
      <c r="C47" s="145" t="str">
        <f>IF(KB_Lunge!O119="","",KB_Lunge!O119)</f>
        <v/>
      </c>
      <c r="D47" s="305" t="str">
        <f>IF(KB_Lunge!O120="n.d.","n.d.",KB_Lunge!O120*100)</f>
        <v>n.d.</v>
      </c>
      <c r="E47" s="145">
        <f>Berechnung1!N132</f>
        <v>1</v>
      </c>
      <c r="F47" s="146" t="str">
        <f>IF(KB_Lunge!Q118=0,"",KB_Lunge!Q118)</f>
        <v/>
      </c>
      <c r="G47" s="146" t="str">
        <f>IF(KB_Lunge!R118=0,"",KB_Lunge!R118)</f>
        <v/>
      </c>
      <c r="H47" s="153">
        <f>Berechnung1!O132</f>
        <v>0</v>
      </c>
      <c r="I47" s="154"/>
      <c r="J47" s="154"/>
      <c r="K47" s="154"/>
    </row>
    <row r="48" spans="1:11" x14ac:dyDescent="0.2">
      <c r="A48" s="149">
        <v>34</v>
      </c>
      <c r="B48" s="145" t="str">
        <f>IF(KB_Lunge!O121 = "", "", KB_Lunge!O121)</f>
        <v/>
      </c>
      <c r="C48" s="145" t="str">
        <f>IF(KB_Lunge!O122="","",KB_Lunge!O122)</f>
        <v/>
      </c>
      <c r="D48" s="305" t="str">
        <f>IF(KB_Lunge!O123="n.d.","n.d.",KB_Lunge!O123*100)</f>
        <v>n.d.</v>
      </c>
      <c r="E48" s="145">
        <f>Berechnung1!N135</f>
        <v>1</v>
      </c>
      <c r="F48" s="146" t="str">
        <f>IF(KB_Lunge!Q121=0,"",KB_Lunge!Q121)</f>
        <v/>
      </c>
      <c r="G48" s="146" t="str">
        <f>IF(KB_Lunge!R121=0,"",KB_Lunge!R121)</f>
        <v/>
      </c>
      <c r="H48" s="153">
        <f>Berechnung1!O135</f>
        <v>0</v>
      </c>
      <c r="I48" s="154"/>
      <c r="J48" s="154"/>
      <c r="K48" s="154"/>
    </row>
  </sheetData>
  <phoneticPr fontId="38" type="noConversion"/>
  <pageMargins left="0.7" right="0.7" top="0.78740157499999996" bottom="0.78740157499999996"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3:O137"/>
  <sheetViews>
    <sheetView topLeftCell="B15" zoomScaleNormal="100" workbookViewId="0">
      <selection activeCell="M43" sqref="M43"/>
    </sheetView>
  </sheetViews>
  <sheetFormatPr defaultColWidth="11.42578125" defaultRowHeight="11.25" x14ac:dyDescent="0.2"/>
  <cols>
    <col min="1" max="1" width="9.140625" style="102" customWidth="1"/>
    <col min="2" max="2" width="14.85546875" style="102" customWidth="1"/>
    <col min="3" max="3" width="9.140625" style="102" customWidth="1"/>
    <col min="4" max="4" width="13.7109375" style="102" customWidth="1"/>
    <col min="5" max="5" width="18.42578125" style="102" customWidth="1"/>
    <col min="6" max="6" width="16.85546875" style="102" customWidth="1"/>
    <col min="7" max="7" width="18.140625" style="102" customWidth="1"/>
    <col min="8" max="9" width="20.28515625" style="102" customWidth="1"/>
    <col min="10" max="10" width="14.5703125" style="102" customWidth="1"/>
    <col min="11" max="11" width="15.42578125" style="102" customWidth="1"/>
    <col min="12" max="12" width="16.28515625" style="102" customWidth="1"/>
    <col min="13" max="256" width="9.140625" style="102" customWidth="1"/>
    <col min="257" max="16384" width="11.42578125" style="102"/>
  </cols>
  <sheetData>
    <row r="3" spans="2:15" s="7" customFormat="1" x14ac:dyDescent="0.2">
      <c r="C3" s="98" t="s">
        <v>175</v>
      </c>
      <c r="M3" s="99"/>
      <c r="N3" s="99"/>
      <c r="O3" s="99"/>
    </row>
    <row r="4" spans="2:15" s="7" customFormat="1" x14ac:dyDescent="0.2">
      <c r="D4" s="33" t="s">
        <v>164</v>
      </c>
      <c r="I4" s="33"/>
      <c r="M4" s="99"/>
      <c r="N4" s="99"/>
      <c r="O4" s="99"/>
    </row>
    <row r="5" spans="2:15" s="7" customFormat="1" ht="22.5" x14ac:dyDescent="0.2">
      <c r="C5" s="33" t="s">
        <v>173</v>
      </c>
      <c r="D5" s="33" t="s">
        <v>174</v>
      </c>
      <c r="E5" s="33" t="s">
        <v>27</v>
      </c>
      <c r="F5" s="33" t="s">
        <v>186</v>
      </c>
      <c r="G5" s="33" t="s">
        <v>184</v>
      </c>
      <c r="H5" s="415" t="s">
        <v>750</v>
      </c>
      <c r="I5" s="33" t="s">
        <v>43</v>
      </c>
      <c r="K5" s="415" t="s">
        <v>778</v>
      </c>
      <c r="M5" s="99"/>
      <c r="N5" s="99"/>
      <c r="O5" s="99"/>
    </row>
    <row r="6" spans="2:15" s="7" customFormat="1" x14ac:dyDescent="0.2">
      <c r="C6" s="33">
        <f>COUNTIF(KB_Lunge!$P$13:$P$121,C5)</f>
        <v>0</v>
      </c>
      <c r="D6" s="33">
        <f>COUNTIF(KB_Lunge!$P$13:$P$121,D5)</f>
        <v>0</v>
      </c>
      <c r="E6" s="33">
        <f>COUNTIF(KB_Lunge!$P$13:$P$121,E5)</f>
        <v>0</v>
      </c>
      <c r="F6" s="33">
        <f>COUNTIF(KB_Lunge!$P$13:$P$121,F5)</f>
        <v>29</v>
      </c>
      <c r="G6" s="33">
        <f>COUNTIF(KB_Lunge!$P$13:$P$121,G5)</f>
        <v>0</v>
      </c>
      <c r="H6" s="33">
        <f>COUNTIF(KB_Lunge!$P$13:$P$121,H5)</f>
        <v>0</v>
      </c>
      <c r="I6" s="33">
        <f t="shared" ref="I6:I11" si="0">SUM(C6:H6)</f>
        <v>29</v>
      </c>
      <c r="K6" s="101">
        <f>D6+H6</f>
        <v>0</v>
      </c>
      <c r="M6" s="99"/>
      <c r="N6" s="99"/>
      <c r="O6" s="99"/>
    </row>
    <row r="7" spans="2:15" s="7" customFormat="1" x14ac:dyDescent="0.2">
      <c r="C7" s="33"/>
      <c r="D7" s="33">
        <f>C6+D6+H6</f>
        <v>0</v>
      </c>
      <c r="E7" s="33">
        <f>E6</f>
        <v>0</v>
      </c>
      <c r="F7" s="33"/>
      <c r="G7" s="33">
        <f>F6+G6</f>
        <v>29</v>
      </c>
      <c r="I7" s="33">
        <f t="shared" si="0"/>
        <v>29</v>
      </c>
      <c r="K7" s="101"/>
      <c r="M7" s="99"/>
      <c r="N7" s="99"/>
      <c r="O7" s="99"/>
    </row>
    <row r="8" spans="2:15" s="7" customFormat="1" x14ac:dyDescent="0.2">
      <c r="B8" s="7" t="s">
        <v>492</v>
      </c>
      <c r="C8" s="33"/>
      <c r="D8" s="33"/>
      <c r="E8" s="33">
        <f>D7+E7</f>
        <v>0</v>
      </c>
      <c r="F8" s="33"/>
      <c r="G8" s="33">
        <f>G7</f>
        <v>29</v>
      </c>
      <c r="I8" s="33">
        <f t="shared" si="0"/>
        <v>29</v>
      </c>
      <c r="K8" s="101"/>
      <c r="M8" s="99"/>
      <c r="N8" s="99"/>
      <c r="O8" s="99"/>
    </row>
    <row r="9" spans="2:15" s="7" customFormat="1" x14ac:dyDescent="0.2">
      <c r="B9" s="362">
        <v>29</v>
      </c>
      <c r="C9" s="343">
        <f t="shared" ref="C9:H9" si="1">ROUND(C6/$B$9,4)</f>
        <v>0</v>
      </c>
      <c r="D9" s="343">
        <f>ROUND(D6/$B$9,4)</f>
        <v>0</v>
      </c>
      <c r="E9" s="343">
        <f>ROUND(E6/$B$9,4)</f>
        <v>0</v>
      </c>
      <c r="F9" s="343">
        <f t="shared" si="1"/>
        <v>1</v>
      </c>
      <c r="G9" s="343">
        <f t="shared" si="1"/>
        <v>0</v>
      </c>
      <c r="H9" s="343">
        <f t="shared" si="1"/>
        <v>0</v>
      </c>
      <c r="I9" s="343">
        <f t="shared" si="0"/>
        <v>1</v>
      </c>
      <c r="K9" s="445">
        <f>D9+H9</f>
        <v>0</v>
      </c>
      <c r="M9" s="99"/>
      <c r="N9" s="99"/>
      <c r="O9" s="99"/>
    </row>
    <row r="10" spans="2:15" s="7" customFormat="1" x14ac:dyDescent="0.2">
      <c r="C10" s="343"/>
      <c r="D10" s="343">
        <f>ROUND((C6+D6+H6)/$B$9,4)</f>
        <v>0</v>
      </c>
      <c r="E10" s="343">
        <f>ROUND(E6/$B$9,4)</f>
        <v>0</v>
      </c>
      <c r="F10" s="343"/>
      <c r="G10" s="343">
        <f>ROUND((F6+G6)/$B$9,4)</f>
        <v>1</v>
      </c>
      <c r="I10" s="343">
        <f t="shared" si="0"/>
        <v>1</v>
      </c>
      <c r="M10" s="99"/>
      <c r="N10" s="99"/>
      <c r="O10" s="99"/>
    </row>
    <row r="11" spans="2:15" s="7" customFormat="1" x14ac:dyDescent="0.2">
      <c r="C11" s="344"/>
      <c r="D11" s="344"/>
      <c r="E11" s="343">
        <f>ROUND((C6+D6+E6+H6)/$B$9,4)</f>
        <v>0</v>
      </c>
      <c r="F11" s="344"/>
      <c r="G11" s="343">
        <f>G10</f>
        <v>1</v>
      </c>
      <c r="I11" s="343">
        <f t="shared" si="0"/>
        <v>1</v>
      </c>
      <c r="M11" s="99"/>
      <c r="N11" s="99"/>
      <c r="O11" s="99"/>
    </row>
    <row r="12" spans="2:15" s="7" customFormat="1" x14ac:dyDescent="0.2">
      <c r="E12" s="34"/>
      <c r="G12" s="34"/>
      <c r="H12" s="34"/>
      <c r="I12" s="34"/>
      <c r="M12" s="99"/>
      <c r="N12" s="99"/>
      <c r="O12" s="99"/>
    </row>
    <row r="13" spans="2:15" s="7" customFormat="1" x14ac:dyDescent="0.2">
      <c r="M13" s="99"/>
      <c r="N13" s="99"/>
      <c r="O13" s="99"/>
    </row>
    <row r="14" spans="2:15" s="7" customFormat="1" x14ac:dyDescent="0.2">
      <c r="M14" s="99"/>
      <c r="N14" s="99"/>
      <c r="O14" s="99"/>
    </row>
    <row r="15" spans="2:15" s="7" customFormat="1" x14ac:dyDescent="0.2">
      <c r="M15" s="99"/>
      <c r="N15" s="99"/>
      <c r="O15" s="99"/>
    </row>
    <row r="16" spans="2:15" s="7" customFormat="1" x14ac:dyDescent="0.2">
      <c r="C16" s="98" t="s">
        <v>176</v>
      </c>
      <c r="M16" s="99"/>
      <c r="N16" s="99"/>
      <c r="O16" s="99"/>
    </row>
    <row r="17" spans="1:15" s="7" customFormat="1" ht="33.75" x14ac:dyDescent="0.2">
      <c r="B17" s="446"/>
      <c r="C17" s="35" t="s">
        <v>177</v>
      </c>
      <c r="D17" s="35" t="s">
        <v>178</v>
      </c>
      <c r="E17" s="35" t="s">
        <v>179</v>
      </c>
      <c r="F17" s="35" t="s">
        <v>180</v>
      </c>
      <c r="G17" s="35" t="s">
        <v>181</v>
      </c>
      <c r="H17" s="415" t="s">
        <v>1029</v>
      </c>
      <c r="M17" s="99"/>
      <c r="N17" s="99"/>
      <c r="O17" s="99"/>
    </row>
    <row r="18" spans="1:15" s="7" customFormat="1" x14ac:dyDescent="0.2">
      <c r="B18" s="446"/>
      <c r="C18" s="35"/>
      <c r="D18" s="35"/>
      <c r="E18" s="35"/>
      <c r="F18" s="35"/>
      <c r="G18" s="35"/>
      <c r="M18" s="99"/>
      <c r="N18" s="99"/>
      <c r="O18" s="99"/>
    </row>
    <row r="19" spans="1:15" s="7" customFormat="1" x14ac:dyDescent="0.2">
      <c r="C19" s="35"/>
      <c r="D19" s="35"/>
      <c r="E19" s="35"/>
      <c r="F19" s="35"/>
      <c r="G19" s="35"/>
      <c r="M19" s="99"/>
      <c r="N19" s="99"/>
      <c r="O19" s="99"/>
    </row>
    <row r="20" spans="1:15" s="7" customFormat="1" x14ac:dyDescent="0.2">
      <c r="C20" s="35"/>
      <c r="D20" s="35"/>
      <c r="E20" s="35"/>
      <c r="F20" s="35"/>
      <c r="G20" s="35"/>
      <c r="M20" s="99"/>
      <c r="N20" s="99"/>
      <c r="O20" s="99"/>
    </row>
    <row r="21" spans="1:15" s="7" customFormat="1" x14ac:dyDescent="0.2">
      <c r="B21" s="35"/>
      <c r="C21" s="35"/>
      <c r="D21" s="35"/>
      <c r="E21" s="35"/>
      <c r="F21" s="35"/>
      <c r="M21" s="99"/>
      <c r="N21" s="99"/>
      <c r="O21" s="99"/>
    </row>
    <row r="22" spans="1:15" s="7" customFormat="1" x14ac:dyDescent="0.2">
      <c r="B22" s="35"/>
      <c r="C22" s="100" t="s">
        <v>162</v>
      </c>
      <c r="D22" s="81"/>
      <c r="E22" s="35"/>
      <c r="F22" s="35"/>
      <c r="M22" s="99"/>
      <c r="N22" s="99"/>
      <c r="O22" s="99"/>
    </row>
    <row r="23" spans="1:15" s="7" customFormat="1" x14ac:dyDescent="0.2">
      <c r="M23" s="99"/>
      <c r="N23" s="99"/>
      <c r="O23" s="99"/>
    </row>
    <row r="24" spans="1:15" s="7" customFormat="1" x14ac:dyDescent="0.2">
      <c r="C24" s="88" t="s">
        <v>18</v>
      </c>
      <c r="D24" s="88" t="s">
        <v>187</v>
      </c>
      <c r="E24" s="88" t="s">
        <v>197</v>
      </c>
      <c r="F24" s="88" t="s">
        <v>196</v>
      </c>
      <c r="G24" s="88" t="s">
        <v>194</v>
      </c>
      <c r="H24" s="88" t="s">
        <v>195</v>
      </c>
      <c r="I24" s="88"/>
      <c r="J24" s="88" t="s">
        <v>198</v>
      </c>
      <c r="K24" s="88" t="s">
        <v>199</v>
      </c>
      <c r="L24" s="88" t="s">
        <v>193</v>
      </c>
      <c r="M24" s="88" t="s">
        <v>115</v>
      </c>
      <c r="N24" s="88" t="s">
        <v>114</v>
      </c>
      <c r="O24" s="88" t="s">
        <v>113</v>
      </c>
    </row>
    <row r="25" spans="1:15" s="7" customFormat="1" x14ac:dyDescent="0.2">
      <c r="A25" s="101"/>
      <c r="C25" s="89"/>
      <c r="D25" s="89"/>
      <c r="E25" s="89"/>
      <c r="F25" s="89"/>
      <c r="G25" s="89"/>
      <c r="H25" s="89"/>
      <c r="I25" s="89"/>
      <c r="J25" s="89"/>
      <c r="K25" s="89"/>
      <c r="L25" s="89"/>
      <c r="M25" s="89"/>
      <c r="N25" s="89"/>
      <c r="O25" s="90"/>
    </row>
    <row r="26" spans="1:15" s="7" customFormat="1" x14ac:dyDescent="0.2">
      <c r="A26" s="101"/>
      <c r="C26" s="89"/>
      <c r="D26" s="89"/>
      <c r="E26" s="89"/>
      <c r="F26" s="89"/>
      <c r="G26" s="89"/>
      <c r="H26" s="89"/>
      <c r="I26" s="89"/>
      <c r="J26" s="89"/>
      <c r="K26" s="89"/>
      <c r="L26" s="89"/>
      <c r="M26" s="89"/>
      <c r="N26" s="89"/>
      <c r="O26" s="90"/>
    </row>
    <row r="27" spans="1:15" s="7" customFormat="1" x14ac:dyDescent="0.2">
      <c r="A27" s="101"/>
      <c r="C27" s="58" t="s">
        <v>821</v>
      </c>
      <c r="D27" s="59" t="s">
        <v>188</v>
      </c>
      <c r="E27" s="91">
        <v>0</v>
      </c>
      <c r="F27" s="91">
        <v>1000000000000</v>
      </c>
      <c r="G27" s="92">
        <v>200</v>
      </c>
      <c r="H27" s="91">
        <v>1000000000000000</v>
      </c>
      <c r="I27" s="91"/>
      <c r="J27" s="91">
        <v>-10000</v>
      </c>
      <c r="K27" s="91">
        <v>1000000000000</v>
      </c>
      <c r="L27" s="93">
        <f>KB_Lunge!O13</f>
        <v>0</v>
      </c>
      <c r="M27" s="93">
        <f>IF(KB_Lunge!P13=Berechnung1!$G$5,1,IF(KB_Lunge!P13=Berechnung1!$F$5,1,IF(KB_Lunge!P13=Berechnung1!$E$5,2,IF(KB_Lunge!P13=Berechnung1!$D$5,3,IF(KB_Lunge!P13=Berechnung1!$C$5,4,"")))))</f>
        <v>1</v>
      </c>
      <c r="N27" s="93">
        <f>IF(M27&gt;1,M27+3,M27)</f>
        <v>1</v>
      </c>
      <c r="O27" s="93">
        <f>IF(KB_Lunge!R13="",0,1)</f>
        <v>0</v>
      </c>
    </row>
    <row r="28" spans="1:15" s="7" customFormat="1" x14ac:dyDescent="0.2">
      <c r="A28" s="101"/>
      <c r="C28" s="94"/>
      <c r="D28" s="95"/>
      <c r="E28" s="96"/>
      <c r="F28" s="96"/>
      <c r="G28" s="96"/>
      <c r="H28" s="96"/>
      <c r="I28" s="96"/>
      <c r="J28" s="96"/>
      <c r="K28" s="96"/>
      <c r="L28" s="96"/>
      <c r="M28" s="96"/>
      <c r="N28" s="96"/>
      <c r="O28" s="97"/>
    </row>
    <row r="29" spans="1:15" s="7" customFormat="1" x14ac:dyDescent="0.2">
      <c r="A29" s="101"/>
      <c r="C29" s="94"/>
      <c r="D29" s="95"/>
      <c r="E29" s="96"/>
      <c r="F29" s="96"/>
      <c r="G29" s="96"/>
      <c r="H29" s="96"/>
      <c r="I29" s="96"/>
      <c r="J29" s="96"/>
      <c r="K29" s="96"/>
      <c r="L29" s="96"/>
      <c r="M29" s="96"/>
      <c r="N29" s="96"/>
      <c r="O29" s="97"/>
    </row>
    <row r="30" spans="1:15" ht="12.75" customHeight="1" x14ac:dyDescent="0.2">
      <c r="B30" s="7" t="s">
        <v>779</v>
      </c>
      <c r="C30" s="443" t="s">
        <v>822</v>
      </c>
      <c r="D30" s="443" t="s">
        <v>188</v>
      </c>
      <c r="E30" s="442">
        <v>0</v>
      </c>
      <c r="F30" s="442">
        <v>1000000000000</v>
      </c>
      <c r="G30" s="441">
        <v>-100000000000000</v>
      </c>
      <c r="H30" s="441">
        <v>1000000000000000</v>
      </c>
      <c r="I30" s="443"/>
      <c r="J30" s="440">
        <v>-10000</v>
      </c>
      <c r="K30" s="442">
        <v>1000000000000</v>
      </c>
      <c r="L30" s="524">
        <f>KB_Lunge!O16</f>
        <v>0</v>
      </c>
      <c r="M30" s="438">
        <f>IF(KB_Lunge!P16=Berechnung1!$H$5,5,IF(KB_Lunge!P16=Berechnung1!$G$5,1,IF(KB_Lunge!P16=Berechnung1!$F$5,1,IF(KB_Lunge!P16=Berechnung1!$E$5,2,IF(KB_Lunge!P16=Berechnung1!$D$5,3,IF(KB_Lunge!P16=Berechnung1!$C$5,4,""))))))</f>
        <v>1</v>
      </c>
      <c r="N30" s="443">
        <f>IF(M30&gt;1,M30+3,M30)</f>
        <v>1</v>
      </c>
      <c r="O30" s="443">
        <f>IF(KB_Lunge!R16="",0,1)</f>
        <v>0</v>
      </c>
    </row>
    <row r="31" spans="1:15" s="7" customFormat="1" x14ac:dyDescent="0.2">
      <c r="A31" s="101"/>
      <c r="C31" s="94"/>
      <c r="D31" s="95"/>
      <c r="E31" s="96"/>
      <c r="F31" s="96"/>
      <c r="G31" s="96"/>
      <c r="H31" s="96"/>
      <c r="I31" s="96"/>
      <c r="J31" s="96"/>
      <c r="K31" s="96"/>
      <c r="L31" s="96"/>
      <c r="M31" s="96"/>
      <c r="N31" s="96"/>
      <c r="O31" s="97"/>
    </row>
    <row r="32" spans="1:15" s="7" customFormat="1" x14ac:dyDescent="0.2">
      <c r="A32" s="101"/>
      <c r="C32" s="94"/>
      <c r="D32" s="95"/>
      <c r="E32" s="96"/>
      <c r="F32" s="96"/>
      <c r="G32" s="96"/>
      <c r="H32" s="96"/>
      <c r="I32" s="96"/>
      <c r="J32" s="96"/>
      <c r="K32" s="96"/>
      <c r="L32" s="96"/>
      <c r="M32" s="96"/>
      <c r="N32" s="96"/>
      <c r="O32" s="97"/>
    </row>
    <row r="33" spans="1:15" s="7" customFormat="1" x14ac:dyDescent="0.2">
      <c r="A33" s="101"/>
      <c r="C33" s="58" t="s">
        <v>271</v>
      </c>
      <c r="D33" s="59" t="s">
        <v>188</v>
      </c>
      <c r="E33" s="91">
        <v>0</v>
      </c>
      <c r="F33" s="91">
        <v>1</v>
      </c>
      <c r="G33" s="91">
        <v>0.9</v>
      </c>
      <c r="H33" s="91">
        <v>10000</v>
      </c>
      <c r="I33" s="91"/>
      <c r="J33" s="91">
        <v>-10000</v>
      </c>
      <c r="K33" s="91">
        <v>10000</v>
      </c>
      <c r="L33" s="91" t="str">
        <f>KB_Lunge!O21</f>
        <v>n.d.</v>
      </c>
      <c r="M33" s="93">
        <f>IF(KB_Lunge!P19=Berechnung1!$G$5,1,IF(KB_Lunge!P19=Berechnung1!$F$5,1,IF(KB_Lunge!P19=Berechnung1!$E$5,2,IF(KB_Lunge!P19=Berechnung1!$D$5,3,IF(KB_Lunge!P19=Berechnung1!$C$5,4,"")))))</f>
        <v>1</v>
      </c>
      <c r="N33" s="93">
        <f>IF(M33&gt;1,M33+3,M33)</f>
        <v>1</v>
      </c>
      <c r="O33" s="93">
        <f>IF(KB_Lunge!R19="",0,1)</f>
        <v>0</v>
      </c>
    </row>
    <row r="34" spans="1:15" s="7" customFormat="1" x14ac:dyDescent="0.2">
      <c r="A34" s="101"/>
      <c r="C34" s="31"/>
      <c r="D34" s="31"/>
      <c r="E34" s="31"/>
      <c r="F34" s="31"/>
      <c r="G34" s="31"/>
      <c r="H34" s="31"/>
      <c r="I34" s="31"/>
      <c r="J34" s="31"/>
      <c r="K34" s="31"/>
      <c r="L34" s="31"/>
      <c r="M34" s="31"/>
      <c r="N34" s="31"/>
      <c r="O34" s="31"/>
    </row>
    <row r="35" spans="1:15" s="7" customFormat="1" x14ac:dyDescent="0.2">
      <c r="A35" s="101"/>
      <c r="C35" s="94"/>
      <c r="D35" s="95"/>
      <c r="E35" s="96"/>
      <c r="F35" s="96"/>
      <c r="G35" s="96"/>
      <c r="H35" s="96"/>
      <c r="I35" s="96"/>
      <c r="J35" s="96"/>
      <c r="K35" s="96"/>
      <c r="L35" s="96"/>
      <c r="M35" s="96"/>
      <c r="N35" s="96"/>
      <c r="O35" s="97"/>
    </row>
    <row r="36" spans="1:15" s="7" customFormat="1" x14ac:dyDescent="0.2">
      <c r="A36" s="101"/>
      <c r="C36" s="58" t="s">
        <v>272</v>
      </c>
      <c r="D36" s="59" t="s">
        <v>188</v>
      </c>
      <c r="E36" s="91">
        <v>0</v>
      </c>
      <c r="F36" s="91">
        <v>1</v>
      </c>
      <c r="G36" s="91">
        <v>0.9</v>
      </c>
      <c r="H36" s="91">
        <v>10000</v>
      </c>
      <c r="I36" s="91"/>
      <c r="J36" s="91">
        <v>-10000</v>
      </c>
      <c r="K36" s="91">
        <v>10000</v>
      </c>
      <c r="L36" s="91" t="str">
        <f>KB_Lunge!O24</f>
        <v>n.d.</v>
      </c>
      <c r="M36" s="93">
        <f>IF(KB_Lunge!P22=Berechnung1!$G$5,1,IF(KB_Lunge!P22=Berechnung1!$F$5,1,IF(KB_Lunge!P22=Berechnung1!$E$5,2,IF(KB_Lunge!P22=Berechnung1!$D$5,3,IF(KB_Lunge!P22=Berechnung1!$C$5,4,"")))))</f>
        <v>1</v>
      </c>
      <c r="N36" s="93">
        <f>IF(M36&gt;1,M36+3,M36)</f>
        <v>1</v>
      </c>
      <c r="O36" s="93">
        <f>IF(KB_Lunge!R22="",0,1)</f>
        <v>0</v>
      </c>
    </row>
    <row r="37" spans="1:15" s="7" customFormat="1" x14ac:dyDescent="0.2">
      <c r="A37" s="101"/>
      <c r="C37" s="31"/>
      <c r="D37" s="31"/>
      <c r="E37" s="31"/>
      <c r="F37" s="31"/>
      <c r="G37" s="96"/>
      <c r="H37" s="31"/>
      <c r="I37" s="31"/>
      <c r="J37" s="31"/>
      <c r="K37" s="31"/>
      <c r="L37" s="31"/>
      <c r="M37" s="31"/>
      <c r="N37" s="31"/>
      <c r="O37" s="31"/>
    </row>
    <row r="38" spans="1:15" s="7" customFormat="1" x14ac:dyDescent="0.2">
      <c r="A38" s="101"/>
      <c r="C38" s="94"/>
      <c r="D38" s="95"/>
      <c r="E38" s="96"/>
      <c r="F38" s="96"/>
      <c r="G38" s="96"/>
      <c r="H38" s="96"/>
      <c r="I38" s="96"/>
      <c r="J38" s="96"/>
      <c r="K38" s="96"/>
      <c r="L38" s="96"/>
      <c r="M38" s="96"/>
      <c r="N38" s="96"/>
      <c r="O38" s="97"/>
    </row>
    <row r="39" spans="1:15" s="7" customFormat="1" x14ac:dyDescent="0.2">
      <c r="A39" s="101"/>
      <c r="C39" s="58">
        <v>3</v>
      </c>
      <c r="D39" s="59" t="s">
        <v>188</v>
      </c>
      <c r="E39" s="91">
        <v>0</v>
      </c>
      <c r="F39" s="91">
        <v>1</v>
      </c>
      <c r="G39" s="91">
        <v>0.9</v>
      </c>
      <c r="H39" s="91">
        <v>10000</v>
      </c>
      <c r="I39" s="91"/>
      <c r="J39" s="91">
        <v>-10000</v>
      </c>
      <c r="K39" s="91">
        <v>1000000</v>
      </c>
      <c r="L39" s="91" t="str">
        <f>KB_Lunge!O27</f>
        <v>n.d.</v>
      </c>
      <c r="M39" s="93">
        <f>IF(KB_Lunge!P25=Berechnung1!$G$5,1,IF(KB_Lunge!P25=Berechnung1!$F$5,1,IF(KB_Lunge!P25=Berechnung1!$E$5,2,IF(KB_Lunge!P25=Berechnung1!$D$5,3,IF(KB_Lunge!P25=Berechnung1!$C$5,4,"")))))</f>
        <v>1</v>
      </c>
      <c r="N39" s="93">
        <f>IF(M39&gt;1,M39+3,M39)</f>
        <v>1</v>
      </c>
      <c r="O39" s="93">
        <f>IF(KB_Lunge!R25="",0,1)</f>
        <v>0</v>
      </c>
    </row>
    <row r="40" spans="1:15" s="7" customFormat="1" x14ac:dyDescent="0.2">
      <c r="A40" s="101"/>
      <c r="C40" s="94"/>
      <c r="D40" s="95"/>
      <c r="E40" s="96"/>
      <c r="F40" s="96"/>
      <c r="G40" s="96"/>
      <c r="H40" s="96"/>
      <c r="I40" s="96"/>
      <c r="J40" s="96"/>
      <c r="K40" s="96"/>
      <c r="L40" s="96"/>
      <c r="M40" s="96"/>
      <c r="N40" s="96"/>
      <c r="O40" s="97"/>
    </row>
    <row r="41" spans="1:15" s="7" customFormat="1" x14ac:dyDescent="0.2">
      <c r="A41" s="101"/>
      <c r="C41" s="94"/>
      <c r="D41" s="95"/>
      <c r="E41" s="96"/>
      <c r="F41" s="96"/>
      <c r="G41" s="96"/>
      <c r="H41" s="96"/>
      <c r="I41" s="96"/>
      <c r="J41" s="96"/>
      <c r="K41" s="96"/>
      <c r="L41" s="96"/>
      <c r="M41" s="96"/>
      <c r="N41" s="96"/>
      <c r="O41" s="97"/>
    </row>
    <row r="42" spans="1:15" s="7" customFormat="1" x14ac:dyDescent="0.2">
      <c r="A42" s="101"/>
      <c r="B42" s="7" t="s">
        <v>1028</v>
      </c>
      <c r="C42" s="59">
        <v>4</v>
      </c>
      <c r="D42" s="59" t="s">
        <v>188</v>
      </c>
      <c r="E42" s="91">
        <v>0</v>
      </c>
      <c r="F42" s="91">
        <v>1</v>
      </c>
      <c r="G42" s="91">
        <v>-10000</v>
      </c>
      <c r="H42" s="91">
        <v>10000</v>
      </c>
      <c r="I42" s="91"/>
      <c r="J42" s="91">
        <v>-10000</v>
      </c>
      <c r="K42" s="91">
        <v>1000000</v>
      </c>
      <c r="L42" s="91" t="str">
        <f>KB_Lunge!O30</f>
        <v>n.d.</v>
      </c>
      <c r="M42" s="93">
        <f>IF(KB_Lunge!P28=Berechnung1!$H$17,5,IF(KB_Lunge!P28=Berechnung1!$G$17,1,IF(KB_Lunge!P28=Berechnung1!$F$17,1,IF(KB_Lunge!P28=Berechnung1!$E$17,2,IF(KB_Lunge!P28=Berechnung1!$D$17,3,IF(KB_Lunge!P28=Berechnung1!$C$17,4,""))))))</f>
        <v>1</v>
      </c>
      <c r="N42" s="93">
        <f>IF(M42&gt;1,M42+3,M42)</f>
        <v>1</v>
      </c>
      <c r="O42" s="93">
        <f>IF(KB_Lunge!R28="",0,1)</f>
        <v>0</v>
      </c>
    </row>
    <row r="43" spans="1:15" s="7" customFormat="1" x14ac:dyDescent="0.2">
      <c r="A43" s="101"/>
      <c r="C43" s="94"/>
      <c r="D43" s="95"/>
      <c r="E43" s="96"/>
      <c r="F43" s="96"/>
      <c r="G43" s="96"/>
      <c r="H43" s="96"/>
      <c r="I43" s="96"/>
      <c r="J43" s="96"/>
      <c r="K43" s="96"/>
      <c r="L43" s="96"/>
      <c r="M43" s="96"/>
      <c r="N43" s="96"/>
      <c r="O43" s="97"/>
    </row>
    <row r="44" spans="1:15" s="7" customFormat="1" x14ac:dyDescent="0.2">
      <c r="A44" s="101"/>
      <c r="C44" s="94"/>
      <c r="D44" s="95"/>
      <c r="E44" s="96"/>
      <c r="F44" s="96"/>
      <c r="G44" s="96"/>
      <c r="H44" s="96"/>
      <c r="I44" s="96"/>
      <c r="J44" s="96"/>
      <c r="K44" s="96"/>
      <c r="L44" s="96"/>
      <c r="M44" s="96"/>
      <c r="N44" s="96"/>
      <c r="O44" s="97"/>
    </row>
    <row r="45" spans="1:15" s="7" customFormat="1" x14ac:dyDescent="0.2">
      <c r="A45" s="101"/>
      <c r="B45" s="7" t="s">
        <v>1028</v>
      </c>
      <c r="C45" s="59">
        <v>5</v>
      </c>
      <c r="D45" s="59" t="s">
        <v>188</v>
      </c>
      <c r="E45" s="91">
        <v>0</v>
      </c>
      <c r="F45" s="91">
        <v>1</v>
      </c>
      <c r="G45" s="91">
        <v>0.65</v>
      </c>
      <c r="H45" s="91">
        <v>10000</v>
      </c>
      <c r="I45" s="91"/>
      <c r="J45" s="91">
        <v>-10000</v>
      </c>
      <c r="K45" s="91">
        <v>10000</v>
      </c>
      <c r="L45" s="91" t="str">
        <f>KB_Lunge!O33</f>
        <v>n.d.</v>
      </c>
      <c r="M45" s="476">
        <f>IF(KB_Lunge!P31=Berechnung1!$G$17,1,IF(KB_Lunge!P31=Berechnung1!$F$17,1,IF(KB_Lunge!P31=Berechnung1!$E$17,2,IF(KB_Lunge!P31=Berechnung1!$D$17,3,IF(KB_Lunge!P31=Berechnung1!$C$17,4,"")))))</f>
        <v>1</v>
      </c>
      <c r="N45" s="93">
        <f>IF(M45&gt;1,M45+3,M45)</f>
        <v>1</v>
      </c>
      <c r="O45" s="93">
        <f>IF(KB_Lunge!R31="",0,1)</f>
        <v>0</v>
      </c>
    </row>
    <row r="46" spans="1:15" s="7" customFormat="1" x14ac:dyDescent="0.2">
      <c r="A46" s="101"/>
      <c r="C46" s="94"/>
      <c r="D46" s="95"/>
      <c r="E46" s="96"/>
      <c r="F46" s="96"/>
      <c r="G46" s="96"/>
      <c r="H46" s="96"/>
      <c r="I46" s="96"/>
      <c r="J46" s="96"/>
      <c r="K46" s="96"/>
      <c r="L46" s="96"/>
      <c r="M46" s="96"/>
      <c r="N46" s="96"/>
      <c r="O46" s="97"/>
    </row>
    <row r="47" spans="1:15" s="7" customFormat="1" x14ac:dyDescent="0.2">
      <c r="A47" s="101"/>
      <c r="C47" s="94"/>
      <c r="D47" s="95"/>
      <c r="E47" s="96"/>
      <c r="F47" s="96"/>
      <c r="G47" s="96"/>
      <c r="H47" s="96"/>
      <c r="I47" s="96"/>
      <c r="J47" s="96"/>
      <c r="K47" s="96"/>
      <c r="L47" s="96"/>
      <c r="M47" s="96"/>
      <c r="N47" s="96"/>
      <c r="O47" s="97"/>
    </row>
    <row r="48" spans="1:15" s="7" customFormat="1" x14ac:dyDescent="0.2">
      <c r="A48" s="101"/>
      <c r="C48" s="59">
        <v>6</v>
      </c>
      <c r="D48" s="59" t="s">
        <v>188</v>
      </c>
      <c r="E48" s="91">
        <v>0</v>
      </c>
      <c r="F48" s="91">
        <v>1</v>
      </c>
      <c r="G48" s="91">
        <v>-10000</v>
      </c>
      <c r="H48" s="91">
        <v>10000</v>
      </c>
      <c r="I48" s="91"/>
      <c r="J48" s="91">
        <v>0.5</v>
      </c>
      <c r="K48" s="91">
        <v>0.9</v>
      </c>
      <c r="L48" s="91" t="str">
        <f>KB_Lunge!O36</f>
        <v>n.d.</v>
      </c>
      <c r="M48" s="93">
        <f>IF(KB_Lunge!P34=Berechnung1!$G$5,1,IF(KB_Lunge!P34=Berechnung1!$F$5,1,IF(KB_Lunge!P34=Berechnung1!$E$5,2,IF(KB_Lunge!P34=Berechnung1!$D$5,3,IF(KB_Lunge!P34=Berechnung1!$C$5,4,"")))))</f>
        <v>1</v>
      </c>
      <c r="N48" s="93">
        <f>IF(M48&gt;1,M48+3,M48)</f>
        <v>1</v>
      </c>
      <c r="O48" s="93">
        <f>IF(KB_Lunge!R34="",0,1)</f>
        <v>0</v>
      </c>
    </row>
    <row r="49" spans="1:15" s="7" customFormat="1" x14ac:dyDescent="0.2">
      <c r="A49" s="101"/>
      <c r="C49" s="94"/>
      <c r="D49" s="95"/>
      <c r="E49" s="96"/>
      <c r="F49" s="96"/>
      <c r="G49" s="96"/>
      <c r="H49" s="96"/>
      <c r="I49" s="96"/>
      <c r="J49" s="96"/>
      <c r="K49" s="96"/>
      <c r="L49" s="96"/>
      <c r="M49" s="96"/>
      <c r="N49" s="96"/>
      <c r="O49" s="97"/>
    </row>
    <row r="50" spans="1:15" s="7" customFormat="1" x14ac:dyDescent="0.2">
      <c r="A50" s="101"/>
      <c r="C50" s="94"/>
      <c r="D50" s="95"/>
      <c r="E50" s="96"/>
      <c r="F50" s="96"/>
      <c r="G50" s="96"/>
      <c r="H50" s="96"/>
      <c r="I50" s="96"/>
      <c r="J50" s="96"/>
      <c r="K50" s="96"/>
      <c r="L50" s="96"/>
      <c r="M50" s="96"/>
      <c r="N50" s="96"/>
      <c r="O50" s="97"/>
    </row>
    <row r="51" spans="1:15" s="7" customFormat="1" x14ac:dyDescent="0.2">
      <c r="A51" s="101"/>
      <c r="C51" s="59">
        <v>7</v>
      </c>
      <c r="D51" s="59" t="s">
        <v>188</v>
      </c>
      <c r="E51" s="91">
        <v>0</v>
      </c>
      <c r="F51" s="91">
        <v>1000000000000</v>
      </c>
      <c r="G51" s="91">
        <v>0.05</v>
      </c>
      <c r="H51" s="91">
        <v>10000</v>
      </c>
      <c r="I51" s="91"/>
      <c r="J51" s="91">
        <v>-10000</v>
      </c>
      <c r="K51" s="91">
        <v>10000</v>
      </c>
      <c r="L51" s="91" t="str">
        <f>KB_Lunge!O39</f>
        <v>n.d.</v>
      </c>
      <c r="M51" s="93">
        <f>IF(KB_Lunge!P37=Berechnung1!$G$5,1,IF(KB_Lunge!P37=Berechnung1!$F$5,1,IF(KB_Lunge!P37=Berechnung1!$E$5,2,IF(KB_Lunge!P37=Berechnung1!$D$5,3,IF(KB_Lunge!P37=Berechnung1!$C$5,4,"")))))</f>
        <v>1</v>
      </c>
      <c r="N51" s="93">
        <f>IF(M51&gt;1,M51+3,M51)</f>
        <v>1</v>
      </c>
      <c r="O51" s="93">
        <f>IF(KB_Lunge!R37="",0,1)</f>
        <v>0</v>
      </c>
    </row>
    <row r="52" spans="1:15" s="7" customFormat="1" x14ac:dyDescent="0.2">
      <c r="A52" s="101"/>
      <c r="C52" s="94"/>
      <c r="D52" s="95"/>
      <c r="E52" s="96"/>
      <c r="F52" s="96"/>
      <c r="G52" s="96"/>
      <c r="H52" s="96"/>
      <c r="I52" s="96"/>
      <c r="J52" s="96"/>
      <c r="K52" s="96"/>
      <c r="L52" s="96"/>
      <c r="M52" s="96"/>
      <c r="N52" s="96"/>
      <c r="O52" s="97"/>
    </row>
    <row r="53" spans="1:15" s="7" customFormat="1" x14ac:dyDescent="0.2">
      <c r="A53" s="101"/>
      <c r="C53" s="94"/>
      <c r="D53" s="95"/>
      <c r="E53" s="96"/>
      <c r="F53" s="96"/>
      <c r="G53" s="96"/>
      <c r="H53" s="96"/>
      <c r="I53" s="96"/>
      <c r="J53" s="96"/>
      <c r="K53" s="96"/>
      <c r="L53" s="96"/>
      <c r="M53" s="96"/>
      <c r="N53" s="96"/>
      <c r="O53" s="97"/>
    </row>
    <row r="54" spans="1:15" s="7" customFormat="1" x14ac:dyDescent="0.2">
      <c r="A54" s="101"/>
      <c r="C54" s="59">
        <v>8</v>
      </c>
      <c r="D54" s="59" t="s">
        <v>188</v>
      </c>
      <c r="E54" s="91">
        <v>0</v>
      </c>
      <c r="F54" s="91">
        <v>1000000000000</v>
      </c>
      <c r="G54" s="92">
        <v>500</v>
      </c>
      <c r="H54" s="91">
        <v>1000000000000000</v>
      </c>
      <c r="I54" s="91"/>
      <c r="J54" s="91">
        <v>-10000</v>
      </c>
      <c r="K54" s="91">
        <v>1000000000000</v>
      </c>
      <c r="L54" s="93">
        <f>SUM(Expertise_Lunge!M14:M16)</f>
        <v>0</v>
      </c>
      <c r="M54" s="93">
        <f>IF(KB_Lunge!P40=Berechnung1!$G$5,1,IF(KB_Lunge!P40=Berechnung1!$F$5,1,IF(KB_Lunge!P40=Berechnung1!$E$5,2,IF(KB_Lunge!P40=Berechnung1!$D$5,3,IF(KB_Lunge!P40=Berechnung1!$C$5,4,"")))))</f>
        <v>1</v>
      </c>
      <c r="N54" s="93">
        <f>IF(M54&gt;1,M54+3,M54)</f>
        <v>1</v>
      </c>
      <c r="O54" s="93">
        <f>IF(KB_Lunge!R40="",0,1)</f>
        <v>0</v>
      </c>
    </row>
    <row r="55" spans="1:15" s="7" customFormat="1" x14ac:dyDescent="0.2">
      <c r="A55" s="101"/>
      <c r="C55" s="94"/>
      <c r="D55" s="95"/>
      <c r="E55" s="96"/>
      <c r="F55" s="96"/>
      <c r="G55" s="96"/>
      <c r="H55" s="96"/>
      <c r="I55" s="96"/>
      <c r="J55" s="96"/>
      <c r="K55" s="96"/>
      <c r="L55" s="96"/>
      <c r="M55" s="96"/>
      <c r="N55" s="96"/>
      <c r="O55" s="97"/>
    </row>
    <row r="56" spans="1:15" s="7" customFormat="1" x14ac:dyDescent="0.2">
      <c r="A56" s="101"/>
      <c r="C56" s="94"/>
      <c r="D56" s="95"/>
      <c r="E56" s="96"/>
      <c r="F56" s="96"/>
      <c r="G56" s="96"/>
      <c r="H56" s="96"/>
      <c r="I56" s="96"/>
      <c r="J56" s="96"/>
      <c r="K56" s="96"/>
      <c r="L56" s="96"/>
      <c r="M56" s="96"/>
      <c r="N56" s="96"/>
      <c r="O56" s="97"/>
    </row>
    <row r="57" spans="1:15" s="7" customFormat="1" x14ac:dyDescent="0.2">
      <c r="A57" s="101"/>
      <c r="C57" s="59">
        <v>9</v>
      </c>
      <c r="D57" s="59" t="s">
        <v>188</v>
      </c>
      <c r="E57" s="91">
        <v>0</v>
      </c>
      <c r="F57" s="91">
        <v>1000000000000</v>
      </c>
      <c r="G57" s="92">
        <v>10</v>
      </c>
      <c r="H57" s="91">
        <v>1000000000000000</v>
      </c>
      <c r="I57" s="91"/>
      <c r="J57" s="91">
        <v>-10000</v>
      </c>
      <c r="K57" s="91">
        <v>1000000000000</v>
      </c>
      <c r="L57" s="93">
        <f>SUM(Expertise_Lunge!M17:M19)</f>
        <v>0</v>
      </c>
      <c r="M57" s="93">
        <f>IF(KB_Lunge!P43=Berechnung1!$G$5,1,IF(KB_Lunge!P43=Berechnung1!$F$5,1,IF(KB_Lunge!P43=Berechnung1!$E$5,2,IF(KB_Lunge!P43=Berechnung1!$D$5,3,IF(KB_Lunge!P43=Berechnung1!$C$5,4,"")))))</f>
        <v>1</v>
      </c>
      <c r="N57" s="93">
        <f>IF(M57&gt;1,M57+3,M57)</f>
        <v>1</v>
      </c>
      <c r="O57" s="93">
        <f>IF(KB_Lunge!R43="",0,1)</f>
        <v>0</v>
      </c>
    </row>
    <row r="58" spans="1:15" s="7" customFormat="1" x14ac:dyDescent="0.2">
      <c r="A58" s="101"/>
      <c r="C58" s="94"/>
      <c r="D58" s="95"/>
      <c r="E58" s="96"/>
      <c r="F58" s="96"/>
      <c r="G58" s="96"/>
      <c r="H58" s="96"/>
      <c r="I58" s="96"/>
      <c r="J58" s="96"/>
      <c r="K58" s="96"/>
      <c r="L58" s="96"/>
      <c r="M58" s="96"/>
      <c r="N58" s="96"/>
      <c r="O58" s="97"/>
    </row>
    <row r="59" spans="1:15" s="7" customFormat="1" x14ac:dyDescent="0.2">
      <c r="A59" s="101"/>
      <c r="C59" s="94"/>
      <c r="D59" s="95"/>
      <c r="E59" s="96"/>
      <c r="F59" s="96"/>
      <c r="G59" s="96"/>
      <c r="H59" s="96"/>
      <c r="I59" s="96"/>
      <c r="J59" s="96"/>
      <c r="K59" s="96"/>
      <c r="L59" s="96"/>
      <c r="M59" s="96"/>
      <c r="N59" s="96"/>
      <c r="O59" s="97"/>
    </row>
    <row r="60" spans="1:15" s="7" customFormat="1" x14ac:dyDescent="0.2">
      <c r="A60" s="101"/>
      <c r="B60" s="7" t="s">
        <v>1028</v>
      </c>
      <c r="C60" s="59">
        <v>10</v>
      </c>
      <c r="D60" s="59" t="s">
        <v>188</v>
      </c>
      <c r="E60" s="91">
        <v>0</v>
      </c>
      <c r="F60" s="91">
        <v>1000000000000</v>
      </c>
      <c r="G60" s="91">
        <v>-10000</v>
      </c>
      <c r="H60" s="91">
        <v>10000</v>
      </c>
      <c r="I60" s="91"/>
      <c r="J60" s="91">
        <v>-10000</v>
      </c>
      <c r="K60" s="91">
        <v>1000000000000</v>
      </c>
      <c r="L60" s="93" t="str">
        <f>KB_Lunge!O48</f>
        <v>n.d.</v>
      </c>
      <c r="M60" s="476">
        <f>IF(KB_Lunge!P46=Berechnung1!$G$17,1,IF(KB_Lunge!P46=Berechnung1!$F$17,1,IF(KB_Lunge!P46=Berechnung1!$E$17,2,IF(KB_Lunge!P46=Berechnung1!$D$17,3,IF(KB_Lunge!P46=Berechnung1!$C$17,4,"")))))</f>
        <v>1</v>
      </c>
      <c r="N60" s="476">
        <f>IF(M60&gt;1,M60+3,M60)</f>
        <v>1</v>
      </c>
      <c r="O60" s="476">
        <f>IF(KB_Lunge!R46="",0,1)</f>
        <v>0</v>
      </c>
    </row>
    <row r="61" spans="1:15" s="7" customFormat="1" x14ac:dyDescent="0.2">
      <c r="A61" s="101"/>
      <c r="C61" s="94"/>
      <c r="D61" s="95"/>
      <c r="E61" s="96"/>
      <c r="F61" s="96"/>
      <c r="G61" s="96"/>
      <c r="H61" s="96"/>
      <c r="I61" s="96"/>
      <c r="J61" s="96"/>
      <c r="K61" s="96"/>
      <c r="L61" s="96"/>
      <c r="M61" s="96"/>
      <c r="N61" s="96"/>
      <c r="O61" s="97"/>
    </row>
    <row r="62" spans="1:15" s="7" customFormat="1" x14ac:dyDescent="0.2">
      <c r="A62" s="101"/>
      <c r="C62" s="94"/>
      <c r="D62" s="95"/>
      <c r="E62" s="96"/>
      <c r="F62" s="96"/>
      <c r="G62" s="96"/>
      <c r="H62" s="96"/>
      <c r="I62" s="96"/>
      <c r="J62" s="96"/>
      <c r="K62" s="96"/>
      <c r="L62" s="96"/>
      <c r="M62" s="96"/>
      <c r="N62" s="96"/>
      <c r="O62" s="97"/>
    </row>
    <row r="63" spans="1:15" s="7" customFormat="1" x14ac:dyDescent="0.2">
      <c r="A63" s="101"/>
      <c r="C63" s="59" t="s">
        <v>963</v>
      </c>
      <c r="D63" s="59" t="s">
        <v>188</v>
      </c>
      <c r="E63" s="91">
        <v>0</v>
      </c>
      <c r="F63" s="91">
        <v>1000000000000</v>
      </c>
      <c r="G63" s="91">
        <v>-10000</v>
      </c>
      <c r="H63" s="91">
        <v>1000000000000000</v>
      </c>
      <c r="I63" s="91"/>
      <c r="J63" s="91">
        <v>-10000</v>
      </c>
      <c r="K63" s="91">
        <v>1000000000000</v>
      </c>
      <c r="L63" s="93">
        <f>KB_Lunge!O49</f>
        <v>0</v>
      </c>
      <c r="M63" s="93">
        <f>IF(KB_Lunge!P49=Berechnung1!$G$5,1,IF(KB_Lunge!P49=Berechnung1!$F$5,1,IF(KB_Lunge!P49=Berechnung1!$E$5,2,IF(KB_Lunge!P49=Berechnung1!$D$5,3,IF(KB_Lunge!P49=Berechnung1!$C$5,4,"")))))</f>
        <v>1</v>
      </c>
      <c r="N63" s="93">
        <f>IF(M63&gt;1,M63+3,M63)</f>
        <v>1</v>
      </c>
      <c r="O63" s="93">
        <f>IF(KB_Lunge!R49="",0,1)</f>
        <v>0</v>
      </c>
    </row>
    <row r="64" spans="1:15" s="7" customFormat="1" x14ac:dyDescent="0.2">
      <c r="A64" s="101"/>
      <c r="C64" s="94"/>
      <c r="D64" s="95"/>
      <c r="E64" s="96"/>
      <c r="F64" s="96"/>
      <c r="G64" s="96"/>
      <c r="H64" s="96"/>
      <c r="I64" s="96"/>
      <c r="J64" s="96"/>
      <c r="K64" s="96"/>
      <c r="L64" s="96"/>
      <c r="M64" s="96"/>
      <c r="N64" s="96"/>
      <c r="O64" s="97"/>
    </row>
    <row r="65" spans="1:15" s="7" customFormat="1" x14ac:dyDescent="0.2">
      <c r="A65" s="101"/>
      <c r="C65" s="94"/>
      <c r="D65" s="95"/>
      <c r="E65" s="96"/>
      <c r="F65" s="96"/>
      <c r="G65" s="96"/>
      <c r="H65" s="96"/>
      <c r="I65" s="96"/>
      <c r="J65" s="96"/>
      <c r="K65" s="96"/>
      <c r="L65" s="96"/>
      <c r="M65" s="96"/>
      <c r="N65" s="96"/>
      <c r="O65" s="97"/>
    </row>
    <row r="66" spans="1:15" s="7" customFormat="1" x14ac:dyDescent="0.2">
      <c r="A66" s="101"/>
      <c r="B66" s="101"/>
      <c r="C66" s="59" t="s">
        <v>964</v>
      </c>
      <c r="D66" s="59" t="s">
        <v>188</v>
      </c>
      <c r="E66" s="91">
        <v>0</v>
      </c>
      <c r="F66" s="91">
        <v>1000000000000</v>
      </c>
      <c r="G66" s="92">
        <v>75</v>
      </c>
      <c r="H66" s="91">
        <v>1000000000000000</v>
      </c>
      <c r="I66" s="91"/>
      <c r="J66" s="91">
        <v>-10000</v>
      </c>
      <c r="K66" s="91">
        <v>1000000000000</v>
      </c>
      <c r="L66" s="93">
        <f>KB_Lunge!O52</f>
        <v>0</v>
      </c>
      <c r="M66" s="93">
        <f>IF(KB_Lunge!P52=Berechnung1!$G$5,1,IF(KB_Lunge!P52=Berechnung1!$F$5,1,IF(KB_Lunge!P52=Berechnung1!$E$5,2,IF(KB_Lunge!P52=Berechnung1!$D$5,3,IF(KB_Lunge!P52=Berechnung1!$C$5,4,"")))))</f>
        <v>1</v>
      </c>
      <c r="N66" s="93">
        <f>IF(M66&gt;1,M66+3,M66)</f>
        <v>1</v>
      </c>
      <c r="O66" s="93">
        <f>IF(KB_Lunge!R52="",0,1)</f>
        <v>0</v>
      </c>
    </row>
    <row r="67" spans="1:15" s="7" customFormat="1" x14ac:dyDescent="0.2">
      <c r="A67" s="101"/>
      <c r="C67" s="95"/>
      <c r="D67" s="95"/>
      <c r="E67" s="351"/>
      <c r="F67" s="351"/>
      <c r="G67" s="352"/>
      <c r="H67" s="351"/>
      <c r="I67" s="351"/>
      <c r="J67" s="351"/>
      <c r="K67" s="351"/>
      <c r="L67" s="353"/>
      <c r="M67" s="353"/>
      <c r="N67" s="353"/>
      <c r="O67" s="353"/>
    </row>
    <row r="68" spans="1:15" s="7" customFormat="1" x14ac:dyDescent="0.2">
      <c r="A68" s="101"/>
      <c r="C68" s="95"/>
      <c r="D68" s="95"/>
      <c r="E68" s="351"/>
      <c r="F68" s="351"/>
      <c r="G68" s="352"/>
      <c r="H68" s="351"/>
      <c r="I68" s="351"/>
      <c r="J68" s="351"/>
      <c r="K68" s="351"/>
      <c r="L68" s="353"/>
      <c r="M68" s="353"/>
      <c r="N68" s="353"/>
      <c r="O68" s="353"/>
    </row>
    <row r="69" spans="1:15" s="7" customFormat="1" x14ac:dyDescent="0.2">
      <c r="A69" s="101"/>
      <c r="C69" s="59">
        <v>12</v>
      </c>
      <c r="D69" s="59" t="s">
        <v>188</v>
      </c>
      <c r="E69" s="91">
        <v>0</v>
      </c>
      <c r="F69" s="91">
        <v>1</v>
      </c>
      <c r="G69" s="91">
        <v>-10000</v>
      </c>
      <c r="H69" s="91">
        <v>1000000000000000</v>
      </c>
      <c r="I69" s="91"/>
      <c r="J69" s="91">
        <v>0.5</v>
      </c>
      <c r="K69" s="91">
        <v>1000000000000</v>
      </c>
      <c r="L69" s="91" t="str">
        <f>KB_Lunge!O57</f>
        <v>n.d.</v>
      </c>
      <c r="M69" s="93">
        <f>IF(KB_Lunge!P55=Berechnung1!$G$5,1,IF(KB_Lunge!P55=Berechnung1!$F$5,1,IF(KB_Lunge!P55=Berechnung1!$E$5,2,IF(KB_Lunge!P55=Berechnung1!$D$5,3,IF(KB_Lunge!P55=Berechnung1!$C$5,4,"")))))</f>
        <v>1</v>
      </c>
      <c r="N69" s="93">
        <f>IF(M69&gt;1,M69+3,M69)</f>
        <v>1</v>
      </c>
      <c r="O69" s="93">
        <f>IF(KB_Lunge!R55="",0,1)</f>
        <v>0</v>
      </c>
    </row>
    <row r="70" spans="1:15" s="7" customFormat="1" x14ac:dyDescent="0.2">
      <c r="A70" s="101"/>
      <c r="C70" s="94"/>
      <c r="D70" s="95"/>
      <c r="E70" s="96"/>
      <c r="F70" s="96"/>
      <c r="G70" s="96"/>
      <c r="H70" s="96"/>
      <c r="I70" s="96"/>
      <c r="J70" s="96"/>
      <c r="K70" s="96"/>
      <c r="L70" s="96"/>
      <c r="M70" s="96"/>
      <c r="N70" s="96"/>
      <c r="O70" s="97"/>
    </row>
    <row r="71" spans="1:15" s="7" customFormat="1" x14ac:dyDescent="0.2">
      <c r="A71" s="101"/>
      <c r="C71" s="94"/>
      <c r="D71" s="95"/>
      <c r="E71" s="96"/>
      <c r="F71" s="96"/>
      <c r="G71" s="96"/>
      <c r="H71" s="96"/>
      <c r="I71" s="96"/>
      <c r="J71" s="96"/>
      <c r="K71" s="96"/>
      <c r="L71" s="96"/>
      <c r="M71" s="96"/>
      <c r="N71" s="96"/>
      <c r="O71" s="97"/>
    </row>
    <row r="72" spans="1:15" s="7" customFormat="1" x14ac:dyDescent="0.2">
      <c r="A72" s="101"/>
      <c r="C72" s="59">
        <v>13</v>
      </c>
      <c r="D72" s="59" t="s">
        <v>188</v>
      </c>
      <c r="E72" s="91">
        <v>0</v>
      </c>
      <c r="F72" s="91">
        <v>1</v>
      </c>
      <c r="G72" s="91">
        <v>-10000</v>
      </c>
      <c r="H72" s="91">
        <v>10000</v>
      </c>
      <c r="I72" s="91"/>
      <c r="J72" s="91">
        <v>-10000</v>
      </c>
      <c r="K72" s="91">
        <v>10000</v>
      </c>
      <c r="L72" s="91" t="str">
        <f>KB_Lunge!O60</f>
        <v>n.d.</v>
      </c>
      <c r="M72" s="93">
        <f>IF(KB_Lunge!P58=Berechnung1!$G$5,1,IF(KB_Lunge!P58=Berechnung1!$F$5,1,IF(KB_Lunge!P58=Berechnung1!$E$5,2,IF(KB_Lunge!P58=Berechnung1!$D$5,3,IF(KB_Lunge!P58=Berechnung1!$C$5,4,"")))))</f>
        <v>1</v>
      </c>
      <c r="N72" s="93">
        <f>IF(M72&gt;1,M72+3,M72)</f>
        <v>1</v>
      </c>
      <c r="O72" s="93">
        <f>IF(KB_Lunge!R58="",0,1)</f>
        <v>0</v>
      </c>
    </row>
    <row r="73" spans="1:15" s="7" customFormat="1" x14ac:dyDescent="0.2">
      <c r="A73" s="101"/>
      <c r="C73" s="94"/>
      <c r="D73" s="95"/>
      <c r="E73" s="96"/>
      <c r="F73" s="96"/>
      <c r="G73" s="96"/>
      <c r="H73" s="96"/>
      <c r="I73" s="96"/>
      <c r="J73" s="96"/>
      <c r="K73" s="96"/>
      <c r="L73" s="96"/>
      <c r="M73" s="96"/>
      <c r="N73" s="96"/>
      <c r="O73" s="97"/>
    </row>
    <row r="74" spans="1:15" s="7" customFormat="1" x14ac:dyDescent="0.2">
      <c r="A74" s="101"/>
      <c r="C74" s="94"/>
      <c r="D74" s="95"/>
      <c r="E74" s="96"/>
      <c r="F74" s="96"/>
      <c r="G74" s="96"/>
      <c r="H74" s="96"/>
      <c r="I74" s="96"/>
      <c r="J74" s="96"/>
      <c r="K74" s="96"/>
      <c r="L74" s="96"/>
      <c r="M74" s="96"/>
      <c r="N74" s="96"/>
      <c r="O74" s="97"/>
    </row>
    <row r="75" spans="1:15" s="7" customFormat="1" x14ac:dyDescent="0.2">
      <c r="A75" s="101"/>
      <c r="C75" s="59">
        <v>14</v>
      </c>
      <c r="D75" s="59" t="s">
        <v>188</v>
      </c>
      <c r="E75" s="91">
        <v>0</v>
      </c>
      <c r="F75" s="91">
        <v>1</v>
      </c>
      <c r="G75" s="91">
        <v>-10000</v>
      </c>
      <c r="H75" s="91">
        <v>0.05</v>
      </c>
      <c r="I75" s="91"/>
      <c r="J75" s="108">
        <v>1E-4</v>
      </c>
      <c r="K75" s="91">
        <v>10000</v>
      </c>
      <c r="L75" s="91" t="str">
        <f>KB_Lunge!O63</f>
        <v>n.d.</v>
      </c>
      <c r="M75" s="93">
        <f>IF(KB_Lunge!P61=Berechnung1!$G$5,1,IF(KB_Lunge!P61=Berechnung1!$F$5,1,IF(KB_Lunge!P61=Berechnung1!$E$5,2,IF(KB_Lunge!P61=Berechnung1!$D$5,3,IF(KB_Lunge!P61=Berechnung1!$C$5,4,"")))))</f>
        <v>1</v>
      </c>
      <c r="N75" s="93">
        <f>IF(M75&gt;1,M75+3,M75)</f>
        <v>1</v>
      </c>
      <c r="O75" s="93">
        <f>IF(KB_Lunge!R61="",0,1)</f>
        <v>0</v>
      </c>
    </row>
    <row r="76" spans="1:15" s="7" customFormat="1" x14ac:dyDescent="0.2">
      <c r="A76" s="101"/>
      <c r="C76" s="94"/>
      <c r="D76" s="95"/>
      <c r="E76" s="96"/>
      <c r="F76" s="96"/>
      <c r="G76" s="96"/>
      <c r="H76" s="96"/>
      <c r="I76" s="96"/>
      <c r="J76" s="109"/>
      <c r="K76" s="96"/>
      <c r="L76" s="96"/>
      <c r="M76" s="96"/>
      <c r="N76" s="96"/>
      <c r="O76" s="97"/>
    </row>
    <row r="77" spans="1:15" s="7" customFormat="1" x14ac:dyDescent="0.2">
      <c r="A77" s="101"/>
      <c r="C77" s="94"/>
      <c r="D77" s="95"/>
      <c r="E77" s="96"/>
      <c r="F77" s="96"/>
      <c r="G77" s="96"/>
      <c r="H77" s="96"/>
      <c r="I77" s="96"/>
      <c r="J77" s="109"/>
      <c r="K77" s="96"/>
      <c r="L77" s="96"/>
      <c r="M77" s="96"/>
      <c r="N77" s="96"/>
      <c r="O77" s="97"/>
    </row>
    <row r="78" spans="1:15" s="7" customFormat="1" x14ac:dyDescent="0.2">
      <c r="A78" s="101"/>
      <c r="C78" s="59">
        <v>15</v>
      </c>
      <c r="D78" s="59" t="s">
        <v>188</v>
      </c>
      <c r="E78" s="91">
        <v>0</v>
      </c>
      <c r="F78" s="91">
        <v>1</v>
      </c>
      <c r="G78" s="91">
        <v>-10000</v>
      </c>
      <c r="H78" s="91">
        <v>0.05</v>
      </c>
      <c r="I78" s="91"/>
      <c r="J78" s="108">
        <v>1E-4</v>
      </c>
      <c r="K78" s="91">
        <v>10000</v>
      </c>
      <c r="L78" s="91" t="str">
        <f>KB_Lunge!O66</f>
        <v>n.d.</v>
      </c>
      <c r="M78" s="93">
        <f>IF(KB_Lunge!P64=Berechnung1!$G$5,1,IF(KB_Lunge!P64=Berechnung1!$F$5,1,IF(KB_Lunge!P64=Berechnung1!$E$5,2,IF(KB_Lunge!P64=Berechnung1!$D$5,3,IF(KB_Lunge!P64=Berechnung1!$C$5,4,"")))))</f>
        <v>1</v>
      </c>
      <c r="N78" s="93">
        <f>IF(M78&gt;1,M78+3,M78)</f>
        <v>1</v>
      </c>
      <c r="O78" s="93">
        <f>IF(KB_Lunge!R64="",0,1)</f>
        <v>0</v>
      </c>
    </row>
    <row r="79" spans="1:15" s="7" customFormat="1" x14ac:dyDescent="0.2">
      <c r="A79" s="101"/>
      <c r="C79" s="94"/>
      <c r="D79" s="95"/>
      <c r="E79" s="96"/>
      <c r="F79" s="96"/>
      <c r="G79" s="96"/>
      <c r="H79" s="96"/>
      <c r="I79" s="96"/>
      <c r="J79" s="109"/>
      <c r="K79" s="96"/>
      <c r="L79" s="96"/>
      <c r="M79" s="96"/>
      <c r="N79" s="96"/>
      <c r="O79" s="97"/>
    </row>
    <row r="80" spans="1:15" s="7" customFormat="1" x14ac:dyDescent="0.2">
      <c r="A80" s="101"/>
      <c r="C80" s="94"/>
      <c r="D80" s="95"/>
      <c r="E80" s="96"/>
      <c r="F80" s="96"/>
      <c r="G80" s="96"/>
      <c r="H80" s="96"/>
      <c r="I80" s="96"/>
      <c r="J80" s="109"/>
      <c r="K80" s="96"/>
      <c r="L80" s="96"/>
      <c r="M80" s="96"/>
      <c r="N80" s="96"/>
      <c r="O80" s="97"/>
    </row>
    <row r="81" spans="1:15" s="7" customFormat="1" x14ac:dyDescent="0.2">
      <c r="A81" s="101"/>
      <c r="C81" s="59">
        <v>16</v>
      </c>
      <c r="D81" s="59" t="s">
        <v>188</v>
      </c>
      <c r="E81" s="91">
        <v>0</v>
      </c>
      <c r="F81" s="91">
        <v>1</v>
      </c>
      <c r="G81" s="91">
        <v>0.95</v>
      </c>
      <c r="H81" s="91">
        <v>10000</v>
      </c>
      <c r="I81" s="91"/>
      <c r="J81" s="91">
        <v>-10000</v>
      </c>
      <c r="K81" s="91">
        <v>10000</v>
      </c>
      <c r="L81" s="91" t="str">
        <f>KB_Lunge!O69</f>
        <v>n.d.</v>
      </c>
      <c r="M81" s="93">
        <f>IF(KB_Lunge!P67=Berechnung1!$G$5,1,IF(KB_Lunge!P67=Berechnung1!$F$5,1,IF(KB_Lunge!P67=Berechnung1!$E$5,2,IF(KB_Lunge!P67=Berechnung1!$D$5,3,IF(KB_Lunge!P67=Berechnung1!$C$5,4,"")))))</f>
        <v>1</v>
      </c>
      <c r="N81" s="93">
        <f>IF(M81&gt;1,M81+3,M81)</f>
        <v>1</v>
      </c>
      <c r="O81" s="93">
        <f>IF(KB_Lunge!R67="",0,1)</f>
        <v>0</v>
      </c>
    </row>
    <row r="82" spans="1:15" s="7" customFormat="1" x14ac:dyDescent="0.2">
      <c r="A82" s="101"/>
      <c r="C82" s="31"/>
      <c r="D82" s="95"/>
      <c r="E82" s="96"/>
      <c r="F82" s="96"/>
      <c r="G82" s="96"/>
      <c r="H82" s="96"/>
      <c r="I82" s="96"/>
      <c r="J82" s="96"/>
      <c r="K82" s="96"/>
      <c r="L82" s="96"/>
      <c r="M82" s="96"/>
      <c r="N82" s="96"/>
      <c r="O82" s="97"/>
    </row>
    <row r="83" spans="1:15" s="7" customFormat="1" x14ac:dyDescent="0.2">
      <c r="A83" s="101"/>
      <c r="C83" s="94"/>
      <c r="D83" s="95"/>
      <c r="E83" s="96"/>
      <c r="F83" s="96"/>
      <c r="G83" s="96"/>
      <c r="H83" s="96"/>
      <c r="I83" s="96"/>
      <c r="J83" s="96"/>
      <c r="K83" s="96"/>
      <c r="L83" s="96"/>
      <c r="M83" s="96"/>
      <c r="N83" s="96"/>
      <c r="O83" s="97"/>
    </row>
    <row r="84" spans="1:15" s="7" customFormat="1" x14ac:dyDescent="0.2">
      <c r="A84" s="101"/>
      <c r="C84" s="59">
        <v>17</v>
      </c>
      <c r="D84" s="59" t="s">
        <v>188</v>
      </c>
      <c r="E84" s="91">
        <v>0</v>
      </c>
      <c r="F84" s="91">
        <v>1</v>
      </c>
      <c r="G84" s="91">
        <v>0.85</v>
      </c>
      <c r="H84" s="91">
        <v>10000</v>
      </c>
      <c r="I84" s="91"/>
      <c r="J84" s="91">
        <v>-10000</v>
      </c>
      <c r="K84" s="91">
        <v>10000</v>
      </c>
      <c r="L84" s="91" t="str">
        <f>KB_Lunge!O72</f>
        <v>n.d.</v>
      </c>
      <c r="M84" s="93">
        <f>IF(KB_Lunge!P70=Berechnung1!$G$5,1,IF(KB_Lunge!P70=Berechnung1!$F$5,1,IF(KB_Lunge!P70=Berechnung1!$E$5,2,IF(KB_Lunge!P70=Berechnung1!$D$5,3,IF(KB_Lunge!P70=Berechnung1!$C$5,4,"")))))</f>
        <v>1</v>
      </c>
      <c r="N84" s="93">
        <f>IF(M84&gt;1,M84+3,M84)</f>
        <v>1</v>
      </c>
      <c r="O84" s="93">
        <f>IF(KB_Lunge!R70="",0,1)</f>
        <v>0</v>
      </c>
    </row>
    <row r="85" spans="1:15" s="7" customFormat="1" x14ac:dyDescent="0.2">
      <c r="A85" s="101"/>
      <c r="C85" s="94"/>
      <c r="D85" s="95"/>
      <c r="E85" s="96"/>
      <c r="F85" s="96"/>
      <c r="G85" s="96"/>
      <c r="H85" s="96"/>
      <c r="I85" s="96"/>
      <c r="J85" s="96"/>
      <c r="K85" s="96"/>
      <c r="L85" s="96"/>
      <c r="M85" s="96"/>
      <c r="N85" s="96"/>
      <c r="O85" s="97"/>
    </row>
    <row r="86" spans="1:15" s="7" customFormat="1" x14ac:dyDescent="0.2">
      <c r="A86" s="101"/>
      <c r="C86" s="94"/>
      <c r="D86" s="95"/>
      <c r="E86" s="96"/>
      <c r="F86" s="96"/>
      <c r="G86" s="96"/>
      <c r="H86" s="96"/>
      <c r="I86" s="96"/>
      <c r="J86" s="96"/>
      <c r="K86" s="96"/>
      <c r="L86" s="96"/>
      <c r="M86" s="96"/>
      <c r="N86" s="96"/>
      <c r="O86" s="97"/>
    </row>
    <row r="87" spans="1:15" s="7" customFormat="1" x14ac:dyDescent="0.2">
      <c r="A87" s="101"/>
      <c r="C87" s="59">
        <v>18</v>
      </c>
      <c r="D87" s="59" t="s">
        <v>188</v>
      </c>
      <c r="E87" s="91">
        <v>0</v>
      </c>
      <c r="F87" s="91">
        <v>1000000000000</v>
      </c>
      <c r="G87" s="92">
        <v>50</v>
      </c>
      <c r="H87" s="91">
        <v>1000000000000000</v>
      </c>
      <c r="I87" s="91"/>
      <c r="J87" s="91">
        <v>-10000</v>
      </c>
      <c r="K87" s="91">
        <v>1000000000000</v>
      </c>
      <c r="L87" s="93">
        <f>SUM(Expertise_Lunge!M20:M23)</f>
        <v>0</v>
      </c>
      <c r="M87" s="93">
        <f>IF(KB_Lunge!P73=Berechnung1!$G$5,1,IF(KB_Lunge!P73=Berechnung1!$F$5,1,IF(KB_Lunge!P73=Berechnung1!$E$5,2,IF(KB_Lunge!P73=Berechnung1!$D$5,3,IF(KB_Lunge!P73=Berechnung1!$C$5,4,"")))))</f>
        <v>1</v>
      </c>
      <c r="N87" s="93">
        <f>IF(M87&gt;1,M87+3,M87)</f>
        <v>1</v>
      </c>
      <c r="O87" s="93">
        <f>IF(KB_Lunge!R73="",0,1)</f>
        <v>0</v>
      </c>
    </row>
    <row r="88" spans="1:15" s="7" customFormat="1" x14ac:dyDescent="0.2">
      <c r="A88" s="101"/>
      <c r="C88" s="94"/>
      <c r="D88" s="95"/>
      <c r="E88" s="96"/>
      <c r="F88" s="96"/>
      <c r="G88" s="96"/>
      <c r="H88" s="96"/>
      <c r="I88" s="96"/>
      <c r="J88" s="96"/>
      <c r="K88" s="96"/>
      <c r="L88" s="96"/>
      <c r="M88" s="96"/>
      <c r="N88" s="96"/>
      <c r="O88" s="97"/>
    </row>
    <row r="89" spans="1:15" s="7" customFormat="1" x14ac:dyDescent="0.2">
      <c r="A89" s="101"/>
      <c r="C89" s="94"/>
      <c r="D89" s="95"/>
      <c r="E89" s="96"/>
      <c r="F89" s="96"/>
      <c r="G89" s="96"/>
      <c r="H89" s="96"/>
      <c r="I89" s="96"/>
      <c r="J89" s="96"/>
      <c r="K89" s="96"/>
      <c r="L89" s="96"/>
      <c r="M89" s="96"/>
      <c r="N89" s="96"/>
      <c r="O89" s="97"/>
    </row>
    <row r="90" spans="1:15" s="7" customFormat="1" x14ac:dyDescent="0.2">
      <c r="A90" s="101"/>
      <c r="B90" s="7" t="s">
        <v>1028</v>
      </c>
      <c r="C90" s="59">
        <v>19</v>
      </c>
      <c r="D90" s="59" t="s">
        <v>188</v>
      </c>
      <c r="E90" s="91">
        <v>0</v>
      </c>
      <c r="F90" s="91">
        <v>1000000000000</v>
      </c>
      <c r="G90" s="91">
        <v>-10000</v>
      </c>
      <c r="H90" s="91">
        <v>1000000000000000</v>
      </c>
      <c r="I90" s="91"/>
      <c r="J90" s="91">
        <v>-10000</v>
      </c>
      <c r="K90" s="91">
        <v>1000000000000</v>
      </c>
      <c r="L90" s="93" t="str">
        <f>KB_Lunge!O78</f>
        <v>n.d.</v>
      </c>
      <c r="M90" s="476">
        <f>IF(KB_Lunge!P76=Berechnung1!$G$17,1,IF(KB_Lunge!P76=Berechnung1!$F$17,1,IF(KB_Lunge!P76=Berechnung1!$E$17,2,IF(KB_Lunge!P76=Berechnung1!$D$17,3,IF(KB_Lunge!P76=Berechnung1!$C$17,4,"")))))</f>
        <v>1</v>
      </c>
      <c r="N90" s="476">
        <f>IF(M90&gt;1,M90+3,M90)</f>
        <v>1</v>
      </c>
      <c r="O90" s="476">
        <f>IF(KB_Lunge!R76="",0,1)</f>
        <v>0</v>
      </c>
    </row>
    <row r="91" spans="1:15" s="7" customFormat="1" x14ac:dyDescent="0.2">
      <c r="A91" s="101"/>
      <c r="C91" s="94"/>
      <c r="D91" s="95"/>
      <c r="E91" s="96"/>
      <c r="F91" s="96"/>
      <c r="G91" s="96"/>
      <c r="H91" s="96"/>
      <c r="I91" s="96"/>
      <c r="J91" s="96"/>
      <c r="K91" s="96"/>
      <c r="L91" s="96"/>
      <c r="M91" s="96"/>
      <c r="N91" s="96"/>
      <c r="O91" s="97"/>
    </row>
    <row r="92" spans="1:15" s="7" customFormat="1" x14ac:dyDescent="0.2">
      <c r="A92" s="101"/>
      <c r="C92" s="94"/>
      <c r="D92" s="95"/>
      <c r="E92" s="96"/>
      <c r="F92" s="96"/>
      <c r="G92" s="96"/>
      <c r="H92" s="96"/>
      <c r="I92" s="96"/>
      <c r="J92" s="96"/>
      <c r="K92" s="96"/>
      <c r="L92" s="96"/>
      <c r="M92" s="96"/>
      <c r="N92" s="96"/>
      <c r="O92" s="97"/>
    </row>
    <row r="93" spans="1:15" s="7" customFormat="1" x14ac:dyDescent="0.2">
      <c r="A93" s="101"/>
      <c r="C93" s="59">
        <v>20</v>
      </c>
      <c r="D93" s="59" t="s">
        <v>188</v>
      </c>
      <c r="E93" s="91">
        <v>0</v>
      </c>
      <c r="F93" s="91">
        <v>1000000000000</v>
      </c>
      <c r="G93" s="92">
        <v>200</v>
      </c>
      <c r="H93" s="91">
        <v>1000000000000000</v>
      </c>
      <c r="I93" s="91"/>
      <c r="J93" s="91">
        <v>-10000</v>
      </c>
      <c r="K93" s="91">
        <v>1000000000000</v>
      </c>
      <c r="L93" s="93">
        <f>SUM(Expertise_Lunge!M24:M27)</f>
        <v>0</v>
      </c>
      <c r="M93" s="93">
        <f>IF(KB_Lunge!P79=Berechnung1!$G$5,1,IF(KB_Lunge!P79=Berechnung1!$F$5,1,IF(KB_Lunge!P79=Berechnung1!$E$5,2,IF(KB_Lunge!P79=Berechnung1!$D$5,3,IF(KB_Lunge!P79=Berechnung1!$C$5,4,"")))))</f>
        <v>1</v>
      </c>
      <c r="N93" s="93">
        <f>IF(M93&gt;1,M93+3,M93)</f>
        <v>1</v>
      </c>
      <c r="O93" s="93">
        <f>IF(KB_Lunge!R79="",0,1)</f>
        <v>0</v>
      </c>
    </row>
    <row r="94" spans="1:15" s="7" customFormat="1" x14ac:dyDescent="0.2">
      <c r="A94" s="101"/>
      <c r="C94" s="94"/>
      <c r="D94" s="95"/>
      <c r="E94" s="96"/>
      <c r="F94" s="96"/>
      <c r="G94" s="96"/>
      <c r="H94" s="96"/>
      <c r="I94" s="96"/>
      <c r="J94" s="96"/>
      <c r="K94" s="96"/>
      <c r="L94" s="96"/>
      <c r="M94" s="96"/>
      <c r="N94" s="96"/>
      <c r="O94" s="97"/>
    </row>
    <row r="95" spans="1:15" s="7" customFormat="1" x14ac:dyDescent="0.2">
      <c r="A95" s="101"/>
      <c r="C95" s="94"/>
      <c r="D95" s="95"/>
      <c r="E95" s="96"/>
      <c r="F95" s="96"/>
      <c r="G95" s="96"/>
      <c r="H95" s="96"/>
      <c r="I95" s="96"/>
      <c r="J95" s="96"/>
      <c r="K95" s="96"/>
      <c r="L95" s="96"/>
      <c r="M95" s="96"/>
      <c r="N95" s="96"/>
      <c r="O95" s="97"/>
    </row>
    <row r="96" spans="1:15" s="7" customFormat="1" x14ac:dyDescent="0.2">
      <c r="A96" s="101"/>
      <c r="C96" s="59">
        <v>21</v>
      </c>
      <c r="D96" s="59" t="s">
        <v>188</v>
      </c>
      <c r="E96" s="91">
        <v>0</v>
      </c>
      <c r="F96" s="91">
        <v>1</v>
      </c>
      <c r="G96" s="91">
        <v>-10000</v>
      </c>
      <c r="H96" s="91">
        <v>10000</v>
      </c>
      <c r="I96" s="91"/>
      <c r="J96" s="91">
        <v>0.15</v>
      </c>
      <c r="K96" s="91">
        <v>0.7</v>
      </c>
      <c r="L96" s="91" t="str">
        <f>KB_Lunge!O84</f>
        <v>n.d.</v>
      </c>
      <c r="M96" s="93">
        <f>IF(KB_Lunge!P82=Berechnung1!$G$5,1,IF(KB_Lunge!P82=Berechnung1!$F$5,1,IF(KB_Lunge!P82=Berechnung1!$E$5,2,IF(KB_Lunge!P82=Berechnung1!$D$5,3,IF(KB_Lunge!P82=Berechnung1!$C$5,4,"")))))</f>
        <v>1</v>
      </c>
      <c r="N96" s="93">
        <f>IF(M96&gt;1,M96+3,M96)</f>
        <v>1</v>
      </c>
      <c r="O96" s="93">
        <f>IF(KB_Lunge!R82="",0,1)</f>
        <v>0</v>
      </c>
    </row>
    <row r="97" spans="1:15" s="7" customFormat="1" x14ac:dyDescent="0.2">
      <c r="A97" s="101"/>
      <c r="C97" s="94"/>
      <c r="D97" s="95"/>
      <c r="E97" s="96"/>
      <c r="F97" s="96"/>
      <c r="G97" s="96"/>
      <c r="H97" s="96"/>
      <c r="I97" s="96"/>
      <c r="J97" s="96"/>
      <c r="K97" s="96"/>
      <c r="L97" s="96"/>
      <c r="M97" s="96"/>
      <c r="N97" s="96"/>
      <c r="O97" s="97"/>
    </row>
    <row r="98" spans="1:15" s="7" customFormat="1" x14ac:dyDescent="0.2">
      <c r="A98" s="101"/>
      <c r="C98" s="94"/>
      <c r="D98" s="95"/>
      <c r="E98" s="96"/>
      <c r="F98" s="96"/>
      <c r="G98" s="96"/>
      <c r="H98" s="96"/>
      <c r="I98" s="96"/>
      <c r="J98" s="96"/>
      <c r="K98" s="96"/>
      <c r="L98" s="96"/>
      <c r="M98" s="96"/>
      <c r="N98" s="96"/>
      <c r="O98" s="97"/>
    </row>
    <row r="99" spans="1:15" s="7" customFormat="1" x14ac:dyDescent="0.2">
      <c r="A99" s="101"/>
      <c r="C99" s="59">
        <v>22</v>
      </c>
      <c r="D99" s="59" t="s">
        <v>188</v>
      </c>
      <c r="E99" s="91">
        <v>0</v>
      </c>
      <c r="F99" s="91">
        <v>1</v>
      </c>
      <c r="G99" s="91">
        <v>0.25</v>
      </c>
      <c r="H99" s="91">
        <v>10000</v>
      </c>
      <c r="I99" s="91"/>
      <c r="J99" s="91">
        <v>-10000</v>
      </c>
      <c r="K99" s="91">
        <v>1000000000000</v>
      </c>
      <c r="L99" s="91" t="str">
        <f>KB_Lunge!O87</f>
        <v>n.d.</v>
      </c>
      <c r="M99" s="93">
        <f>IF(KB_Lunge!P85=Berechnung1!$G$5,1,IF(KB_Lunge!P85=Berechnung1!$F$5,1,IF(KB_Lunge!P85=Berechnung1!$E$5,2,IF(KB_Lunge!P85=Berechnung1!$D$5,3,IF(KB_Lunge!P85=Berechnung1!$C$5,4,"")))))</f>
        <v>1</v>
      </c>
      <c r="N99" s="93">
        <f t="shared" ref="N99" si="2">IF(M99&gt;1,M99+3,M99)</f>
        <v>1</v>
      </c>
      <c r="O99" s="93">
        <f>IF(KB_Lunge!R85="",0,1)</f>
        <v>0</v>
      </c>
    </row>
    <row r="100" spans="1:15" x14ac:dyDescent="0.2">
      <c r="C100" s="133"/>
      <c r="D100" s="133"/>
      <c r="E100" s="133"/>
      <c r="F100" s="133"/>
      <c r="G100" s="133"/>
      <c r="H100" s="133"/>
      <c r="I100" s="133"/>
      <c r="J100" s="133"/>
      <c r="K100" s="133"/>
      <c r="L100" s="133"/>
      <c r="M100" s="353"/>
      <c r="N100" s="353"/>
      <c r="O100" s="133"/>
    </row>
    <row r="101" spans="1:15" ht="12.75" customHeight="1" x14ac:dyDescent="0.2">
      <c r="C101" s="133"/>
      <c r="D101" s="133"/>
      <c r="E101" s="133"/>
      <c r="F101" s="133"/>
      <c r="G101" s="133"/>
      <c r="H101" s="133"/>
      <c r="I101" s="133"/>
      <c r="J101" s="133"/>
      <c r="K101" s="133"/>
      <c r="L101" s="133"/>
      <c r="M101" s="353"/>
      <c r="N101" s="353"/>
      <c r="O101" s="133"/>
    </row>
    <row r="102" spans="1:15" ht="12.75" customHeight="1" x14ac:dyDescent="0.2">
      <c r="B102" s="7" t="s">
        <v>1028</v>
      </c>
      <c r="C102" s="59">
        <v>23</v>
      </c>
      <c r="D102" s="59" t="s">
        <v>188</v>
      </c>
      <c r="E102" s="91">
        <v>0</v>
      </c>
      <c r="F102" s="91">
        <v>1000000000000</v>
      </c>
      <c r="G102" s="91">
        <v>-10000</v>
      </c>
      <c r="H102" s="91">
        <v>1000000000000000</v>
      </c>
      <c r="I102" s="91"/>
      <c r="J102" s="91">
        <v>-10000</v>
      </c>
      <c r="K102" s="91">
        <v>1000000000000</v>
      </c>
      <c r="L102" s="93" t="str">
        <f>KB_Lunge!O90</f>
        <v>n.d.</v>
      </c>
      <c r="M102" s="476">
        <f>IF(KB_Lunge!P88=Berechnung1!$G$17,1,IF(KB_Lunge!P88=Berechnung1!$F$17,1,IF(KB_Lunge!P88=Berechnung1!$E$17,2,IF(KB_Lunge!P88=Berechnung1!$D$17,3,IF(KB_Lunge!P88=Berechnung1!$C$17,4,"")))))</f>
        <v>1</v>
      </c>
      <c r="N102" s="476">
        <f>IF(M102&gt;1,M102+3,M102)</f>
        <v>1</v>
      </c>
      <c r="O102" s="476">
        <f>IF(KB_Lunge!R88="",0,1)</f>
        <v>0</v>
      </c>
    </row>
    <row r="103" spans="1:15" ht="12.75" customHeight="1" x14ac:dyDescent="0.2">
      <c r="C103" s="133"/>
      <c r="D103" s="133"/>
      <c r="E103" s="133"/>
      <c r="F103" s="133"/>
      <c r="G103" s="133"/>
      <c r="H103" s="133"/>
      <c r="I103" s="133"/>
      <c r="J103" s="133"/>
      <c r="K103" s="133"/>
      <c r="L103" s="133"/>
      <c r="M103" s="353"/>
      <c r="N103" s="353"/>
      <c r="O103" s="133"/>
    </row>
    <row r="104" spans="1:15" ht="12.75" customHeight="1" x14ac:dyDescent="0.2">
      <c r="C104" s="133"/>
      <c r="D104" s="133"/>
      <c r="E104" s="133"/>
      <c r="F104" s="133"/>
      <c r="G104" s="133"/>
      <c r="H104" s="133"/>
      <c r="I104" s="133"/>
      <c r="J104" s="133"/>
      <c r="K104" s="133"/>
      <c r="L104" s="133"/>
      <c r="M104" s="353"/>
      <c r="N104" s="353"/>
      <c r="O104" s="133"/>
    </row>
    <row r="105" spans="1:15" ht="12.75" customHeight="1" x14ac:dyDescent="0.2">
      <c r="B105" s="7" t="s">
        <v>779</v>
      </c>
      <c r="C105" s="443">
        <v>24</v>
      </c>
      <c r="D105" s="443" t="s">
        <v>188</v>
      </c>
      <c r="E105" s="442">
        <v>0</v>
      </c>
      <c r="F105" s="442">
        <v>1</v>
      </c>
      <c r="G105" s="441">
        <v>0.75</v>
      </c>
      <c r="H105" s="441">
        <v>10000</v>
      </c>
      <c r="I105" s="443"/>
      <c r="J105" s="440">
        <v>-10000</v>
      </c>
      <c r="K105" s="442">
        <v>10000</v>
      </c>
      <c r="L105" s="439" t="str">
        <f>KB_Lunge!O93</f>
        <v>n.d.</v>
      </c>
      <c r="M105" s="438">
        <f>IF(KB_Lunge!P91=Berechnung1!$H$5,5,IF(KB_Lunge!P91=Berechnung1!$G$5,1,IF(KB_Lunge!P91=Berechnung1!$F$5,1,IF(KB_Lunge!P91=Berechnung1!$E$5,2,IF(KB_Lunge!P91=Berechnung1!$D$5,3,IF(KB_Lunge!P91=Berechnung1!$C$5,4,""))))))</f>
        <v>1</v>
      </c>
      <c r="N105" s="443">
        <f t="shared" ref="N105:N117" si="3">IF(M105&gt;1,M105+3,M105)</f>
        <v>1</v>
      </c>
      <c r="O105" s="443">
        <f>IF(KB_Lunge!R91="",0,1)</f>
        <v>0</v>
      </c>
    </row>
    <row r="106" spans="1:15" ht="12.75" customHeight="1" x14ac:dyDescent="0.2">
      <c r="C106" s="133"/>
      <c r="D106" s="133"/>
      <c r="E106" s="133"/>
      <c r="F106" s="133"/>
      <c r="G106" s="133"/>
      <c r="H106" s="133"/>
      <c r="I106" s="133"/>
      <c r="J106" s="133"/>
      <c r="K106" s="133"/>
      <c r="L106" s="133"/>
      <c r="M106" s="133"/>
      <c r="N106" s="133"/>
      <c r="O106" s="133"/>
    </row>
    <row r="107" spans="1:15" ht="12.75" customHeight="1" x14ac:dyDescent="0.2">
      <c r="C107" s="133"/>
      <c r="D107" s="133"/>
      <c r="E107" s="133"/>
      <c r="F107" s="133"/>
      <c r="G107" s="133"/>
      <c r="H107" s="133"/>
      <c r="I107" s="133"/>
      <c r="J107" s="133"/>
      <c r="K107" s="133"/>
      <c r="L107" s="133"/>
      <c r="M107" s="133"/>
      <c r="N107" s="133"/>
      <c r="O107" s="133"/>
    </row>
    <row r="108" spans="1:15" ht="12.75" customHeight="1" x14ac:dyDescent="0.2">
      <c r="B108" s="7" t="s">
        <v>1028</v>
      </c>
      <c r="C108" s="443">
        <v>25</v>
      </c>
      <c r="D108" s="443" t="s">
        <v>188</v>
      </c>
      <c r="E108" s="441">
        <v>0</v>
      </c>
      <c r="F108" s="441">
        <v>1000000000000</v>
      </c>
      <c r="G108" s="441">
        <v>-10000</v>
      </c>
      <c r="H108" s="441">
        <v>1000000000000000</v>
      </c>
      <c r="I108" s="441"/>
      <c r="J108" s="441">
        <v>-10000</v>
      </c>
      <c r="K108" s="441">
        <v>1000000000000</v>
      </c>
      <c r="L108" s="438" t="str">
        <f>KB_Lunge!O96</f>
        <v>n.d.</v>
      </c>
      <c r="M108" s="438">
        <f>IF(KB_Lunge!P94=Berechnung1!$H$17,5,IF(KB_Lunge!P94=Berechnung1!$G$17,1,IF(KB_Lunge!P94=Berechnung1!$F$17,1,IF(KB_Lunge!P94=Berechnung1!$E$17,2,IF(KB_Lunge!P94=Berechnung1!$D$17,3,IF(KB_Lunge!P94=Berechnung1!$C$17,4,""))))))</f>
        <v>1</v>
      </c>
      <c r="N108" s="438">
        <f>IF(M108&gt;1,M108+3,M108)</f>
        <v>1</v>
      </c>
      <c r="O108" s="438">
        <f>IF(KB_Lunge!R94="",0,1)</f>
        <v>0</v>
      </c>
    </row>
    <row r="109" spans="1:15" ht="12.75" customHeight="1" x14ac:dyDescent="0.2">
      <c r="C109" s="133"/>
      <c r="D109" s="133"/>
      <c r="E109" s="133"/>
      <c r="F109" s="133"/>
      <c r="G109" s="133"/>
      <c r="H109" s="133"/>
      <c r="I109" s="133"/>
      <c r="J109" s="133"/>
      <c r="K109" s="133"/>
      <c r="L109" s="133"/>
      <c r="M109" s="133"/>
      <c r="N109" s="133"/>
      <c r="O109" s="133"/>
    </row>
    <row r="110" spans="1:15" ht="12.75" customHeight="1" x14ac:dyDescent="0.2">
      <c r="C110" s="133"/>
      <c r="D110" s="133"/>
      <c r="E110" s="133"/>
      <c r="F110" s="133"/>
      <c r="G110" s="133"/>
      <c r="H110" s="133"/>
      <c r="I110" s="133"/>
      <c r="J110" s="133"/>
      <c r="K110" s="133"/>
      <c r="L110" s="133"/>
      <c r="M110" s="133"/>
      <c r="N110" s="133"/>
      <c r="O110" s="133"/>
    </row>
    <row r="111" spans="1:15" x14ac:dyDescent="0.2">
      <c r="B111" s="7" t="s">
        <v>779</v>
      </c>
      <c r="C111" s="443">
        <v>26</v>
      </c>
      <c r="D111" s="443" t="s">
        <v>188</v>
      </c>
      <c r="E111" s="442">
        <v>0</v>
      </c>
      <c r="F111" s="442">
        <v>1</v>
      </c>
      <c r="G111" s="441">
        <v>-10000</v>
      </c>
      <c r="H111" s="441">
        <v>10000</v>
      </c>
      <c r="I111" s="443"/>
      <c r="J111" s="440">
        <v>0.3</v>
      </c>
      <c r="K111" s="442">
        <v>10000</v>
      </c>
      <c r="L111" s="439" t="str">
        <f>KB_Lunge!O99</f>
        <v>n.d.</v>
      </c>
      <c r="M111" s="438">
        <f>IF(KB_Lunge!P97=Berechnung1!$H$5,5,IF(KB_Lunge!P97=Berechnung1!$G$5,1,IF(KB_Lunge!P97=Berechnung1!$F$5,1,IF(KB_Lunge!P97=Berechnung1!$E$5,2,IF(KB_Lunge!P97=Berechnung1!$D$5,3,IF(KB_Lunge!P97=Berechnung1!$C$5,4,""))))))</f>
        <v>1</v>
      </c>
      <c r="N111" s="443">
        <f t="shared" si="3"/>
        <v>1</v>
      </c>
      <c r="O111" s="443">
        <f>IF(KB_Lunge!R97="",0,1)</f>
        <v>0</v>
      </c>
    </row>
    <row r="112" spans="1:15" x14ac:dyDescent="0.2">
      <c r="C112" s="133"/>
      <c r="D112" s="133"/>
      <c r="E112" s="133"/>
      <c r="F112" s="133"/>
      <c r="G112" s="133"/>
      <c r="H112" s="133"/>
      <c r="I112" s="133"/>
      <c r="J112" s="133"/>
      <c r="K112" s="133"/>
      <c r="L112" s="133"/>
      <c r="M112" s="133"/>
      <c r="N112" s="133"/>
      <c r="O112" s="133"/>
    </row>
    <row r="113" spans="2:15" x14ac:dyDescent="0.2">
      <c r="C113" s="133"/>
      <c r="D113" s="133"/>
      <c r="E113" s="133"/>
      <c r="F113" s="133"/>
      <c r="G113" s="133"/>
      <c r="H113" s="133"/>
      <c r="I113" s="133"/>
      <c r="J113" s="133"/>
      <c r="K113" s="133"/>
      <c r="L113" s="133"/>
      <c r="M113" s="133"/>
      <c r="N113" s="133"/>
      <c r="O113" s="133"/>
    </row>
    <row r="114" spans="2:15" x14ac:dyDescent="0.2">
      <c r="B114" s="7" t="s">
        <v>779</v>
      </c>
      <c r="C114" s="443">
        <v>27</v>
      </c>
      <c r="D114" s="443" t="s">
        <v>188</v>
      </c>
      <c r="E114" s="442">
        <v>0</v>
      </c>
      <c r="F114" s="442">
        <v>1</v>
      </c>
      <c r="G114" s="441">
        <v>-10000</v>
      </c>
      <c r="H114" s="441">
        <v>10000</v>
      </c>
      <c r="I114" s="443"/>
      <c r="J114" s="440">
        <v>0.3</v>
      </c>
      <c r="K114" s="442">
        <v>10000</v>
      </c>
      <c r="L114" s="439" t="str">
        <f>KB_Lunge!O102</f>
        <v>n.d.</v>
      </c>
      <c r="M114" s="438">
        <f>IF(KB_Lunge!P100=Berechnung1!$H$5,5,IF(KB_Lunge!P100=Berechnung1!$G$5,1,IF(KB_Lunge!P100=Berechnung1!$F$5,1,IF(KB_Lunge!P100=Berechnung1!$E$5,2,IF(KB_Lunge!P100=Berechnung1!$D$5,3,IF(KB_Lunge!P100=Berechnung1!$C$5,4,""))))))</f>
        <v>1</v>
      </c>
      <c r="N114" s="443">
        <f t="shared" si="3"/>
        <v>1</v>
      </c>
      <c r="O114" s="443">
        <f>IF(KB_Lunge!R100="",0,1)</f>
        <v>0</v>
      </c>
    </row>
    <row r="115" spans="2:15" x14ac:dyDescent="0.2">
      <c r="C115" s="133"/>
      <c r="D115" s="133"/>
      <c r="E115" s="133"/>
      <c r="F115" s="133"/>
      <c r="G115" s="133"/>
      <c r="H115" s="133"/>
      <c r="I115" s="133"/>
      <c r="J115" s="133"/>
      <c r="K115" s="133"/>
      <c r="L115" s="133"/>
      <c r="M115" s="133"/>
      <c r="N115" s="133"/>
      <c r="O115" s="133"/>
    </row>
    <row r="116" spans="2:15" x14ac:dyDescent="0.2">
      <c r="C116" s="133"/>
      <c r="D116" s="133"/>
      <c r="E116" s="133"/>
      <c r="F116" s="133"/>
      <c r="G116" s="133"/>
      <c r="H116" s="133"/>
      <c r="I116" s="133"/>
      <c r="J116" s="133"/>
      <c r="K116" s="133"/>
      <c r="L116" s="133"/>
      <c r="M116" s="133"/>
      <c r="N116" s="133"/>
      <c r="O116" s="133"/>
    </row>
    <row r="117" spans="2:15" x14ac:dyDescent="0.2">
      <c r="B117" s="7" t="s">
        <v>779</v>
      </c>
      <c r="C117" s="443">
        <v>28</v>
      </c>
      <c r="D117" s="443" t="s">
        <v>188</v>
      </c>
      <c r="E117" s="442">
        <v>0</v>
      </c>
      <c r="F117" s="442">
        <v>1</v>
      </c>
      <c r="G117" s="441">
        <v>-10000</v>
      </c>
      <c r="H117" s="441">
        <v>10000</v>
      </c>
      <c r="I117" s="443"/>
      <c r="J117" s="440">
        <v>0.3</v>
      </c>
      <c r="K117" s="442">
        <v>10000</v>
      </c>
      <c r="L117" s="439" t="str">
        <f>KB_Lunge!O105</f>
        <v>n.d.</v>
      </c>
      <c r="M117" s="438">
        <f>IF(KB_Lunge!P103=Berechnung1!$H$5,5,IF(KB_Lunge!P103=Berechnung1!$G$5,1,IF(KB_Lunge!P103=Berechnung1!$F$5,1,IF(KB_Lunge!P103=Berechnung1!$E$5,2,IF(KB_Lunge!P103=Berechnung1!$D$5,3,IF(KB_Lunge!P103=Berechnung1!$C$5,4,""))))))</f>
        <v>1</v>
      </c>
      <c r="N117" s="443">
        <f t="shared" si="3"/>
        <v>1</v>
      </c>
      <c r="O117" s="443">
        <f>IF(KB_Lunge!R103="",0,1)</f>
        <v>0</v>
      </c>
    </row>
    <row r="118" spans="2:15" x14ac:dyDescent="0.2">
      <c r="C118" s="133"/>
      <c r="D118" s="133"/>
      <c r="E118" s="133"/>
      <c r="F118" s="133"/>
      <c r="G118" s="133"/>
      <c r="H118" s="133"/>
      <c r="I118" s="133"/>
      <c r="J118" s="133"/>
      <c r="K118" s="133"/>
      <c r="L118" s="133"/>
      <c r="M118" s="133"/>
      <c r="N118" s="133"/>
      <c r="O118" s="133"/>
    </row>
    <row r="119" spans="2:15" x14ac:dyDescent="0.2">
      <c r="C119" s="133"/>
      <c r="D119" s="133"/>
      <c r="E119" s="133"/>
      <c r="F119" s="133"/>
      <c r="G119" s="133"/>
      <c r="H119" s="133"/>
      <c r="I119" s="133"/>
      <c r="J119" s="133"/>
      <c r="K119" s="133"/>
      <c r="L119" s="133"/>
      <c r="M119" s="133"/>
      <c r="N119" s="133"/>
      <c r="O119" s="133"/>
    </row>
    <row r="120" spans="2:15" x14ac:dyDescent="0.2">
      <c r="B120" s="7" t="s">
        <v>1028</v>
      </c>
      <c r="C120" s="443">
        <v>29</v>
      </c>
      <c r="D120" s="443" t="s">
        <v>188</v>
      </c>
      <c r="E120" s="441">
        <v>0</v>
      </c>
      <c r="F120" s="441">
        <v>1000000000000</v>
      </c>
      <c r="G120" s="441">
        <v>-10000</v>
      </c>
      <c r="H120" s="441">
        <v>1000000000000000</v>
      </c>
      <c r="I120" s="441"/>
      <c r="J120" s="441">
        <v>-10000</v>
      </c>
      <c r="K120" s="441">
        <v>1000000000000</v>
      </c>
      <c r="L120" s="438" t="str">
        <f>KB_Lunge!O108</f>
        <v>n.d.</v>
      </c>
      <c r="M120" s="438">
        <f>IF(KB_Lunge!P106=Berechnung1!$H$17,5,IF(KB_Lunge!P106=Berechnung1!$G$17,1,IF(KB_Lunge!P106=Berechnung1!$F$17,1,IF(KB_Lunge!P106=Berechnung1!$E$17,2,IF(KB_Lunge!P106=Berechnung1!$D$17,3,IF(KB_Lunge!P106=Berechnung1!$C$17,4,""))))))</f>
        <v>1</v>
      </c>
      <c r="N120" s="438">
        <f>IF(M120&gt;1,M120+3,M120)</f>
        <v>1</v>
      </c>
      <c r="O120" s="438">
        <f>IF(KB_Lunge!R106="",0,1)</f>
        <v>0</v>
      </c>
    </row>
    <row r="121" spans="2:15" x14ac:dyDescent="0.2">
      <c r="C121" s="133"/>
      <c r="D121" s="133"/>
      <c r="E121" s="133"/>
      <c r="F121" s="133"/>
      <c r="G121" s="133"/>
      <c r="H121" s="133"/>
      <c r="I121" s="133"/>
      <c r="J121" s="133"/>
      <c r="K121" s="133"/>
      <c r="L121" s="133"/>
      <c r="M121" s="133"/>
      <c r="N121" s="133"/>
      <c r="O121" s="133"/>
    </row>
    <row r="122" spans="2:15" x14ac:dyDescent="0.2">
      <c r="C122" s="133"/>
      <c r="D122" s="133"/>
      <c r="E122" s="133"/>
      <c r="F122" s="133"/>
      <c r="G122" s="133"/>
      <c r="H122" s="133"/>
      <c r="I122" s="133"/>
      <c r="J122" s="133"/>
      <c r="K122" s="133"/>
      <c r="L122" s="133"/>
      <c r="M122" s="133"/>
      <c r="N122" s="133"/>
      <c r="O122" s="133"/>
    </row>
    <row r="123" spans="2:15" x14ac:dyDescent="0.2">
      <c r="B123" s="7" t="s">
        <v>1028</v>
      </c>
      <c r="C123" s="443">
        <v>30</v>
      </c>
      <c r="D123" s="443" t="s">
        <v>188</v>
      </c>
      <c r="E123" s="441">
        <v>0</v>
      </c>
      <c r="F123" s="441">
        <v>1000000000000</v>
      </c>
      <c r="G123" s="441">
        <v>-10000</v>
      </c>
      <c r="H123" s="441">
        <v>1000000000000000</v>
      </c>
      <c r="I123" s="441"/>
      <c r="J123" s="441">
        <v>-10000</v>
      </c>
      <c r="K123" s="441">
        <v>1000000000000</v>
      </c>
      <c r="L123" s="438" t="str">
        <f>KB_Lunge!O111</f>
        <v>n.d.</v>
      </c>
      <c r="M123" s="438">
        <f>IF(KB_Lunge!P109=Berechnung1!$H$17,5,IF(KB_Lunge!P109=Berechnung1!$G$17,1,IF(KB_Lunge!P109=Berechnung1!$F$17,1,IF(KB_Lunge!P109=Berechnung1!$E$17,2,IF(KB_Lunge!P109=Berechnung1!$D$17,3,IF(KB_Lunge!P109=Berechnung1!$C$17,4,""))))))</f>
        <v>1</v>
      </c>
      <c r="N123" s="438">
        <f>IF(M123&gt;1,M123+3,M123)</f>
        <v>1</v>
      </c>
      <c r="O123" s="438">
        <f>IF(KB_Lunge!R109="",0,1)</f>
        <v>0</v>
      </c>
    </row>
    <row r="124" spans="2:15" x14ac:dyDescent="0.2">
      <c r="C124" s="133"/>
      <c r="D124" s="133"/>
      <c r="E124" s="133"/>
      <c r="F124" s="133"/>
      <c r="G124" s="133"/>
      <c r="H124" s="133"/>
      <c r="I124" s="133"/>
      <c r="J124" s="133"/>
      <c r="K124" s="133"/>
      <c r="L124" s="133"/>
      <c r="M124" s="133"/>
      <c r="N124" s="133"/>
      <c r="O124" s="133"/>
    </row>
    <row r="125" spans="2:15" x14ac:dyDescent="0.2">
      <c r="C125" s="133"/>
      <c r="D125" s="133"/>
      <c r="E125" s="133"/>
      <c r="F125" s="133"/>
      <c r="G125" s="133"/>
      <c r="H125" s="133"/>
      <c r="I125" s="133"/>
      <c r="J125" s="133"/>
      <c r="K125" s="133"/>
      <c r="L125" s="133"/>
      <c r="M125" s="133"/>
      <c r="N125" s="133"/>
      <c r="O125" s="133"/>
    </row>
    <row r="126" spans="2:15" x14ac:dyDescent="0.2">
      <c r="B126" s="7"/>
      <c r="C126" s="59">
        <v>31</v>
      </c>
      <c r="D126" s="59" t="s">
        <v>188</v>
      </c>
      <c r="E126" s="399">
        <v>0</v>
      </c>
      <c r="F126" s="399">
        <v>1</v>
      </c>
      <c r="G126" s="91">
        <v>-10000</v>
      </c>
      <c r="H126" s="91">
        <v>10000</v>
      </c>
      <c r="I126" s="59"/>
      <c r="J126" s="399">
        <v>-10000</v>
      </c>
      <c r="K126" s="400">
        <v>0.05</v>
      </c>
      <c r="L126" s="401" t="str">
        <f>KB_Lunge!O114</f>
        <v>n.d.</v>
      </c>
      <c r="M126" s="59">
        <f>IF(KB_Lunge!P112=Berechnung1!$H$5,5,IF(KB_Lunge!P112=Berechnung1!$G$5,1,IF(KB_Lunge!P112=Berechnung1!$F$5,1,IF(KB_Lunge!P112=Berechnung1!$E$5,2,IF(KB_Lunge!P112=Berechnung1!$D$5,3,IF(KB_Lunge!P112=Berechnung1!$C$5,4,""))))))</f>
        <v>1</v>
      </c>
      <c r="N126" s="59">
        <f>IF(M126&gt;1,M126+3,M126)</f>
        <v>1</v>
      </c>
      <c r="O126" s="59">
        <f>IF(KB_Lunge!R112="",0,1)</f>
        <v>0</v>
      </c>
    </row>
    <row r="127" spans="2:15" x14ac:dyDescent="0.2">
      <c r="C127" s="133"/>
      <c r="D127" s="133"/>
      <c r="E127" s="133"/>
      <c r="F127" s="133"/>
      <c r="G127" s="133"/>
      <c r="H127" s="133"/>
      <c r="I127" s="133"/>
      <c r="J127" s="133"/>
      <c r="K127" s="133"/>
      <c r="L127" s="133"/>
      <c r="M127" s="133"/>
      <c r="N127" s="133"/>
      <c r="O127" s="133"/>
    </row>
    <row r="128" spans="2:15" x14ac:dyDescent="0.2">
      <c r="C128" s="133"/>
      <c r="D128" s="133"/>
      <c r="E128" s="133"/>
      <c r="F128" s="133"/>
      <c r="G128" s="133"/>
      <c r="H128" s="133"/>
      <c r="I128" s="133"/>
      <c r="J128" s="133"/>
      <c r="K128" s="133"/>
      <c r="L128" s="133"/>
      <c r="M128" s="133"/>
      <c r="N128" s="133"/>
      <c r="O128" s="133"/>
    </row>
    <row r="129" spans="2:15" x14ac:dyDescent="0.2">
      <c r="B129" s="7"/>
      <c r="C129" s="59">
        <v>32</v>
      </c>
      <c r="D129" s="59" t="s">
        <v>188</v>
      </c>
      <c r="E129" s="399">
        <v>0</v>
      </c>
      <c r="F129" s="399">
        <v>1</v>
      </c>
      <c r="G129" s="91">
        <v>-10000</v>
      </c>
      <c r="H129" s="91">
        <v>10000</v>
      </c>
      <c r="I129" s="59"/>
      <c r="J129" s="399">
        <v>0.6</v>
      </c>
      <c r="K129" s="91">
        <v>10000</v>
      </c>
      <c r="L129" s="401" t="str">
        <f>KB_Lunge!O117</f>
        <v>n.d.</v>
      </c>
      <c r="M129" s="93">
        <f>IF(KB_Lunge!P115=Berechnung1!$G$5,1,IF(KB_Lunge!P115=Berechnung1!$F$5,1,IF(KB_Lunge!P115=Berechnung1!$E$5,2,IF(KB_Lunge!P115=Berechnung1!$D$5,3,IF(KB_Lunge!P115=Berechnung1!$C$5,4,"")))))</f>
        <v>1</v>
      </c>
      <c r="N129" s="59">
        <f>IF(M129&gt;1,M129+3,M129)</f>
        <v>1</v>
      </c>
      <c r="O129" s="59">
        <f>IF(KB_Lunge!R115="",0,1)</f>
        <v>0</v>
      </c>
    </row>
    <row r="130" spans="2:15" x14ac:dyDescent="0.2">
      <c r="C130" s="133"/>
      <c r="D130" s="133"/>
      <c r="E130" s="133"/>
      <c r="F130" s="133"/>
      <c r="G130" s="133"/>
      <c r="H130" s="133"/>
      <c r="I130" s="133"/>
      <c r="J130" s="133"/>
      <c r="K130" s="133"/>
      <c r="L130" s="133"/>
      <c r="M130" s="133"/>
      <c r="N130" s="133"/>
      <c r="O130" s="133"/>
    </row>
    <row r="131" spans="2:15" x14ac:dyDescent="0.2">
      <c r="C131" s="133"/>
      <c r="D131" s="133"/>
      <c r="E131" s="133"/>
      <c r="F131" s="133"/>
      <c r="G131" s="133"/>
      <c r="H131" s="133"/>
      <c r="I131" s="133"/>
      <c r="J131" s="133"/>
      <c r="K131" s="133"/>
      <c r="L131" s="133"/>
      <c r="M131" s="133"/>
      <c r="N131" s="133"/>
      <c r="O131" s="133"/>
    </row>
    <row r="132" spans="2:15" x14ac:dyDescent="0.2">
      <c r="B132" s="7"/>
      <c r="C132" s="59">
        <v>33</v>
      </c>
      <c r="D132" s="59" t="s">
        <v>188</v>
      </c>
      <c r="E132" s="399">
        <v>0</v>
      </c>
      <c r="F132" s="399">
        <v>1</v>
      </c>
      <c r="G132" s="91">
        <v>0.75</v>
      </c>
      <c r="H132" s="91">
        <v>10000</v>
      </c>
      <c r="I132" s="59"/>
      <c r="J132" s="399">
        <v>-10000</v>
      </c>
      <c r="K132" s="91">
        <v>10000</v>
      </c>
      <c r="L132" s="401" t="str">
        <f>KB_Lunge!O120</f>
        <v>n.d.</v>
      </c>
      <c r="M132" s="93">
        <f>IF(KB_Lunge!P118=Berechnung1!$G$5,1,IF(KB_Lunge!P118=Berechnung1!$F$5,1,IF(KB_Lunge!P118=Berechnung1!$E$5,2,IF(KB_Lunge!P118=Berechnung1!$D$5,3,IF(KB_Lunge!P118=Berechnung1!$C$5,4,"")))))</f>
        <v>1</v>
      </c>
      <c r="N132" s="59">
        <f>IF(M132&gt;1,M132+3,M132)</f>
        <v>1</v>
      </c>
      <c r="O132" s="59">
        <f>IF(KB_Lunge!R118="",0,1)</f>
        <v>0</v>
      </c>
    </row>
    <row r="133" spans="2:15" x14ac:dyDescent="0.2">
      <c r="C133" s="133"/>
      <c r="D133" s="133"/>
      <c r="E133" s="133"/>
      <c r="F133" s="133"/>
      <c r="G133" s="133"/>
      <c r="H133" s="133"/>
      <c r="I133" s="133"/>
      <c r="J133" s="133"/>
      <c r="K133" s="133"/>
      <c r="L133" s="133"/>
      <c r="M133" s="133"/>
      <c r="N133" s="133"/>
      <c r="O133" s="133"/>
    </row>
    <row r="134" spans="2:15" x14ac:dyDescent="0.2">
      <c r="C134" s="133"/>
      <c r="D134" s="133"/>
      <c r="E134" s="133"/>
      <c r="F134" s="133"/>
      <c r="G134" s="133"/>
      <c r="H134" s="133"/>
      <c r="I134" s="133"/>
      <c r="J134" s="133"/>
      <c r="K134" s="133"/>
      <c r="L134" s="133"/>
      <c r="M134" s="133"/>
      <c r="N134" s="133"/>
      <c r="O134" s="133"/>
    </row>
    <row r="135" spans="2:15" x14ac:dyDescent="0.2">
      <c r="B135" s="7"/>
      <c r="C135" s="59">
        <v>34</v>
      </c>
      <c r="D135" s="59" t="s">
        <v>188</v>
      </c>
      <c r="E135" s="399">
        <v>0</v>
      </c>
      <c r="F135" s="399">
        <v>1</v>
      </c>
      <c r="G135" s="91">
        <v>0.75</v>
      </c>
      <c r="H135" s="91">
        <v>10000</v>
      </c>
      <c r="I135" s="59"/>
      <c r="J135" s="399">
        <v>-10000</v>
      </c>
      <c r="K135" s="91">
        <v>10000</v>
      </c>
      <c r="L135" s="401" t="str">
        <f>KB_Lunge!O123</f>
        <v>n.d.</v>
      </c>
      <c r="M135" s="93">
        <f>IF(KB_Lunge!P121=Berechnung1!$G$5,1,IF(KB_Lunge!P121=Berechnung1!$F$5,1,IF(KB_Lunge!P121=Berechnung1!$E$5,2,IF(KB_Lunge!P121=Berechnung1!$D$5,3,IF(KB_Lunge!P121=Berechnung1!$C$5,4,"")))))</f>
        <v>1</v>
      </c>
      <c r="N135" s="59">
        <f>IF(M135&gt;1,M135+3,M135)</f>
        <v>1</v>
      </c>
      <c r="O135" s="59">
        <f>IF(KB_Lunge!R121="",0,1)</f>
        <v>0</v>
      </c>
    </row>
    <row r="136" spans="2:15" x14ac:dyDescent="0.2">
      <c r="C136" s="133"/>
      <c r="D136" s="133"/>
      <c r="E136" s="133"/>
      <c r="F136" s="133"/>
      <c r="G136" s="133"/>
      <c r="H136" s="133"/>
      <c r="I136" s="133"/>
      <c r="J136" s="133"/>
      <c r="K136" s="133"/>
      <c r="L136" s="133"/>
      <c r="M136" s="133"/>
      <c r="N136" s="133"/>
      <c r="O136" s="133"/>
    </row>
    <row r="137" spans="2:15" x14ac:dyDescent="0.2">
      <c r="C137" s="133"/>
      <c r="D137" s="133"/>
      <c r="E137" s="133"/>
      <c r="F137" s="133"/>
      <c r="G137" s="133"/>
      <c r="H137" s="133"/>
      <c r="I137" s="133"/>
      <c r="J137" s="133"/>
      <c r="K137" s="133"/>
      <c r="L137" s="133"/>
      <c r="M137" s="133"/>
      <c r="N137" s="133"/>
      <c r="O137" s="133"/>
    </row>
  </sheetData>
  <phoneticPr fontId="38"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S137"/>
  <sheetViews>
    <sheetView showGridLines="0" showRuler="0" zoomScaleNormal="100" zoomScaleSheetLayoutView="100" workbookViewId="0">
      <pane ySplit="12" topLeftCell="A13" activePane="bottomLeft" state="frozen"/>
      <selection pane="bottomLeft" activeCell="Q13" sqref="Q13:Q15"/>
    </sheetView>
  </sheetViews>
  <sheetFormatPr defaultColWidth="11.42578125" defaultRowHeight="14.25" x14ac:dyDescent="0.2"/>
  <cols>
    <col min="1" max="1" width="6.42578125" style="3" customWidth="1"/>
    <col min="2" max="2" width="5.140625" style="3" customWidth="1"/>
    <col min="3" max="3" width="22" style="3" customWidth="1"/>
    <col min="4" max="4" width="12.855468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348" t="str">
        <f>Basisdaten_Lunge!A2</f>
        <v>Anlage EB Version I1.3 (Auditjahr 2023 / Kennzahlenjahr 2022)</v>
      </c>
      <c r="O2" s="3"/>
    </row>
    <row r="3" spans="1:18" ht="16.5" customHeight="1" x14ac:dyDescent="0.25">
      <c r="A3" s="19" t="s">
        <v>335</v>
      </c>
      <c r="N3" s="20"/>
      <c r="O3" s="3"/>
    </row>
    <row r="4" spans="1:18" ht="12.75" customHeight="1" x14ac:dyDescent="0.2">
      <c r="N4" s="20"/>
      <c r="O4" s="3"/>
    </row>
    <row r="5" spans="1:18" ht="11.25" customHeight="1" x14ac:dyDescent="0.2">
      <c r="D5" s="10"/>
      <c r="E5" s="10"/>
      <c r="F5" s="10"/>
      <c r="G5" s="10"/>
      <c r="H5" s="10"/>
      <c r="I5" s="10"/>
      <c r="J5" s="10"/>
      <c r="M5" s="10"/>
      <c r="N5" s="20"/>
      <c r="O5" s="3"/>
    </row>
    <row r="6" spans="1:18" s="23" customFormat="1" ht="15" customHeight="1" x14ac:dyDescent="0.25">
      <c r="A6" s="64" t="s">
        <v>236</v>
      </c>
      <c r="B6" s="26"/>
      <c r="D6" s="785" t="str">
        <f>IF(Basisdaten_Lunge!B9=0,"",Basisdaten_Lunge!B9)</f>
        <v/>
      </c>
      <c r="E6" s="785"/>
      <c r="F6" s="786"/>
      <c r="G6" s="786"/>
      <c r="H6" s="786"/>
      <c r="I6" s="786"/>
      <c r="J6" s="786"/>
      <c r="K6" s="786"/>
      <c r="L6" s="787"/>
      <c r="M6" s="787"/>
      <c r="N6" s="787"/>
      <c r="O6" s="20"/>
      <c r="P6" s="18"/>
      <c r="Q6" s="20"/>
      <c r="R6" s="20"/>
    </row>
    <row r="7" spans="1:18" s="23" customFormat="1" ht="6.95" customHeight="1" x14ac:dyDescent="0.2">
      <c r="A7" s="6"/>
      <c r="B7" s="6"/>
      <c r="C7" s="22"/>
      <c r="D7" s="10"/>
      <c r="E7" s="10"/>
      <c r="F7" s="10"/>
      <c r="G7" s="10"/>
      <c r="H7" s="10"/>
      <c r="I7" s="10"/>
      <c r="J7" s="10"/>
      <c r="K7" s="10"/>
      <c r="L7" s="10"/>
      <c r="M7" s="10"/>
      <c r="N7" s="20"/>
      <c r="O7" s="20"/>
      <c r="P7" s="18"/>
      <c r="Q7" s="20"/>
      <c r="R7" s="20"/>
    </row>
    <row r="8" spans="1:18" s="23" customFormat="1" ht="15" customHeight="1" x14ac:dyDescent="0.25">
      <c r="A8" s="64" t="s">
        <v>166</v>
      </c>
      <c r="B8" s="26"/>
      <c r="C8" s="25"/>
      <c r="D8" s="605" t="str">
        <f>IF(Basisdaten_Lunge!B7=0,"",Basisdaten_Lunge!B7)</f>
        <v/>
      </c>
      <c r="E8" s="727"/>
      <c r="F8" s="20"/>
      <c r="G8" s="20"/>
      <c r="I8" s="23" t="s">
        <v>163</v>
      </c>
      <c r="J8" s="4"/>
      <c r="K8" s="788" t="str">
        <f>IF(Basisdaten_Lunge!I13=0,"",Basisdaten_Lunge!I13)</f>
        <v/>
      </c>
      <c r="L8" s="789"/>
      <c r="M8" s="789"/>
      <c r="N8" s="787"/>
      <c r="O8" s="20"/>
      <c r="P8" s="18"/>
      <c r="Q8" s="20"/>
      <c r="R8" s="20"/>
    </row>
    <row r="9" spans="1:18" ht="6.75" customHeight="1" x14ac:dyDescent="0.2">
      <c r="D9" s="10"/>
      <c r="E9" s="10"/>
      <c r="F9" s="10"/>
      <c r="G9" s="10"/>
      <c r="H9" s="10"/>
      <c r="I9" s="10"/>
      <c r="J9" s="10"/>
      <c r="M9" s="10"/>
      <c r="N9" s="20"/>
      <c r="O9" s="3"/>
    </row>
    <row r="10" spans="1:18" s="7" customFormat="1" ht="9.9499999999999993" customHeight="1" thickBot="1" x14ac:dyDescent="0.25">
      <c r="A10" s="728"/>
      <c r="B10" s="728"/>
      <c r="C10" s="728"/>
      <c r="D10" s="728"/>
      <c r="E10" s="728"/>
      <c r="F10" s="728"/>
      <c r="G10" s="728"/>
      <c r="H10" s="728"/>
      <c r="I10" s="728"/>
      <c r="J10" s="728"/>
      <c r="K10" s="728"/>
      <c r="L10" s="728"/>
      <c r="M10" s="728"/>
      <c r="N10" s="728"/>
      <c r="O10" s="728"/>
      <c r="P10" s="728"/>
    </row>
    <row r="11" spans="1:18" s="8" customFormat="1" ht="15" customHeight="1" thickBot="1" x14ac:dyDescent="0.3">
      <c r="A11" s="736" t="s">
        <v>492</v>
      </c>
      <c r="B11" s="736" t="s">
        <v>820</v>
      </c>
      <c r="C11" s="736" t="s">
        <v>253</v>
      </c>
      <c r="D11" s="738" t="s">
        <v>19</v>
      </c>
      <c r="E11" s="739"/>
      <c r="F11" s="738" t="s">
        <v>20</v>
      </c>
      <c r="G11" s="739"/>
      <c r="H11" s="733" t="s">
        <v>169</v>
      </c>
      <c r="I11" s="734"/>
      <c r="J11" s="729" t="s">
        <v>422</v>
      </c>
      <c r="K11" s="731" t="s">
        <v>21</v>
      </c>
      <c r="L11" s="732"/>
      <c r="M11" s="729" t="s">
        <v>422</v>
      </c>
      <c r="N11" s="738" t="s">
        <v>17</v>
      </c>
      <c r="O11" s="754"/>
      <c r="P11" s="736" t="s">
        <v>421</v>
      </c>
      <c r="Q11" s="742" t="s">
        <v>165</v>
      </c>
      <c r="R11" s="743"/>
    </row>
    <row r="12" spans="1:18" s="8" customFormat="1" ht="22.5" customHeight="1" thickBot="1" x14ac:dyDescent="0.3">
      <c r="A12" s="737"/>
      <c r="B12" s="737"/>
      <c r="C12" s="737"/>
      <c r="D12" s="740"/>
      <c r="E12" s="741"/>
      <c r="F12" s="740"/>
      <c r="G12" s="741"/>
      <c r="H12" s="735"/>
      <c r="I12" s="734"/>
      <c r="J12" s="730"/>
      <c r="K12" s="731"/>
      <c r="L12" s="732"/>
      <c r="M12" s="730"/>
      <c r="N12" s="755"/>
      <c r="O12" s="756"/>
      <c r="P12" s="753"/>
      <c r="Q12" s="302" t="s">
        <v>510</v>
      </c>
      <c r="R12" s="302" t="s">
        <v>490</v>
      </c>
    </row>
    <row r="13" spans="1:18" ht="27.75" customHeight="1" thickBot="1" x14ac:dyDescent="0.25">
      <c r="A13" s="585" t="s">
        <v>821</v>
      </c>
      <c r="B13" s="587" t="s">
        <v>273</v>
      </c>
      <c r="C13" s="660" t="s">
        <v>24</v>
      </c>
      <c r="D13" s="581" t="s">
        <v>255</v>
      </c>
      <c r="E13" s="582"/>
      <c r="F13" s="581" t="s">
        <v>24</v>
      </c>
      <c r="G13" s="582"/>
      <c r="H13" s="581" t="s">
        <v>251</v>
      </c>
      <c r="I13" s="582"/>
      <c r="J13" s="718"/>
      <c r="K13" s="594" t="s">
        <v>361</v>
      </c>
      <c r="L13" s="723"/>
      <c r="M13" s="718"/>
      <c r="N13" s="745" t="s">
        <v>25</v>
      </c>
      <c r="O13" s="746">
        <f>IF(Basisdaten_Lunge!$K$33="",0,Basisdaten_Lunge!$K$33)</f>
        <v>0</v>
      </c>
      <c r="P13" s="749" t="str">
        <f>IF(O13=0,Berechnung1!$F$5, IF(O13=0,Berechnung1!$D$5,IF(OR(O13&lt; Berechnung1!E27,O13&gt; Berechnung1!F27),Berechnung1!$G$5,IF(OR(ROUND(O13,4)&lt;Berechnung1!J27,ROUND(O13,4)&gt;Berechnung1!K27),Berechnung1!$D$5,IF(OR(ROUND(O13,4)&lt;Berechnung1!G27,ROUND(O13,4)&gt;Berechnung1!H27),Berechnung1!$E$5,Berechnung1!$C$5)))))</f>
        <v>Unvollständig</v>
      </c>
      <c r="Q13" s="752"/>
      <c r="R13" s="714"/>
    </row>
    <row r="14" spans="1:18" ht="27.75" customHeight="1" thickBot="1" x14ac:dyDescent="0.25">
      <c r="A14" s="586"/>
      <c r="B14" s="588"/>
      <c r="C14" s="657"/>
      <c r="D14" s="583"/>
      <c r="E14" s="584"/>
      <c r="F14" s="583"/>
      <c r="G14" s="584"/>
      <c r="H14" s="583"/>
      <c r="I14" s="584"/>
      <c r="J14" s="719"/>
      <c r="K14" s="596"/>
      <c r="L14" s="724"/>
      <c r="M14" s="719"/>
      <c r="N14" s="745"/>
      <c r="O14" s="747"/>
      <c r="P14" s="750"/>
      <c r="Q14" s="698"/>
      <c r="R14" s="698"/>
    </row>
    <row r="15" spans="1:18" ht="27.75" customHeight="1" thickBot="1" x14ac:dyDescent="0.25">
      <c r="A15" s="601"/>
      <c r="B15" s="603"/>
      <c r="C15" s="658"/>
      <c r="D15" s="609"/>
      <c r="E15" s="610"/>
      <c r="F15" s="609"/>
      <c r="G15" s="610"/>
      <c r="H15" s="609"/>
      <c r="I15" s="610"/>
      <c r="J15" s="720"/>
      <c r="K15" s="725"/>
      <c r="L15" s="726"/>
      <c r="M15" s="720"/>
      <c r="N15" s="745"/>
      <c r="O15" s="748"/>
      <c r="P15" s="751"/>
      <c r="Q15" s="698"/>
      <c r="R15" s="698"/>
    </row>
    <row r="16" spans="1:18" ht="27.75" customHeight="1" thickBot="1" x14ac:dyDescent="0.25">
      <c r="A16" s="585" t="s">
        <v>822</v>
      </c>
      <c r="B16" s="587"/>
      <c r="C16" s="660" t="s">
        <v>891</v>
      </c>
      <c r="D16" s="794" t="s">
        <v>251</v>
      </c>
      <c r="E16" s="582"/>
      <c r="F16" s="581" t="s">
        <v>891</v>
      </c>
      <c r="G16" s="582"/>
      <c r="H16" s="794" t="s">
        <v>251</v>
      </c>
      <c r="I16" s="582"/>
      <c r="J16" s="718"/>
      <c r="K16" s="594" t="s">
        <v>250</v>
      </c>
      <c r="L16" s="723"/>
      <c r="M16" s="718"/>
      <c r="N16" s="745" t="s">
        <v>25</v>
      </c>
      <c r="O16" s="757"/>
      <c r="P16" s="749" t="str">
        <f>IF(O16="",Berechnung1!$F$5, IF(O16=0,Berechnung1!$H$5,IF(OR(O16&lt; Berechnung1!E30,O16&gt; Berechnung1!F30),Berechnung1!$G$5,IF(OR(ROUND(O16,4)&lt;Berechnung1!J30,ROUND(O16,4)&gt;Berechnung1!K30),Berechnung1!$D$5,IF(OR(ROUND(O16,4)&lt;Berechnung1!G30,ROUND(O16,4)&gt;Berechnung1!H30),Berechnung1!$E$5,Berechnung1!$C$5)))))</f>
        <v>Unvollständig</v>
      </c>
      <c r="Q16" s="752"/>
      <c r="R16" s="714"/>
    </row>
    <row r="17" spans="1:19" ht="27.75" customHeight="1" thickBot="1" x14ac:dyDescent="0.25">
      <c r="A17" s="586"/>
      <c r="B17" s="588"/>
      <c r="C17" s="657"/>
      <c r="D17" s="583"/>
      <c r="E17" s="584"/>
      <c r="F17" s="583"/>
      <c r="G17" s="584"/>
      <c r="H17" s="583"/>
      <c r="I17" s="584"/>
      <c r="J17" s="719"/>
      <c r="K17" s="596"/>
      <c r="L17" s="724"/>
      <c r="M17" s="719"/>
      <c r="N17" s="745"/>
      <c r="O17" s="758"/>
      <c r="P17" s="750"/>
      <c r="Q17" s="698"/>
      <c r="R17" s="698"/>
    </row>
    <row r="18" spans="1:19" ht="27.75" customHeight="1" thickBot="1" x14ac:dyDescent="0.25">
      <c r="A18" s="601"/>
      <c r="B18" s="603"/>
      <c r="C18" s="658"/>
      <c r="D18" s="609"/>
      <c r="E18" s="610"/>
      <c r="F18" s="609"/>
      <c r="G18" s="610"/>
      <c r="H18" s="609"/>
      <c r="I18" s="610"/>
      <c r="J18" s="720"/>
      <c r="K18" s="725"/>
      <c r="L18" s="726"/>
      <c r="M18" s="720"/>
      <c r="N18" s="745"/>
      <c r="O18" s="759"/>
      <c r="P18" s="751"/>
      <c r="Q18" s="698"/>
      <c r="R18" s="698"/>
    </row>
    <row r="19" spans="1:19" ht="27" customHeight="1" thickBot="1" x14ac:dyDescent="0.25">
      <c r="A19" s="585" t="s">
        <v>271</v>
      </c>
      <c r="B19" s="587" t="s">
        <v>274</v>
      </c>
      <c r="C19" s="660" t="s">
        <v>256</v>
      </c>
      <c r="D19" s="581" t="s">
        <v>257</v>
      </c>
      <c r="E19" s="582"/>
      <c r="F19" s="581" t="s">
        <v>732</v>
      </c>
      <c r="G19" s="582"/>
      <c r="H19" s="581" t="s">
        <v>835</v>
      </c>
      <c r="I19" s="582"/>
      <c r="J19" s="718"/>
      <c r="K19" s="744" t="s">
        <v>337</v>
      </c>
      <c r="L19" s="723"/>
      <c r="M19" s="718"/>
      <c r="N19" s="36" t="s">
        <v>20</v>
      </c>
      <c r="O19" s="42"/>
      <c r="P19" s="721" t="str">
        <f>IF(O21=Berechnung1!D33,Berechnung1!$F$5,IF(OR(O21&lt; Berechnung1!E33,O21&gt; Berechnung1!F33),Berechnung1!$G$5,IF(OR(ROUND(O21,4)&lt;Berechnung1!J33,ROUND(O21,4)&gt;Berechnung1!K33),Berechnung1!$D$5,IF(OR(ROUND(O21,4)&lt;Berechnung1!G33,ROUND(O21,4)&gt;Berechnung1!H33),Berechnung1!$E$5,Berechnung1!$C$5))))</f>
        <v>Unvollständig</v>
      </c>
      <c r="Q19" s="697"/>
      <c r="R19" s="697"/>
    </row>
    <row r="20" spans="1:19" ht="27" customHeight="1" thickBot="1" x14ac:dyDescent="0.25">
      <c r="A20" s="586"/>
      <c r="B20" s="588"/>
      <c r="C20" s="657"/>
      <c r="D20" s="583"/>
      <c r="E20" s="584"/>
      <c r="F20" s="583"/>
      <c r="G20" s="584"/>
      <c r="H20" s="583"/>
      <c r="I20" s="584"/>
      <c r="J20" s="719"/>
      <c r="K20" s="596"/>
      <c r="L20" s="724"/>
      <c r="M20" s="719"/>
      <c r="N20" s="36" t="s">
        <v>22</v>
      </c>
      <c r="O20" s="65">
        <f>IF(Basisdaten_Lunge!$K$33="",0,Basisdaten_Lunge!$K$33)</f>
        <v>0</v>
      </c>
      <c r="P20" s="721"/>
      <c r="Q20" s="698"/>
      <c r="R20" s="698"/>
    </row>
    <row r="21" spans="1:19" ht="27" customHeight="1" thickBot="1" x14ac:dyDescent="0.25">
      <c r="A21" s="601"/>
      <c r="B21" s="603"/>
      <c r="C21" s="658"/>
      <c r="D21" s="609"/>
      <c r="E21" s="610"/>
      <c r="F21" s="609"/>
      <c r="G21" s="610"/>
      <c r="H21" s="609"/>
      <c r="I21" s="610"/>
      <c r="J21" s="720"/>
      <c r="K21" s="725"/>
      <c r="L21" s="726"/>
      <c r="M21" s="720"/>
      <c r="N21" s="36" t="s">
        <v>23</v>
      </c>
      <c r="O21" s="268" t="str">
        <f>IF(O19="","n.d.",IF(O20="","n.d.",IF(O20=0,"",O19 /O20)))</f>
        <v>n.d.</v>
      </c>
      <c r="P21" s="721"/>
      <c r="Q21" s="698"/>
      <c r="R21" s="698"/>
    </row>
    <row r="22" spans="1:19" ht="27.75" customHeight="1" thickBot="1" x14ac:dyDescent="0.25">
      <c r="A22" s="585" t="s">
        <v>272</v>
      </c>
      <c r="B22" s="587" t="s">
        <v>274</v>
      </c>
      <c r="C22" s="660" t="s">
        <v>414</v>
      </c>
      <c r="D22" s="581" t="s">
        <v>258</v>
      </c>
      <c r="E22" s="582"/>
      <c r="F22" s="581" t="s">
        <v>892</v>
      </c>
      <c r="G22" s="582"/>
      <c r="H22" s="581" t="s">
        <v>893</v>
      </c>
      <c r="I22" s="582"/>
      <c r="J22" s="718"/>
      <c r="K22" s="744" t="s">
        <v>541</v>
      </c>
      <c r="L22" s="723"/>
      <c r="M22" s="718"/>
      <c r="N22" s="36" t="s">
        <v>20</v>
      </c>
      <c r="O22" s="42"/>
      <c r="P22" s="721" t="str">
        <f>IF(O24=Berechnung1!D36,Berechnung1!$F$5,IF(OR(O24&lt; Berechnung1!E36,O24&gt; Berechnung1!F36),Berechnung1!$G$5,IF(OR(ROUND(O24,4)&lt;Berechnung1!J36,ROUND(O24,4)&gt;Berechnung1!K36),Berechnung1!$D$5,IF(OR(ROUND(O24,4)&lt;Berechnung1!G36,ROUND(O24,4)&gt;Berechnung1!H36),Berechnung1!$E$5,Berechnung1!$C$5))))</f>
        <v>Unvollständig</v>
      </c>
      <c r="Q22" s="697"/>
      <c r="R22" s="697"/>
    </row>
    <row r="23" spans="1:19" ht="27.75" customHeight="1" thickBot="1" x14ac:dyDescent="0.25">
      <c r="A23" s="586"/>
      <c r="B23" s="588"/>
      <c r="C23" s="657"/>
      <c r="D23" s="583"/>
      <c r="E23" s="584"/>
      <c r="F23" s="583"/>
      <c r="G23" s="584"/>
      <c r="H23" s="583"/>
      <c r="I23" s="584"/>
      <c r="J23" s="719"/>
      <c r="K23" s="596"/>
      <c r="L23" s="724"/>
      <c r="M23" s="719"/>
      <c r="N23" s="36" t="s">
        <v>22</v>
      </c>
      <c r="O23" s="42"/>
      <c r="P23" s="721"/>
      <c r="Q23" s="698"/>
      <c r="R23" s="760"/>
    </row>
    <row r="24" spans="1:19" ht="27.75" customHeight="1" thickBot="1" x14ac:dyDescent="0.25">
      <c r="A24" s="601"/>
      <c r="B24" s="603"/>
      <c r="C24" s="658"/>
      <c r="D24" s="609"/>
      <c r="E24" s="610"/>
      <c r="F24" s="609"/>
      <c r="G24" s="610"/>
      <c r="H24" s="609"/>
      <c r="I24" s="610"/>
      <c r="J24" s="720"/>
      <c r="K24" s="725"/>
      <c r="L24" s="726"/>
      <c r="M24" s="720"/>
      <c r="N24" s="36" t="s">
        <v>23</v>
      </c>
      <c r="O24" s="268" t="str">
        <f>IF(O22="","n.d.",IF(O23="","n.d.",IF(O23=0,"",O22 /O23)))</f>
        <v>n.d.</v>
      </c>
      <c r="P24" s="721"/>
      <c r="Q24" s="698"/>
      <c r="R24" s="761"/>
    </row>
    <row r="25" spans="1:19" ht="27" customHeight="1" thickBot="1" x14ac:dyDescent="0.25">
      <c r="A25" s="585">
        <v>3</v>
      </c>
      <c r="B25" s="587" t="s">
        <v>275</v>
      </c>
      <c r="C25" s="660" t="s">
        <v>518</v>
      </c>
      <c r="D25" s="581" t="s">
        <v>507</v>
      </c>
      <c r="E25" s="582"/>
      <c r="F25" s="581" t="s">
        <v>733</v>
      </c>
      <c r="G25" s="582"/>
      <c r="H25" s="643" t="s">
        <v>734</v>
      </c>
      <c r="I25" s="646"/>
      <c r="J25" s="718"/>
      <c r="K25" s="594" t="s">
        <v>541</v>
      </c>
      <c r="L25" s="723"/>
      <c r="M25" s="718"/>
      <c r="N25" s="15" t="s">
        <v>20</v>
      </c>
      <c r="O25" s="42"/>
      <c r="P25" s="721" t="str">
        <f>IF(O27=Berechnung1!D39,Berechnung1!$F$5,IF(OR(O27&lt; Berechnung1!E39,O27&gt; Berechnung1!F39),Berechnung1!$G$5,IF(OR(ROUND(O27,4)&lt;Berechnung1!J39,ROUND(O27,4)&gt;Berechnung1!K39),Berechnung1!$D$5,IF(OR(ROUND(O27,4)&lt;Berechnung1!G39,ROUND(O27,4)&gt;Berechnung1!H39),Berechnung1!$E$5,Berechnung1!$C$5))))</f>
        <v>Unvollständig</v>
      </c>
      <c r="Q25" s="697"/>
      <c r="R25" s="697"/>
    </row>
    <row r="26" spans="1:19" ht="27" customHeight="1" thickBot="1" x14ac:dyDescent="0.25">
      <c r="A26" s="586"/>
      <c r="B26" s="588"/>
      <c r="C26" s="657"/>
      <c r="D26" s="583"/>
      <c r="E26" s="584"/>
      <c r="F26" s="583"/>
      <c r="G26" s="584"/>
      <c r="H26" s="644"/>
      <c r="I26" s="647"/>
      <c r="J26" s="719"/>
      <c r="K26" s="596"/>
      <c r="L26" s="724"/>
      <c r="M26" s="719"/>
      <c r="N26" s="36" t="s">
        <v>22</v>
      </c>
      <c r="O26" s="65">
        <f>IF(SUM(Basisdaten_Lunge!$C$34:$G$34)="",0,SUM(Basisdaten_Lunge!$C$34:$G$34))</f>
        <v>0</v>
      </c>
      <c r="P26" s="721"/>
      <c r="Q26" s="698"/>
      <c r="R26" s="760"/>
    </row>
    <row r="27" spans="1:19" ht="27" customHeight="1" thickBot="1" x14ac:dyDescent="0.25">
      <c r="A27" s="601"/>
      <c r="B27" s="603"/>
      <c r="C27" s="658"/>
      <c r="D27" s="609"/>
      <c r="E27" s="610"/>
      <c r="F27" s="609"/>
      <c r="G27" s="610"/>
      <c r="H27" s="645"/>
      <c r="I27" s="648"/>
      <c r="J27" s="720"/>
      <c r="K27" s="725"/>
      <c r="L27" s="726"/>
      <c r="M27" s="720"/>
      <c r="N27" s="36" t="s">
        <v>23</v>
      </c>
      <c r="O27" s="268" t="str">
        <f>IF(O25="","n.d.",IF(O26="","n.d.",IF(O26=0,"",O25 /O26)))</f>
        <v>n.d.</v>
      </c>
      <c r="P27" s="721"/>
      <c r="Q27" s="698"/>
      <c r="R27" s="761"/>
    </row>
    <row r="28" spans="1:19" ht="27" customHeight="1" thickBot="1" x14ac:dyDescent="0.25">
      <c r="A28" s="668" t="s">
        <v>971</v>
      </c>
      <c r="B28" s="693"/>
      <c r="C28" s="674" t="s">
        <v>972</v>
      </c>
      <c r="D28" s="677" t="s">
        <v>973</v>
      </c>
      <c r="E28" s="678"/>
      <c r="F28" s="677" t="s">
        <v>974</v>
      </c>
      <c r="G28" s="678"/>
      <c r="H28" s="677" t="s">
        <v>975</v>
      </c>
      <c r="I28" s="678"/>
      <c r="J28" s="683"/>
      <c r="K28" s="686" t="s">
        <v>250</v>
      </c>
      <c r="L28" s="687"/>
      <c r="M28" s="683"/>
      <c r="N28" s="504" t="s">
        <v>20</v>
      </c>
      <c r="O28" s="505"/>
      <c r="P28" s="662" t="str">
        <f>IF(AND(O28&lt;&gt;"",O29&lt;&gt;"",O28=0,O29=0),Berechnung1!$H$17,IF(O30=Berechnung1!D42,Berechnung1!$F$17,IF(OR(O30&lt; Berechnung1!E42,O30&gt; Berechnung1!F42),Berechnung1!$G$17,IF(OR(ROUND(O30,4)&lt;Berechnung1!J42,ROUND(O30,4)&gt;Berechnung1!K42),Berechnung1!$D$17,IF(OR(ROUND(O30,4)&lt;Berechnung1!G42,ROUND(O30,4)&gt;Berechnung1!H42),Berechnung1!$E$17,Berechnung1!$C$17)))))</f>
        <v>optional - unvollständig</v>
      </c>
      <c r="Q28" s="665"/>
      <c r="R28" s="665"/>
    </row>
    <row r="29" spans="1:19" ht="27" customHeight="1" thickBot="1" x14ac:dyDescent="0.25">
      <c r="A29" s="669"/>
      <c r="B29" s="672"/>
      <c r="C29" s="675"/>
      <c r="D29" s="679"/>
      <c r="E29" s="680"/>
      <c r="F29" s="679"/>
      <c r="G29" s="680"/>
      <c r="H29" s="679"/>
      <c r="I29" s="680"/>
      <c r="J29" s="684"/>
      <c r="K29" s="688"/>
      <c r="L29" s="689"/>
      <c r="M29" s="684"/>
      <c r="N29" s="506" t="s">
        <v>22</v>
      </c>
      <c r="O29" s="505"/>
      <c r="P29" s="662"/>
      <c r="Q29" s="664"/>
      <c r="R29" s="666"/>
      <c r="S29" s="3">
        <f>SUM(Basisdaten_Lunge!B33:H33)</f>
        <v>0</v>
      </c>
    </row>
    <row r="30" spans="1:19" ht="27" customHeight="1" thickBot="1" x14ac:dyDescent="0.25">
      <c r="A30" s="670"/>
      <c r="B30" s="673"/>
      <c r="C30" s="676"/>
      <c r="D30" s="681"/>
      <c r="E30" s="682"/>
      <c r="F30" s="681"/>
      <c r="G30" s="682"/>
      <c r="H30" s="681"/>
      <c r="I30" s="682"/>
      <c r="J30" s="685"/>
      <c r="K30" s="690"/>
      <c r="L30" s="691"/>
      <c r="M30" s="685"/>
      <c r="N30" s="506" t="s">
        <v>23</v>
      </c>
      <c r="O30" s="507" t="str">
        <f>IF(O28="","n.d.",IF(O29="","n.d.",IF(O29=0,"",O28/O29)))</f>
        <v>n.d.</v>
      </c>
      <c r="P30" s="662"/>
      <c r="Q30" s="664"/>
      <c r="R30" s="667"/>
    </row>
    <row r="31" spans="1:19" ht="27" customHeight="1" thickBot="1" x14ac:dyDescent="0.25">
      <c r="A31" s="668" t="s">
        <v>976</v>
      </c>
      <c r="B31" s="693"/>
      <c r="C31" s="674" t="s">
        <v>980</v>
      </c>
      <c r="D31" s="677" t="s">
        <v>977</v>
      </c>
      <c r="E31" s="678"/>
      <c r="F31" s="677" t="s">
        <v>978</v>
      </c>
      <c r="G31" s="678"/>
      <c r="H31" s="677" t="s">
        <v>894</v>
      </c>
      <c r="I31" s="678"/>
      <c r="J31" s="683"/>
      <c r="K31" s="686" t="s">
        <v>979</v>
      </c>
      <c r="L31" s="687"/>
      <c r="M31" s="683"/>
      <c r="N31" s="504" t="s">
        <v>20</v>
      </c>
      <c r="O31" s="505"/>
      <c r="P31" s="662" t="str">
        <f>IF(O33=Berechnung1!D45,Berechnung1!$F$17,IF(OR(O33&lt; Berechnung1!E45,O33&gt; Berechnung1!F45),Berechnung1!$G$17,IF(OR(ROUND(O33,4)&lt;Berechnung1!J45,ROUND(O33,4)&gt;Berechnung1!K45),Berechnung1!$D$17,IF(OR(ROUND(O33,4)&lt;Berechnung1!G45,ROUND(O33,4)&gt;Berechnung1!H45),Berechnung1!$E$17,Berechnung1!$C$17))))</f>
        <v>optional - unvollständig</v>
      </c>
      <c r="Q31" s="665"/>
      <c r="R31" s="665"/>
    </row>
    <row r="32" spans="1:19" ht="27" customHeight="1" thickBot="1" x14ac:dyDescent="0.25">
      <c r="A32" s="669"/>
      <c r="B32" s="672"/>
      <c r="C32" s="675"/>
      <c r="D32" s="679"/>
      <c r="E32" s="680"/>
      <c r="F32" s="679"/>
      <c r="G32" s="680"/>
      <c r="H32" s="679"/>
      <c r="I32" s="680"/>
      <c r="J32" s="684"/>
      <c r="K32" s="688"/>
      <c r="L32" s="689"/>
      <c r="M32" s="684"/>
      <c r="N32" s="506" t="s">
        <v>22</v>
      </c>
      <c r="O32" s="508">
        <f>IF(OR(O13=0,O16=""),0,O13+O16)</f>
        <v>0</v>
      </c>
      <c r="P32" s="662"/>
      <c r="Q32" s="664"/>
      <c r="R32" s="666"/>
    </row>
    <row r="33" spans="1:19" ht="27" customHeight="1" thickBot="1" x14ac:dyDescent="0.25">
      <c r="A33" s="670"/>
      <c r="B33" s="673"/>
      <c r="C33" s="676"/>
      <c r="D33" s="681"/>
      <c r="E33" s="682"/>
      <c r="F33" s="681"/>
      <c r="G33" s="682"/>
      <c r="H33" s="681"/>
      <c r="I33" s="682"/>
      <c r="J33" s="685"/>
      <c r="K33" s="690"/>
      <c r="L33" s="691"/>
      <c r="M33" s="685"/>
      <c r="N33" s="506" t="s">
        <v>23</v>
      </c>
      <c r="O33" s="507" t="str">
        <f>IF(O31="","n.d.",IF(O32="","n.d.",IF(O32=0,"",O31 /O32)))</f>
        <v>n.d.</v>
      </c>
      <c r="P33" s="662"/>
      <c r="Q33" s="664"/>
      <c r="R33" s="667"/>
    </row>
    <row r="34" spans="1:19" ht="27.75" customHeight="1" thickBot="1" x14ac:dyDescent="0.25">
      <c r="A34" s="585">
        <v>6</v>
      </c>
      <c r="B34" s="587"/>
      <c r="C34" s="660" t="s">
        <v>26</v>
      </c>
      <c r="D34" s="581" t="s">
        <v>981</v>
      </c>
      <c r="E34" s="582"/>
      <c r="F34" s="581" t="s">
        <v>895</v>
      </c>
      <c r="G34" s="582"/>
      <c r="H34" s="581" t="s">
        <v>894</v>
      </c>
      <c r="I34" s="582"/>
      <c r="J34" s="718" t="s">
        <v>610</v>
      </c>
      <c r="K34" s="594" t="s">
        <v>250</v>
      </c>
      <c r="L34" s="723"/>
      <c r="M34" s="718" t="s">
        <v>376</v>
      </c>
      <c r="N34" s="36" t="s">
        <v>20</v>
      </c>
      <c r="O34" s="42"/>
      <c r="P34" s="721" t="str">
        <f>IF(O36=Berechnung1!D48,Berechnung1!$F$5,IF(OR(O36&lt; Berechnung1!E48,O36&gt; Berechnung1!F48),Berechnung1!$G$5,IF(OR(ROUND(O36,4)&lt;Berechnung1!J48,ROUND(O36,4)&gt;Berechnung1!K48),Berechnung1!$D$5,IF(OR(ROUND(O36,4)&lt;Berechnung1!G48,ROUND(O36,4)&gt;Berechnung1!H48),Berechnung1!$E$5,Berechnung1!$C$5))))</f>
        <v>Unvollständig</v>
      </c>
      <c r="Q34" s="697"/>
      <c r="R34" s="697"/>
    </row>
    <row r="35" spans="1:19" ht="27.75" customHeight="1" thickBot="1" x14ac:dyDescent="0.25">
      <c r="A35" s="586"/>
      <c r="B35" s="588"/>
      <c r="C35" s="657"/>
      <c r="D35" s="583"/>
      <c r="E35" s="584"/>
      <c r="F35" s="583"/>
      <c r="G35" s="584"/>
      <c r="H35" s="583"/>
      <c r="I35" s="584"/>
      <c r="J35" s="719"/>
      <c r="K35" s="596"/>
      <c r="L35" s="724"/>
      <c r="M35" s="719"/>
      <c r="N35" s="36" t="s">
        <v>22</v>
      </c>
      <c r="O35" s="321">
        <f>IF(OR(O13=0,O16=""),0,O13+O16)</f>
        <v>0</v>
      </c>
      <c r="P35" s="721"/>
      <c r="Q35" s="698"/>
      <c r="R35" s="698"/>
    </row>
    <row r="36" spans="1:19" ht="27.75" customHeight="1" thickBot="1" x14ac:dyDescent="0.25">
      <c r="A36" s="601"/>
      <c r="B36" s="603"/>
      <c r="C36" s="658"/>
      <c r="D36" s="609"/>
      <c r="E36" s="610"/>
      <c r="F36" s="609"/>
      <c r="G36" s="610"/>
      <c r="H36" s="609"/>
      <c r="I36" s="610"/>
      <c r="J36" s="720"/>
      <c r="K36" s="725"/>
      <c r="L36" s="726"/>
      <c r="M36" s="720"/>
      <c r="N36" s="36" t="s">
        <v>23</v>
      </c>
      <c r="O36" s="268" t="str">
        <f>IF(O34="","n.d.",IF(O35="","n.d.",IF(O35=0,"",O34 /O35)))</f>
        <v>n.d.</v>
      </c>
      <c r="P36" s="721"/>
      <c r="Q36" s="698"/>
      <c r="R36" s="698"/>
    </row>
    <row r="37" spans="1:19" ht="27.75" customHeight="1" thickBot="1" x14ac:dyDescent="0.25">
      <c r="A37" s="585">
        <v>7</v>
      </c>
      <c r="B37" s="587" t="s">
        <v>276</v>
      </c>
      <c r="C37" s="660" t="s">
        <v>896</v>
      </c>
      <c r="D37" s="581" t="s">
        <v>982</v>
      </c>
      <c r="E37" s="582"/>
      <c r="F37" s="581" t="s">
        <v>983</v>
      </c>
      <c r="G37" s="582"/>
      <c r="H37" s="581" t="s">
        <v>834</v>
      </c>
      <c r="I37" s="582"/>
      <c r="J37" s="718"/>
      <c r="K37" s="594" t="s">
        <v>542</v>
      </c>
      <c r="L37" s="723"/>
      <c r="M37" s="718"/>
      <c r="N37" s="15" t="s">
        <v>20</v>
      </c>
      <c r="O37" s="42"/>
      <c r="P37" s="721" t="str">
        <f>IF(O39=Berechnung1!D51,Berechnung1!$F$5,IF(OR(O39&lt; Berechnung1!E51,O39&gt; Berechnung1!F51),Berechnung1!$G$5,IF(OR(ROUND(O39,4)&lt;Berechnung1!J51,ROUND(O39,4)&gt;Berechnung1!K51),Berechnung1!$D$5,IF(OR(ROUND(O39,4)&lt;Berechnung1!G51,ROUND(O39,3)&gt;Berechnung1!H51),Berechnung1!$E$5,Berechnung1!$C$5))))</f>
        <v>Unvollständig</v>
      </c>
      <c r="Q37" s="697"/>
      <c r="R37" s="697"/>
    </row>
    <row r="38" spans="1:19" ht="27.75" customHeight="1" thickBot="1" x14ac:dyDescent="0.25">
      <c r="A38" s="586"/>
      <c r="B38" s="588"/>
      <c r="C38" s="657"/>
      <c r="D38" s="583"/>
      <c r="E38" s="584"/>
      <c r="F38" s="583"/>
      <c r="G38" s="584"/>
      <c r="H38" s="583"/>
      <c r="I38" s="584"/>
      <c r="J38" s="719"/>
      <c r="K38" s="596"/>
      <c r="L38" s="724"/>
      <c r="M38" s="719"/>
      <c r="N38" s="36" t="s">
        <v>22</v>
      </c>
      <c r="O38" s="65">
        <f>IF(Basisdaten_Lunge!$K$33="",0,Basisdaten_Lunge!$K$33)</f>
        <v>0</v>
      </c>
      <c r="P38" s="721"/>
      <c r="Q38" s="698"/>
      <c r="R38" s="760"/>
    </row>
    <row r="39" spans="1:19" ht="27.75" customHeight="1" thickBot="1" x14ac:dyDescent="0.25">
      <c r="A39" s="601"/>
      <c r="B39" s="603"/>
      <c r="C39" s="658"/>
      <c r="D39" s="609"/>
      <c r="E39" s="610"/>
      <c r="F39" s="609"/>
      <c r="G39" s="610"/>
      <c r="H39" s="609"/>
      <c r="I39" s="610"/>
      <c r="J39" s="720"/>
      <c r="K39" s="725"/>
      <c r="L39" s="726"/>
      <c r="M39" s="720"/>
      <c r="N39" s="36" t="s">
        <v>23</v>
      </c>
      <c r="O39" s="268" t="str">
        <f>IF(O37="","n.d.",IF(O38="","n.d.",IF(O38=0,"",O37 /O38)))</f>
        <v>n.d.</v>
      </c>
      <c r="P39" s="721"/>
      <c r="Q39" s="698"/>
      <c r="R39" s="761"/>
    </row>
    <row r="40" spans="1:19" ht="27.75" customHeight="1" thickBot="1" x14ac:dyDescent="0.25">
      <c r="A40" s="585">
        <v>8</v>
      </c>
      <c r="B40" s="587" t="s">
        <v>277</v>
      </c>
      <c r="C40" s="660" t="s">
        <v>259</v>
      </c>
      <c r="D40" s="581" t="s">
        <v>255</v>
      </c>
      <c r="E40" s="582"/>
      <c r="F40" s="581" t="s">
        <v>508</v>
      </c>
      <c r="G40" s="582"/>
      <c r="H40" s="581" t="s">
        <v>251</v>
      </c>
      <c r="I40" s="582"/>
      <c r="J40" s="718"/>
      <c r="K40" s="594" t="s">
        <v>336</v>
      </c>
      <c r="L40" s="723"/>
      <c r="M40" s="718"/>
      <c r="N40" s="762" t="s">
        <v>25</v>
      </c>
      <c r="O40" s="746">
        <f>IF(SUM(Expertise_Lunge!M14:M16)=0,0,SUM(Expertise_Lunge!M14:M16))</f>
        <v>0</v>
      </c>
      <c r="P40" s="721" t="str">
        <f>Expertise_Lunge!P14</f>
        <v>Unvollständig</v>
      </c>
      <c r="Q40" s="765" t="str">
        <f>IF(AND(Expertise_Lunge!Q14="",Expertise_Lunge!Q15="",Expertise_Lunge!Q16=""),"",CONCATENATE(Expertise_Lunge!Q14,CHAR(10),Expertise_Lunge!Q15,CHAR(10),Expertise_Lunge!Q16,CHAR(10)))</f>
        <v/>
      </c>
      <c r="R40" s="765" t="str">
        <f>IF(Expertise_Lunge!R14="","",CONCATENATE(Expertise_Lunge!R14,CHAR(10),Expertise_Lunge!R15,CHAR(10),Expertise_Lunge!R16,CHAR(10)))</f>
        <v/>
      </c>
    </row>
    <row r="41" spans="1:19" ht="27.75" customHeight="1" thickBot="1" x14ac:dyDescent="0.25">
      <c r="A41" s="586"/>
      <c r="B41" s="588"/>
      <c r="C41" s="657"/>
      <c r="D41" s="583"/>
      <c r="E41" s="584"/>
      <c r="F41" s="583"/>
      <c r="G41" s="584"/>
      <c r="H41" s="583"/>
      <c r="I41" s="584"/>
      <c r="J41" s="719"/>
      <c r="K41" s="596"/>
      <c r="L41" s="724"/>
      <c r="M41" s="719"/>
      <c r="N41" s="763"/>
      <c r="O41" s="768"/>
      <c r="P41" s="721"/>
      <c r="Q41" s="766"/>
      <c r="R41" s="766"/>
    </row>
    <row r="42" spans="1:19" ht="27.75" customHeight="1" thickBot="1" x14ac:dyDescent="0.25">
      <c r="A42" s="601"/>
      <c r="B42" s="603"/>
      <c r="C42" s="658"/>
      <c r="D42" s="609"/>
      <c r="E42" s="610"/>
      <c r="F42" s="609"/>
      <c r="G42" s="610"/>
      <c r="H42" s="609"/>
      <c r="I42" s="610"/>
      <c r="J42" s="720"/>
      <c r="K42" s="725"/>
      <c r="L42" s="726"/>
      <c r="M42" s="720"/>
      <c r="N42" s="764"/>
      <c r="O42" s="769"/>
      <c r="P42" s="721"/>
      <c r="Q42" s="767"/>
      <c r="R42" s="767"/>
    </row>
    <row r="43" spans="1:19" ht="27.75" customHeight="1" thickBot="1" x14ac:dyDescent="0.25">
      <c r="A43" s="585">
        <v>9</v>
      </c>
      <c r="B43" s="587" t="s">
        <v>277</v>
      </c>
      <c r="C43" s="660" t="s">
        <v>605</v>
      </c>
      <c r="D43" s="581" t="s">
        <v>255</v>
      </c>
      <c r="E43" s="582"/>
      <c r="F43" s="643" t="s">
        <v>606</v>
      </c>
      <c r="G43" s="646"/>
      <c r="H43" s="581" t="s">
        <v>251</v>
      </c>
      <c r="I43" s="582"/>
      <c r="J43" s="770"/>
      <c r="K43" s="617" t="s">
        <v>548</v>
      </c>
      <c r="L43" s="773"/>
      <c r="M43" s="770"/>
      <c r="N43" s="762" t="s">
        <v>25</v>
      </c>
      <c r="O43" s="746">
        <f>IF(SUM(Expertise_Lunge!M17:M19)=0,0,SUM(Expertise_Lunge!M17:M19))</f>
        <v>0</v>
      </c>
      <c r="P43" s="749" t="str">
        <f>Expertise_Lunge!P17</f>
        <v>Unvollständig</v>
      </c>
      <c r="Q43" s="765" t="str">
        <f>IF(AND(Expertise_Lunge!Q17="",Expertise_Lunge!Q18="",Expertise_Lunge!Q19=""),"",CONCATENATE(Expertise_Lunge!Q17,CHAR(10),Expertise_Lunge!Q18,CHAR(10),Expertise_Lunge!Q19,CHAR(10)))</f>
        <v/>
      </c>
      <c r="R43" s="765" t="str">
        <f>IF(Expertise_Lunge!R17="","",CONCATENATE(Expertise_Lunge!R17,CHAR(10),Expertise_Lunge!R18,CHAR(10),Expertise_Lunge!R19,CHAR(10)))</f>
        <v/>
      </c>
    </row>
    <row r="44" spans="1:19" ht="27.75" customHeight="1" thickBot="1" x14ac:dyDescent="0.25">
      <c r="A44" s="586"/>
      <c r="B44" s="588"/>
      <c r="C44" s="657"/>
      <c r="D44" s="583"/>
      <c r="E44" s="584"/>
      <c r="F44" s="644"/>
      <c r="G44" s="647"/>
      <c r="H44" s="583"/>
      <c r="I44" s="584"/>
      <c r="J44" s="771"/>
      <c r="K44" s="774"/>
      <c r="L44" s="775"/>
      <c r="M44" s="771"/>
      <c r="N44" s="763"/>
      <c r="O44" s="768"/>
      <c r="P44" s="750"/>
      <c r="Q44" s="780"/>
      <c r="R44" s="766"/>
    </row>
    <row r="45" spans="1:19" ht="27.75" customHeight="1" thickBot="1" x14ac:dyDescent="0.25">
      <c r="A45" s="601"/>
      <c r="B45" s="603"/>
      <c r="C45" s="658"/>
      <c r="D45" s="609"/>
      <c r="E45" s="610"/>
      <c r="F45" s="645"/>
      <c r="G45" s="648"/>
      <c r="H45" s="609"/>
      <c r="I45" s="610"/>
      <c r="J45" s="772"/>
      <c r="K45" s="776"/>
      <c r="L45" s="777"/>
      <c r="M45" s="772"/>
      <c r="N45" s="764"/>
      <c r="O45" s="769"/>
      <c r="P45" s="751"/>
      <c r="Q45" s="780"/>
      <c r="R45" s="767"/>
    </row>
    <row r="46" spans="1:19" ht="27.75" customHeight="1" thickBot="1" x14ac:dyDescent="0.25">
      <c r="A46" s="668" t="s">
        <v>984</v>
      </c>
      <c r="B46" s="693" t="s">
        <v>825</v>
      </c>
      <c r="C46" s="674" t="s">
        <v>985</v>
      </c>
      <c r="D46" s="677" t="s">
        <v>986</v>
      </c>
      <c r="E46" s="678"/>
      <c r="F46" s="677" t="s">
        <v>987</v>
      </c>
      <c r="G46" s="678"/>
      <c r="H46" s="677" t="s">
        <v>988</v>
      </c>
      <c r="I46" s="678"/>
      <c r="J46" s="683"/>
      <c r="K46" s="686" t="s">
        <v>250</v>
      </c>
      <c r="L46" s="687"/>
      <c r="M46" s="683"/>
      <c r="N46" s="504" t="s">
        <v>20</v>
      </c>
      <c r="O46" s="505"/>
      <c r="P46" s="662" t="str">
        <f>IF(O48=Berechnung1!D60,Berechnung1!$F$17,IF(OR(O48&lt; Berechnung1!E60,O48&gt; Berechnung1!F60),Berechnung1!$G$17,IF(OR(ROUND(O48,4)&lt;Berechnung1!J60,ROUND(O48,4)&gt;Berechnung1!K60),Berechnung1!$D$17,IF(OR(ROUND(O48,4)&lt;Berechnung1!G60,ROUND(O48,4)&gt;Berechnung1!H60),Berechnung1!$E$17,Berechnung1!$C$17))))</f>
        <v>optional - unvollständig</v>
      </c>
      <c r="Q46" s="665"/>
      <c r="R46" s="665"/>
    </row>
    <row r="47" spans="1:19" ht="27.75" customHeight="1" thickBot="1" x14ac:dyDescent="0.25">
      <c r="A47" s="669"/>
      <c r="B47" s="672"/>
      <c r="C47" s="675"/>
      <c r="D47" s="679"/>
      <c r="E47" s="680"/>
      <c r="F47" s="679"/>
      <c r="G47" s="680"/>
      <c r="H47" s="679"/>
      <c r="I47" s="680"/>
      <c r="J47" s="684"/>
      <c r="K47" s="688"/>
      <c r="L47" s="689"/>
      <c r="M47" s="684"/>
      <c r="N47" s="506" t="s">
        <v>22</v>
      </c>
      <c r="O47" s="505"/>
      <c r="P47" s="662"/>
      <c r="Q47" s="664"/>
      <c r="R47" s="666"/>
      <c r="S47" s="3">
        <f>SUM(Basisdaten_Lunge!C33:G33)</f>
        <v>0</v>
      </c>
    </row>
    <row r="48" spans="1:19" ht="27.75" customHeight="1" thickBot="1" x14ac:dyDescent="0.25">
      <c r="A48" s="670"/>
      <c r="B48" s="673"/>
      <c r="C48" s="676"/>
      <c r="D48" s="681"/>
      <c r="E48" s="682"/>
      <c r="F48" s="681"/>
      <c r="G48" s="682"/>
      <c r="H48" s="681"/>
      <c r="I48" s="682"/>
      <c r="J48" s="685"/>
      <c r="K48" s="690"/>
      <c r="L48" s="691"/>
      <c r="M48" s="685"/>
      <c r="N48" s="506" t="s">
        <v>23</v>
      </c>
      <c r="O48" s="507" t="str">
        <f>IF(O46="","n.d.",IF(O47="","n.d.",IF(O47=0,"",O46 /O47)))</f>
        <v>n.d.</v>
      </c>
      <c r="P48" s="662"/>
      <c r="Q48" s="664"/>
      <c r="R48" s="667"/>
    </row>
    <row r="49" spans="1:18" ht="27.75" customHeight="1" thickBot="1" x14ac:dyDescent="0.25">
      <c r="A49" s="585" t="s">
        <v>963</v>
      </c>
      <c r="B49" s="587" t="s">
        <v>278</v>
      </c>
      <c r="C49" s="660" t="s">
        <v>260</v>
      </c>
      <c r="D49" s="581" t="s">
        <v>255</v>
      </c>
      <c r="E49" s="778"/>
      <c r="F49" s="643" t="s">
        <v>823</v>
      </c>
      <c r="G49" s="646"/>
      <c r="H49" s="581" t="s">
        <v>251</v>
      </c>
      <c r="I49" s="582"/>
      <c r="J49" s="770"/>
      <c r="K49" s="617" t="s">
        <v>250</v>
      </c>
      <c r="L49" s="773"/>
      <c r="M49" s="770"/>
      <c r="N49" s="762" t="s">
        <v>25</v>
      </c>
      <c r="O49" s="746">
        <f>IF(Basisdaten_Lunge!$K$34="",0,Basisdaten_Lunge!$K$34)</f>
        <v>0</v>
      </c>
      <c r="P49" s="749" t="str">
        <f>IF(O49=0,Berechnung1!$F$5, IF(O49=0,Berechnung1!$D$5,IF(OR(O49&lt; Berechnung1!E63,O49&gt; Berechnung1!F63),Berechnung1!$G$5,IF(OR(ROUND(O49,4)&lt;Berechnung1!J63,ROUND(O49,4)&gt;Berechnung1!K63),Berechnung1!$D$5,IF(OR(ROUND(O49,4)&lt;Berechnung1!G63,ROUND(O49,4)&gt;Berechnung1!H63),Berechnung1!$E$5,Berechnung1!$C$5)))))</f>
        <v>Unvollständig</v>
      </c>
      <c r="Q49" s="697"/>
      <c r="R49" s="697"/>
    </row>
    <row r="50" spans="1:18" ht="27.75" customHeight="1" thickBot="1" x14ac:dyDescent="0.25">
      <c r="A50" s="586"/>
      <c r="B50" s="602"/>
      <c r="C50" s="661"/>
      <c r="D50" s="608"/>
      <c r="E50" s="779"/>
      <c r="F50" s="644"/>
      <c r="G50" s="647"/>
      <c r="H50" s="583"/>
      <c r="I50" s="584"/>
      <c r="J50" s="771"/>
      <c r="K50" s="774"/>
      <c r="L50" s="775"/>
      <c r="M50" s="771"/>
      <c r="N50" s="763"/>
      <c r="O50" s="747"/>
      <c r="P50" s="750"/>
      <c r="Q50" s="698"/>
      <c r="R50" s="760"/>
    </row>
    <row r="51" spans="1:18" ht="27.75" customHeight="1" thickBot="1" x14ac:dyDescent="0.25">
      <c r="A51" s="601"/>
      <c r="B51" s="602"/>
      <c r="C51" s="661"/>
      <c r="D51" s="608"/>
      <c r="E51" s="779"/>
      <c r="F51" s="645"/>
      <c r="G51" s="648"/>
      <c r="H51" s="609"/>
      <c r="I51" s="610"/>
      <c r="J51" s="772"/>
      <c r="K51" s="776"/>
      <c r="L51" s="777"/>
      <c r="M51" s="772"/>
      <c r="N51" s="764"/>
      <c r="O51" s="748"/>
      <c r="P51" s="751"/>
      <c r="Q51" s="698"/>
      <c r="R51" s="761"/>
    </row>
    <row r="52" spans="1:18" ht="27.75" customHeight="1" thickBot="1" x14ac:dyDescent="0.25">
      <c r="A52" s="635" t="s">
        <v>964</v>
      </c>
      <c r="B52" s="602"/>
      <c r="C52" s="661"/>
      <c r="D52" s="608"/>
      <c r="E52" s="779"/>
      <c r="F52" s="643" t="s">
        <v>1034</v>
      </c>
      <c r="G52" s="646"/>
      <c r="H52" s="581" t="s">
        <v>251</v>
      </c>
      <c r="I52" s="582"/>
      <c r="J52" s="770"/>
      <c r="K52" s="617" t="s">
        <v>360</v>
      </c>
      <c r="L52" s="773"/>
      <c r="M52" s="770"/>
      <c r="N52" s="781" t="s">
        <v>25</v>
      </c>
      <c r="O52" s="746">
        <f>IF(Basisdaten_Lunge!K39="",0,Basisdaten_Lunge!K39)</f>
        <v>0</v>
      </c>
      <c r="P52" s="749" t="str">
        <f>IF(O52=0,Berechnung1!$F$5, IF(O52=0,Berechnung1!$D$5,IF(OR(O52&lt; Berechnung1!E66,O52&gt; Berechnung1!F66),Berechnung1!$G$5,IF(OR(ROUND(O52,4)&lt;Berechnung1!J66,ROUND(O52,4)&gt;Berechnung1!K66),Berechnung1!$D$5,IF(OR(ROUND(O52,4)&lt;Berechnung1!G66,ROUND(O52,4)&gt;Berechnung1!H66),Berechnung1!$E$5,Berechnung1!$C$5)))))</f>
        <v>Unvollständig</v>
      </c>
      <c r="Q52" s="697"/>
      <c r="R52" s="697"/>
    </row>
    <row r="53" spans="1:18" ht="27.75" customHeight="1" thickBot="1" x14ac:dyDescent="0.25">
      <c r="A53" s="638"/>
      <c r="B53" s="602"/>
      <c r="C53" s="661"/>
      <c r="D53" s="608"/>
      <c r="E53" s="779"/>
      <c r="F53" s="644"/>
      <c r="G53" s="647"/>
      <c r="H53" s="583"/>
      <c r="I53" s="584"/>
      <c r="J53" s="771"/>
      <c r="K53" s="774"/>
      <c r="L53" s="775"/>
      <c r="M53" s="771"/>
      <c r="N53" s="763"/>
      <c r="O53" s="747"/>
      <c r="P53" s="750"/>
      <c r="Q53" s="698"/>
      <c r="R53" s="760"/>
    </row>
    <row r="54" spans="1:18" ht="27.75" customHeight="1" thickBot="1" x14ac:dyDescent="0.25">
      <c r="A54" s="639"/>
      <c r="B54" s="602"/>
      <c r="C54" s="661"/>
      <c r="D54" s="608"/>
      <c r="E54" s="779"/>
      <c r="F54" s="645"/>
      <c r="G54" s="648"/>
      <c r="H54" s="609"/>
      <c r="I54" s="610"/>
      <c r="J54" s="772"/>
      <c r="K54" s="776"/>
      <c r="L54" s="777"/>
      <c r="M54" s="772"/>
      <c r="N54" s="764"/>
      <c r="O54" s="748"/>
      <c r="P54" s="751"/>
      <c r="Q54" s="698"/>
      <c r="R54" s="761"/>
    </row>
    <row r="55" spans="1:18" ht="27.75" customHeight="1" thickBot="1" x14ac:dyDescent="0.25">
      <c r="A55" s="585">
        <v>12</v>
      </c>
      <c r="B55" s="587"/>
      <c r="C55" s="660" t="s">
        <v>607</v>
      </c>
      <c r="D55" s="581" t="s">
        <v>608</v>
      </c>
      <c r="E55" s="582"/>
      <c r="F55" s="581" t="s">
        <v>735</v>
      </c>
      <c r="G55" s="582"/>
      <c r="H55" s="643" t="s">
        <v>609</v>
      </c>
      <c r="I55" s="646"/>
      <c r="J55" s="770" t="s">
        <v>610</v>
      </c>
      <c r="K55" s="617" t="s">
        <v>250</v>
      </c>
      <c r="L55" s="773"/>
      <c r="M55" s="770"/>
      <c r="N55" s="15" t="s">
        <v>20</v>
      </c>
      <c r="O55" s="42"/>
      <c r="P55" s="721" t="str">
        <f>IF(O57=Berechnung1!D69,Berechnung1!$F$5,IF(OR(O57&lt; Berechnung1!E69,O57&gt; Berechnung1!F69),Berechnung1!$G$5,IF(OR(ROUND(O57,4)&lt;Berechnung1!G69,ROUND(O57,4)&gt;Berechnung1!H69),Berechnung1!$E$5,IF(OR(ROUND(O57,4)&lt;Berechnung1!J69,ROUND(O57,4)&gt;Berechnung1!K69),Berechnung1!$D$5,Berechnung1!$C$5))))</f>
        <v>Unvollständig</v>
      </c>
      <c r="Q55" s="752"/>
      <c r="R55" s="697"/>
    </row>
    <row r="56" spans="1:18" ht="27.75" customHeight="1" thickBot="1" x14ac:dyDescent="0.25">
      <c r="A56" s="586"/>
      <c r="B56" s="588"/>
      <c r="C56" s="657"/>
      <c r="D56" s="583"/>
      <c r="E56" s="584"/>
      <c r="F56" s="583"/>
      <c r="G56" s="584"/>
      <c r="H56" s="644"/>
      <c r="I56" s="647"/>
      <c r="J56" s="771"/>
      <c r="K56" s="774"/>
      <c r="L56" s="775"/>
      <c r="M56" s="771"/>
      <c r="N56" s="36" t="s">
        <v>22</v>
      </c>
      <c r="O56" s="42"/>
      <c r="P56" s="721"/>
      <c r="Q56" s="698"/>
      <c r="R56" s="760"/>
    </row>
    <row r="57" spans="1:18" ht="27.75" customHeight="1" thickBot="1" x14ac:dyDescent="0.25">
      <c r="A57" s="601"/>
      <c r="B57" s="603"/>
      <c r="C57" s="658"/>
      <c r="D57" s="609"/>
      <c r="E57" s="610"/>
      <c r="F57" s="609"/>
      <c r="G57" s="610"/>
      <c r="H57" s="645"/>
      <c r="I57" s="648"/>
      <c r="J57" s="772"/>
      <c r="K57" s="776"/>
      <c r="L57" s="777"/>
      <c r="M57" s="772"/>
      <c r="N57" s="36" t="s">
        <v>23</v>
      </c>
      <c r="O57" s="268" t="str">
        <f>IF(O55="","n.d.",IF(O56=0,"n.d.",IF(O56=0,"",O55/O56)))</f>
        <v>n.d.</v>
      </c>
      <c r="P57" s="721"/>
      <c r="Q57" s="698"/>
      <c r="R57" s="761"/>
    </row>
    <row r="58" spans="1:18" s="57" customFormat="1" ht="27.75" customHeight="1" thickBot="1" x14ac:dyDescent="0.25">
      <c r="A58" s="585">
        <v>13</v>
      </c>
      <c r="B58" s="587" t="s">
        <v>278</v>
      </c>
      <c r="C58" s="660" t="s">
        <v>611</v>
      </c>
      <c r="D58" s="581" t="s">
        <v>736</v>
      </c>
      <c r="E58" s="582"/>
      <c r="F58" s="581" t="s">
        <v>737</v>
      </c>
      <c r="G58" s="582"/>
      <c r="H58" s="643" t="s">
        <v>966</v>
      </c>
      <c r="I58" s="646"/>
      <c r="J58" s="770"/>
      <c r="K58" s="617" t="s">
        <v>250</v>
      </c>
      <c r="L58" s="773"/>
      <c r="M58" s="770"/>
      <c r="N58" s="15" t="s">
        <v>20</v>
      </c>
      <c r="O58" s="42"/>
      <c r="P58" s="721" t="str">
        <f>IF(O60=Berechnung1!D72,Berechnung1!$F$5,IF(OR(O60&lt; Berechnung1!E72,O60&gt; Berechnung1!F72),Berechnung1!$G$5,IF(OR(ROUND(O60,4)&lt;Berechnung1!J72,ROUND(O60,4)&gt;Berechnung1!K72),Berechnung1!$D$5,IF(OR(ROUND(O60,4)&lt;Berechnung1!G72,ROUND(O60,4)&gt;Berechnung1!H72),Berechnung1!$E$5,Berechnung1!$C$5))))</f>
        <v>Unvollständig</v>
      </c>
      <c r="Q58" s="697"/>
      <c r="R58" s="697"/>
    </row>
    <row r="59" spans="1:18" s="57" customFormat="1" ht="27.75" customHeight="1" thickBot="1" x14ac:dyDescent="0.25">
      <c r="A59" s="586"/>
      <c r="B59" s="588"/>
      <c r="C59" s="657"/>
      <c r="D59" s="583"/>
      <c r="E59" s="584"/>
      <c r="F59" s="583"/>
      <c r="G59" s="584"/>
      <c r="H59" s="644"/>
      <c r="I59" s="647"/>
      <c r="J59" s="771"/>
      <c r="K59" s="774"/>
      <c r="L59" s="775"/>
      <c r="M59" s="771"/>
      <c r="N59" s="36" t="s">
        <v>22</v>
      </c>
      <c r="O59" s="65">
        <f>IF(Basisdaten_Lunge!$K$34="",0,Basisdaten_Lunge!$K$34)</f>
        <v>0</v>
      </c>
      <c r="P59" s="721"/>
      <c r="Q59" s="698"/>
      <c r="R59" s="760"/>
    </row>
    <row r="60" spans="1:18" s="57" customFormat="1" ht="27.75" customHeight="1" thickBot="1" x14ac:dyDescent="0.25">
      <c r="A60" s="601"/>
      <c r="B60" s="603"/>
      <c r="C60" s="658"/>
      <c r="D60" s="609"/>
      <c r="E60" s="610"/>
      <c r="F60" s="609"/>
      <c r="G60" s="610"/>
      <c r="H60" s="645"/>
      <c r="I60" s="648"/>
      <c r="J60" s="772"/>
      <c r="K60" s="776"/>
      <c r="L60" s="777"/>
      <c r="M60" s="772"/>
      <c r="N60" s="36" t="s">
        <v>23</v>
      </c>
      <c r="O60" s="268" t="str">
        <f>IF(O58="","n.d.",IF(O59=0,"n.d.",IF(O59=0,"",O58/O59)))</f>
        <v>n.d.</v>
      </c>
      <c r="P60" s="721"/>
      <c r="Q60" s="698"/>
      <c r="R60" s="761"/>
    </row>
    <row r="61" spans="1:18" ht="27.75" customHeight="1" thickBot="1" x14ac:dyDescent="0.25">
      <c r="A61" s="585">
        <v>14</v>
      </c>
      <c r="B61" s="587" t="s">
        <v>279</v>
      </c>
      <c r="C61" s="660" t="s">
        <v>261</v>
      </c>
      <c r="D61" s="581" t="s">
        <v>897</v>
      </c>
      <c r="E61" s="582"/>
      <c r="F61" s="581" t="s">
        <v>738</v>
      </c>
      <c r="G61" s="582"/>
      <c r="H61" s="643" t="s">
        <v>989</v>
      </c>
      <c r="I61" s="646"/>
      <c r="J61" s="718" t="s">
        <v>365</v>
      </c>
      <c r="K61" s="594" t="s">
        <v>380</v>
      </c>
      <c r="L61" s="723"/>
      <c r="M61" s="718"/>
      <c r="N61" s="15" t="s">
        <v>20</v>
      </c>
      <c r="O61" s="42"/>
      <c r="P61" s="721" t="str">
        <f>IF(O63=Berechnung1!D75,Berechnung1!$F$5,IF(OR(O63&lt; Berechnung1!E75,O63&gt; Berechnung1!F75),Berechnung1!$G$5,IF(OR(O63&lt;Berechnung1!J75,O63&gt;Berechnung1!K75),Berechnung1!$D$5,IF(OR(ROUND(O63,4)&lt;Berechnung1!G75,ROUND(O63,4)&gt;Berechnung1!H75),Berechnung1!$E$5,Berechnung1!$C$5))))</f>
        <v>Unvollständig</v>
      </c>
      <c r="Q61" s="697"/>
      <c r="R61" s="697"/>
    </row>
    <row r="62" spans="1:18" ht="27.75" customHeight="1" thickBot="1" x14ac:dyDescent="0.25">
      <c r="A62" s="586"/>
      <c r="B62" s="588"/>
      <c r="C62" s="657"/>
      <c r="D62" s="583"/>
      <c r="E62" s="584"/>
      <c r="F62" s="583"/>
      <c r="G62" s="584"/>
      <c r="H62" s="644"/>
      <c r="I62" s="647"/>
      <c r="J62" s="719"/>
      <c r="K62" s="596"/>
      <c r="L62" s="724"/>
      <c r="M62" s="719"/>
      <c r="N62" s="36" t="s">
        <v>22</v>
      </c>
      <c r="O62" s="65">
        <f>IF(Basisdaten_Lunge!$K$34="",0,Basisdaten_Lunge!$K$34)</f>
        <v>0</v>
      </c>
      <c r="P62" s="721"/>
      <c r="Q62" s="698"/>
      <c r="R62" s="760"/>
    </row>
    <row r="63" spans="1:18" ht="27.75" customHeight="1" thickBot="1" x14ac:dyDescent="0.25">
      <c r="A63" s="601"/>
      <c r="B63" s="603"/>
      <c r="C63" s="658"/>
      <c r="D63" s="609"/>
      <c r="E63" s="610"/>
      <c r="F63" s="609"/>
      <c r="G63" s="610"/>
      <c r="H63" s="645"/>
      <c r="I63" s="648"/>
      <c r="J63" s="720"/>
      <c r="K63" s="725"/>
      <c r="L63" s="726"/>
      <c r="M63" s="720"/>
      <c r="N63" s="36" t="s">
        <v>23</v>
      </c>
      <c r="O63" s="268" t="str">
        <f>IF(O61="","n.d.",IF(O62=0,"n.d.",IF(O62=0,"",O61/O62)))</f>
        <v>n.d.</v>
      </c>
      <c r="P63" s="721"/>
      <c r="Q63" s="698"/>
      <c r="R63" s="761"/>
    </row>
    <row r="64" spans="1:18" ht="27.75" customHeight="1" thickBot="1" x14ac:dyDescent="0.25">
      <c r="A64" s="585">
        <v>15</v>
      </c>
      <c r="B64" s="587" t="s">
        <v>279</v>
      </c>
      <c r="C64" s="660" t="s">
        <v>487</v>
      </c>
      <c r="D64" s="581" t="s">
        <v>415</v>
      </c>
      <c r="E64" s="582"/>
      <c r="F64" s="581" t="s">
        <v>739</v>
      </c>
      <c r="G64" s="582"/>
      <c r="H64" s="643" t="s">
        <v>989</v>
      </c>
      <c r="I64" s="646"/>
      <c r="J64" s="718" t="s">
        <v>365</v>
      </c>
      <c r="K64" s="594" t="s">
        <v>380</v>
      </c>
      <c r="L64" s="723"/>
      <c r="M64" s="718"/>
      <c r="N64" s="15" t="s">
        <v>20</v>
      </c>
      <c r="O64" s="42"/>
      <c r="P64" s="721" t="str">
        <f>IF(O66=Berechnung1!D78,Berechnung1!$F$5,IF(OR(O66&lt; Berechnung1!E78,O66&gt; Berechnung1!F78),Berechnung1!$G$5,IF(OR(O66&lt;Berechnung1!J78,O66&gt;Berechnung1!K78),Berechnung1!$D$5,IF(OR(ROUND(O66,4)&lt;Berechnung1!G78,ROUND(O66,4)&gt;Berechnung1!H78),Berechnung1!$E$5,Berechnung1!$C$5))))</f>
        <v>Unvollständig</v>
      </c>
      <c r="Q64" s="697"/>
      <c r="R64" s="697"/>
    </row>
    <row r="65" spans="1:19" ht="27.75" customHeight="1" thickBot="1" x14ac:dyDescent="0.25">
      <c r="A65" s="586"/>
      <c r="B65" s="588"/>
      <c r="C65" s="657"/>
      <c r="D65" s="583"/>
      <c r="E65" s="584"/>
      <c r="F65" s="583"/>
      <c r="G65" s="584"/>
      <c r="H65" s="644"/>
      <c r="I65" s="647"/>
      <c r="J65" s="719"/>
      <c r="K65" s="596"/>
      <c r="L65" s="724"/>
      <c r="M65" s="719"/>
      <c r="N65" s="36" t="s">
        <v>22</v>
      </c>
      <c r="O65" s="65">
        <f>IF(Basisdaten_Lunge!$K$34="",0,Basisdaten_Lunge!$K$34)</f>
        <v>0</v>
      </c>
      <c r="P65" s="721"/>
      <c r="Q65" s="698"/>
      <c r="R65" s="698"/>
    </row>
    <row r="66" spans="1:19" ht="27.75" customHeight="1" thickBot="1" x14ac:dyDescent="0.25">
      <c r="A66" s="601"/>
      <c r="B66" s="603"/>
      <c r="C66" s="658"/>
      <c r="D66" s="609"/>
      <c r="E66" s="610"/>
      <c r="F66" s="609"/>
      <c r="G66" s="610"/>
      <c r="H66" s="645"/>
      <c r="I66" s="648"/>
      <c r="J66" s="720"/>
      <c r="K66" s="725"/>
      <c r="L66" s="726"/>
      <c r="M66" s="720"/>
      <c r="N66" s="36" t="s">
        <v>23</v>
      </c>
      <c r="O66" s="268" t="str">
        <f>IF(O64="","n.d.",IF(O65=0,"n.d.",IF(O65=0,"",O64/O65)))</f>
        <v>n.d.</v>
      </c>
      <c r="P66" s="721"/>
      <c r="Q66" s="698"/>
      <c r="R66" s="698"/>
    </row>
    <row r="67" spans="1:19" ht="27" customHeight="1" thickBot="1" x14ac:dyDescent="0.25">
      <c r="A67" s="585">
        <v>16</v>
      </c>
      <c r="B67" s="587" t="s">
        <v>279</v>
      </c>
      <c r="C67" s="660" t="s">
        <v>416</v>
      </c>
      <c r="D67" s="581" t="s">
        <v>252</v>
      </c>
      <c r="E67" s="582"/>
      <c r="F67" s="581" t="s">
        <v>740</v>
      </c>
      <c r="G67" s="582"/>
      <c r="H67" s="643" t="s">
        <v>824</v>
      </c>
      <c r="I67" s="646"/>
      <c r="J67" s="718"/>
      <c r="K67" s="594" t="s">
        <v>338</v>
      </c>
      <c r="L67" s="723"/>
      <c r="M67" s="718"/>
      <c r="N67" s="36" t="s">
        <v>20</v>
      </c>
      <c r="O67" s="42"/>
      <c r="P67" s="721" t="str">
        <f>IF(O69=Berechnung1!D81,Berechnung1!$F$5,IF(OR(O69&lt; Berechnung1!E81,O69&gt; Berechnung1!F81),Berechnung1!$G$5,IF(OR(ROUND(O69,4)&lt;Berechnung1!J81,ROUND(O69,4)&gt;Berechnung1!K81),Berechnung1!$D$5,IF(OR(ROUND(O69,4)&lt;Berechnung1!G81,ROUND(O69,4)&gt;Berechnung1!H81),Berechnung1!$E$5,Berechnung1!$C$5))))</f>
        <v>Unvollständig</v>
      </c>
      <c r="Q67" s="697"/>
      <c r="R67" s="697"/>
    </row>
    <row r="68" spans="1:19" ht="27" customHeight="1" thickBot="1" x14ac:dyDescent="0.25">
      <c r="A68" s="586"/>
      <c r="B68" s="588"/>
      <c r="C68" s="657"/>
      <c r="D68" s="583"/>
      <c r="E68" s="584"/>
      <c r="F68" s="583"/>
      <c r="G68" s="584"/>
      <c r="H68" s="644"/>
      <c r="I68" s="647"/>
      <c r="J68" s="719"/>
      <c r="K68" s="596"/>
      <c r="L68" s="724"/>
      <c r="M68" s="719"/>
      <c r="N68" s="36" t="s">
        <v>22</v>
      </c>
      <c r="O68" s="65">
        <f>IF(SUM(Basisdaten_Lunge!$B$34:$E$34)=0,0,SUM(Basisdaten_Lunge!$B$34:$E$34))</f>
        <v>0</v>
      </c>
      <c r="P68" s="721"/>
      <c r="Q68" s="698"/>
      <c r="R68" s="698"/>
    </row>
    <row r="69" spans="1:19" ht="27" customHeight="1" thickBot="1" x14ac:dyDescent="0.25">
      <c r="A69" s="601"/>
      <c r="B69" s="603"/>
      <c r="C69" s="658"/>
      <c r="D69" s="609"/>
      <c r="E69" s="610"/>
      <c r="F69" s="609"/>
      <c r="G69" s="610"/>
      <c r="H69" s="645"/>
      <c r="I69" s="648"/>
      <c r="J69" s="720"/>
      <c r="K69" s="725"/>
      <c r="L69" s="726"/>
      <c r="M69" s="720"/>
      <c r="N69" s="36" t="s">
        <v>23</v>
      </c>
      <c r="O69" s="268" t="str">
        <f>IF(O67="","n.d.",IF(O68=0,"n.d.",IF(O68=0,"",O67/O68)))</f>
        <v>n.d.</v>
      </c>
      <c r="P69" s="721"/>
      <c r="Q69" s="698"/>
      <c r="R69" s="698"/>
    </row>
    <row r="70" spans="1:19" ht="27" customHeight="1" thickBot="1" x14ac:dyDescent="0.25">
      <c r="A70" s="585">
        <v>17</v>
      </c>
      <c r="B70" s="587" t="s">
        <v>279</v>
      </c>
      <c r="C70" s="660" t="s">
        <v>417</v>
      </c>
      <c r="D70" s="581" t="s">
        <v>252</v>
      </c>
      <c r="E70" s="582"/>
      <c r="F70" s="581" t="s">
        <v>740</v>
      </c>
      <c r="G70" s="582"/>
      <c r="H70" s="643" t="s">
        <v>990</v>
      </c>
      <c r="I70" s="646"/>
      <c r="J70" s="718"/>
      <c r="K70" s="594" t="s">
        <v>339</v>
      </c>
      <c r="L70" s="723"/>
      <c r="M70" s="782"/>
      <c r="N70" s="15" t="s">
        <v>20</v>
      </c>
      <c r="O70" s="42"/>
      <c r="P70" s="721" t="str">
        <f>IF(O72=Berechnung1!D84,Berechnung1!$F$5,IF(OR(O72&lt; Berechnung1!E84,O72&gt; Berechnung1!F84),Berechnung1!$G$5,IF(OR(ROUND(O72,4)&lt;Berechnung1!J84,ROUND(O72,4)&gt;Berechnung1!K84),Berechnung1!$D$5,IF(OR(ROUND(O72,4)&lt;Berechnung1!G84,ROUND(O72,4)&gt;Berechnung1!H84),Berechnung1!$E$5,Berechnung1!$C$5))))</f>
        <v>Unvollständig</v>
      </c>
      <c r="Q70" s="697"/>
      <c r="R70" s="697"/>
    </row>
    <row r="71" spans="1:19" ht="27" customHeight="1" thickBot="1" x14ac:dyDescent="0.25">
      <c r="A71" s="586"/>
      <c r="B71" s="790"/>
      <c r="C71" s="657"/>
      <c r="D71" s="583"/>
      <c r="E71" s="584"/>
      <c r="F71" s="583"/>
      <c r="G71" s="584"/>
      <c r="H71" s="644"/>
      <c r="I71" s="647"/>
      <c r="J71" s="719"/>
      <c r="K71" s="596"/>
      <c r="L71" s="724"/>
      <c r="M71" s="783"/>
      <c r="N71" s="36" t="s">
        <v>22</v>
      </c>
      <c r="O71" s="65">
        <f>IF(SUM(Basisdaten_Lunge!$F$34:$G$34)=0,0,SUM(Basisdaten_Lunge!$F$34:$G$34))</f>
        <v>0</v>
      </c>
      <c r="P71" s="721"/>
      <c r="Q71" s="698"/>
      <c r="R71" s="760"/>
    </row>
    <row r="72" spans="1:19" ht="27" customHeight="1" thickBot="1" x14ac:dyDescent="0.25">
      <c r="A72" s="601"/>
      <c r="B72" s="791"/>
      <c r="C72" s="658"/>
      <c r="D72" s="609"/>
      <c r="E72" s="610"/>
      <c r="F72" s="609"/>
      <c r="G72" s="610"/>
      <c r="H72" s="645"/>
      <c r="I72" s="648"/>
      <c r="J72" s="720"/>
      <c r="K72" s="725"/>
      <c r="L72" s="726"/>
      <c r="M72" s="784"/>
      <c r="N72" s="36" t="s">
        <v>23</v>
      </c>
      <c r="O72" s="268" t="str">
        <f>IF(O70="","n.d.",IF(O71="","n.d.",IF(O71=0,"",O70 /O71)))</f>
        <v>n.d.</v>
      </c>
      <c r="P72" s="721"/>
      <c r="Q72" s="698"/>
      <c r="R72" s="761"/>
    </row>
    <row r="73" spans="1:19" ht="27" customHeight="1" thickBot="1" x14ac:dyDescent="0.25">
      <c r="A73" s="585">
        <v>18</v>
      </c>
      <c r="B73" s="587" t="s">
        <v>629</v>
      </c>
      <c r="C73" s="660" t="s">
        <v>262</v>
      </c>
      <c r="D73" s="581" t="s">
        <v>255</v>
      </c>
      <c r="E73" s="582"/>
      <c r="F73" s="581" t="s">
        <v>991</v>
      </c>
      <c r="G73" s="582"/>
      <c r="H73" s="581" t="s">
        <v>251</v>
      </c>
      <c r="I73" s="582"/>
      <c r="J73" s="718"/>
      <c r="K73" s="594" t="s">
        <v>362</v>
      </c>
      <c r="L73" s="723"/>
      <c r="M73" s="718"/>
      <c r="N73" s="762" t="s">
        <v>25</v>
      </c>
      <c r="O73" s="746">
        <f>IF(SUM(Expertise_Lunge!M20:M23)=0,0,SUM(Expertise_Lunge!M20:M23))</f>
        <v>0</v>
      </c>
      <c r="P73" s="749" t="str">
        <f>Expertise_Lunge!P20</f>
        <v>Unvollständig</v>
      </c>
      <c r="Q73" s="765" t="str">
        <f>IF(AND(Expertise_Lunge!Q20="",Expertise_Lunge!Q21="",Expertise_Lunge!Q22="",Expertise_Lunge!Q23=""),"",CONCATENATE(Expertise_Lunge!Q20,CHAR(10),Expertise_Lunge!Q21,CHAR(10),Expertise_Lunge!Q22,CHAR(10),Expertise_Lunge!Q23,CHAR(10)))</f>
        <v/>
      </c>
      <c r="R73" s="765" t="str">
        <f>IF(Expertise_Lunge!R20="","",CONCATENATE(Expertise_Lunge!R20,CHAR(10),Expertise_Lunge!R21,CHAR(10),Expertise_Lunge!R22,CHAR(10),Expertise_Lunge!R23,CHAR(10)))</f>
        <v/>
      </c>
    </row>
    <row r="74" spans="1:19" ht="27" customHeight="1" thickBot="1" x14ac:dyDescent="0.25">
      <c r="A74" s="600"/>
      <c r="B74" s="602"/>
      <c r="C74" s="661"/>
      <c r="D74" s="608"/>
      <c r="E74" s="584"/>
      <c r="F74" s="608"/>
      <c r="G74" s="584"/>
      <c r="H74" s="608"/>
      <c r="I74" s="584"/>
      <c r="J74" s="719"/>
      <c r="K74" s="596"/>
      <c r="L74" s="724"/>
      <c r="M74" s="719"/>
      <c r="N74" s="763"/>
      <c r="O74" s="768"/>
      <c r="P74" s="750"/>
      <c r="Q74" s="780"/>
      <c r="R74" s="766"/>
    </row>
    <row r="75" spans="1:19" ht="27" customHeight="1" thickBot="1" x14ac:dyDescent="0.25">
      <c r="A75" s="601"/>
      <c r="B75" s="603"/>
      <c r="C75" s="658"/>
      <c r="D75" s="609"/>
      <c r="E75" s="610"/>
      <c r="F75" s="609"/>
      <c r="G75" s="610"/>
      <c r="H75" s="609"/>
      <c r="I75" s="610"/>
      <c r="J75" s="720"/>
      <c r="K75" s="725"/>
      <c r="L75" s="726"/>
      <c r="M75" s="720"/>
      <c r="N75" s="764"/>
      <c r="O75" s="769"/>
      <c r="P75" s="751"/>
      <c r="Q75" s="780"/>
      <c r="R75" s="767"/>
    </row>
    <row r="76" spans="1:19" ht="27" customHeight="1" thickBot="1" x14ac:dyDescent="0.25">
      <c r="A76" s="668" t="s">
        <v>992</v>
      </c>
      <c r="B76" s="693" t="s">
        <v>825</v>
      </c>
      <c r="C76" s="674" t="s">
        <v>993</v>
      </c>
      <c r="D76" s="677" t="s">
        <v>994</v>
      </c>
      <c r="E76" s="678"/>
      <c r="F76" s="677" t="s">
        <v>995</v>
      </c>
      <c r="G76" s="678"/>
      <c r="H76" s="677" t="s">
        <v>996</v>
      </c>
      <c r="I76" s="678"/>
      <c r="J76" s="683"/>
      <c r="K76" s="686" t="s">
        <v>250</v>
      </c>
      <c r="L76" s="687"/>
      <c r="M76" s="683"/>
      <c r="N76" s="506" t="s">
        <v>20</v>
      </c>
      <c r="O76" s="505"/>
      <c r="P76" s="662" t="str">
        <f>IF(O78=Berechnung1!D90,Berechnung1!$F$17,IF(OR(O78&lt; Berechnung1!E90,O78&gt; Berechnung1!F90),Berechnung1!$G$17,IF(OR(ROUND(O78,4)&lt;Berechnung1!J90,ROUND(O78,4)&gt;Berechnung1!K90),Berechnung1!$D$17,IF(OR(ROUND(O78,4)&lt;Berechnung1!G90,ROUND(O78,4)&gt;Berechnung1!H90),Berechnung1!$E$17,Berechnung1!$C$17))))</f>
        <v>optional - unvollständig</v>
      </c>
      <c r="Q76" s="665"/>
      <c r="R76" s="665"/>
    </row>
    <row r="77" spans="1:19" ht="27" customHeight="1" thickBot="1" x14ac:dyDescent="0.25">
      <c r="A77" s="692"/>
      <c r="B77" s="694"/>
      <c r="C77" s="695"/>
      <c r="D77" s="696"/>
      <c r="E77" s="680"/>
      <c r="F77" s="696"/>
      <c r="G77" s="680"/>
      <c r="H77" s="696"/>
      <c r="I77" s="680"/>
      <c r="J77" s="684"/>
      <c r="K77" s="688"/>
      <c r="L77" s="689"/>
      <c r="M77" s="684"/>
      <c r="N77" s="506" t="s">
        <v>22</v>
      </c>
      <c r="O77" s="505"/>
      <c r="P77" s="662"/>
      <c r="Q77" s="664"/>
      <c r="R77" s="666"/>
      <c r="S77" s="3">
        <f>SUM(Basisdaten_Lunge!B33:D33)</f>
        <v>0</v>
      </c>
    </row>
    <row r="78" spans="1:19" ht="27" customHeight="1" thickBot="1" x14ac:dyDescent="0.25">
      <c r="A78" s="670"/>
      <c r="B78" s="673"/>
      <c r="C78" s="676"/>
      <c r="D78" s="681"/>
      <c r="E78" s="682"/>
      <c r="F78" s="681"/>
      <c r="G78" s="682"/>
      <c r="H78" s="681"/>
      <c r="I78" s="682"/>
      <c r="J78" s="685"/>
      <c r="K78" s="690"/>
      <c r="L78" s="691"/>
      <c r="M78" s="685"/>
      <c r="N78" s="506" t="s">
        <v>23</v>
      </c>
      <c r="O78" s="507" t="str">
        <f>IF(O76="","n.d.",IF(O77="","n.d.",IF(O77=0,"",O76 /O77)))</f>
        <v>n.d.</v>
      </c>
      <c r="P78" s="662"/>
      <c r="Q78" s="664"/>
      <c r="R78" s="667"/>
    </row>
    <row r="79" spans="1:19" ht="27.75" customHeight="1" thickBot="1" x14ac:dyDescent="0.25">
      <c r="A79" s="585">
        <v>20</v>
      </c>
      <c r="B79" s="587" t="s">
        <v>630</v>
      </c>
      <c r="C79" s="660" t="s">
        <v>263</v>
      </c>
      <c r="D79" s="581" t="s">
        <v>255</v>
      </c>
      <c r="E79" s="582"/>
      <c r="F79" s="581" t="s">
        <v>509</v>
      </c>
      <c r="G79" s="582"/>
      <c r="H79" s="581" t="s">
        <v>264</v>
      </c>
      <c r="I79" s="582"/>
      <c r="J79" s="718"/>
      <c r="K79" s="594" t="s">
        <v>374</v>
      </c>
      <c r="L79" s="723"/>
      <c r="M79" s="718"/>
      <c r="N79" s="762" t="s">
        <v>25</v>
      </c>
      <c r="O79" s="746">
        <f>IF(SUM(Expertise_Lunge!M24:M27)=0,0,SUM(Expertise_Lunge!M24:M27))</f>
        <v>0</v>
      </c>
      <c r="P79" s="749" t="str">
        <f>Expertise_Lunge!P24</f>
        <v>Unvollständig</v>
      </c>
      <c r="Q79" s="765" t="str">
        <f>IF(AND(Expertise_Lunge!Q24="",Expertise_Lunge!Q25="",Expertise_Lunge!Q26="",Expertise_Lunge!Q27=""),"",CONCATENATE(Expertise_Lunge!Q24,CHAR(10),Expertise_Lunge!Q25,CHAR(10),Expertise_Lunge!Q26,CHAR(10),Expertise_Lunge!Q27,CHAR(10)))</f>
        <v/>
      </c>
      <c r="R79" s="765" t="str">
        <f>IF(Expertise_Lunge!R24="","",CONCATENATE(Expertise_Lunge!R24,CHAR(10),Expertise_Lunge!R25,CHAR(10),Expertise_Lunge!R26,CHAR(10),Expertise_Lunge!R27,CHAR(10)))</f>
        <v/>
      </c>
    </row>
    <row r="80" spans="1:19" ht="27.75" customHeight="1" thickBot="1" x14ac:dyDescent="0.25">
      <c r="A80" s="600"/>
      <c r="B80" s="602"/>
      <c r="C80" s="661"/>
      <c r="D80" s="608"/>
      <c r="E80" s="584"/>
      <c r="F80" s="608"/>
      <c r="G80" s="584"/>
      <c r="H80" s="608"/>
      <c r="I80" s="584"/>
      <c r="J80" s="719"/>
      <c r="K80" s="596"/>
      <c r="L80" s="724"/>
      <c r="M80" s="719"/>
      <c r="N80" s="763"/>
      <c r="O80" s="768"/>
      <c r="P80" s="750"/>
      <c r="Q80" s="780"/>
      <c r="R80" s="766"/>
    </row>
    <row r="81" spans="1:19" ht="27.75" customHeight="1" thickBot="1" x14ac:dyDescent="0.25">
      <c r="A81" s="601"/>
      <c r="B81" s="603"/>
      <c r="C81" s="658"/>
      <c r="D81" s="609"/>
      <c r="E81" s="610"/>
      <c r="F81" s="609"/>
      <c r="G81" s="610"/>
      <c r="H81" s="609"/>
      <c r="I81" s="610"/>
      <c r="J81" s="720"/>
      <c r="K81" s="725"/>
      <c r="L81" s="726"/>
      <c r="M81" s="720"/>
      <c r="N81" s="764"/>
      <c r="O81" s="769"/>
      <c r="P81" s="751"/>
      <c r="Q81" s="780"/>
      <c r="R81" s="767"/>
    </row>
    <row r="82" spans="1:19" ht="27" customHeight="1" thickBot="1" x14ac:dyDescent="0.25">
      <c r="A82" s="585">
        <v>21</v>
      </c>
      <c r="B82" s="587" t="s">
        <v>825</v>
      </c>
      <c r="C82" s="660" t="s">
        <v>741</v>
      </c>
      <c r="D82" s="581" t="s">
        <v>742</v>
      </c>
      <c r="E82" s="582"/>
      <c r="F82" s="581" t="s">
        <v>743</v>
      </c>
      <c r="G82" s="582"/>
      <c r="H82" s="581" t="s">
        <v>744</v>
      </c>
      <c r="I82" s="582"/>
      <c r="J82" s="718" t="s">
        <v>543</v>
      </c>
      <c r="K82" s="594" t="s">
        <v>250</v>
      </c>
      <c r="L82" s="723"/>
      <c r="M82" s="718" t="s">
        <v>364</v>
      </c>
      <c r="N82" s="36" t="s">
        <v>20</v>
      </c>
      <c r="O82" s="42"/>
      <c r="P82" s="721" t="str">
        <f>IF(O84=Berechnung1!D96,Berechnung1!$F$5,IF(OR(O84&lt; Berechnung1!E96,O84&gt; Berechnung1!F96),Berechnung1!$G$5,IF(OR(ROUND(O84,4)&lt;Berechnung1!J96,ROUND(O84,4)&gt;Berechnung1!K96),Berechnung1!$D$5,IF(OR(ROUND(O84,4)&lt;Berechnung1!G96,ROUND(O84,4)&gt;Berechnung1!H96),Berechnung1!$E$5,Berechnung1!$C$5))))</f>
        <v>Unvollständig</v>
      </c>
      <c r="Q82" s="697"/>
      <c r="R82" s="697"/>
    </row>
    <row r="83" spans="1:19" ht="27" customHeight="1" thickBot="1" x14ac:dyDescent="0.25">
      <c r="A83" s="586"/>
      <c r="B83" s="588"/>
      <c r="C83" s="657"/>
      <c r="D83" s="583"/>
      <c r="E83" s="584"/>
      <c r="F83" s="583"/>
      <c r="G83" s="584"/>
      <c r="H83" s="583"/>
      <c r="I83" s="584"/>
      <c r="J83" s="719"/>
      <c r="K83" s="596"/>
      <c r="L83" s="724"/>
      <c r="M83" s="719"/>
      <c r="N83" s="36" t="s">
        <v>22</v>
      </c>
      <c r="O83" s="42"/>
      <c r="P83" s="721"/>
      <c r="Q83" s="698"/>
      <c r="R83" s="698"/>
    </row>
    <row r="84" spans="1:19" ht="27" customHeight="1" thickBot="1" x14ac:dyDescent="0.25">
      <c r="A84" s="601"/>
      <c r="B84" s="603"/>
      <c r="C84" s="658"/>
      <c r="D84" s="609"/>
      <c r="E84" s="610"/>
      <c r="F84" s="609"/>
      <c r="G84" s="610"/>
      <c r="H84" s="609"/>
      <c r="I84" s="610"/>
      <c r="J84" s="720"/>
      <c r="K84" s="725"/>
      <c r="L84" s="726"/>
      <c r="M84" s="720"/>
      <c r="N84" s="36" t="s">
        <v>23</v>
      </c>
      <c r="O84" s="268" t="str">
        <f>IF(O82="","n.d.",IF(O83="","n.d.",IF(O83=0,"",O82 /O83)))</f>
        <v>n.d.</v>
      </c>
      <c r="P84" s="721"/>
      <c r="Q84" s="698"/>
      <c r="R84" s="698"/>
    </row>
    <row r="85" spans="1:19" ht="27" customHeight="1" thickBot="1" x14ac:dyDescent="0.25">
      <c r="A85" s="585">
        <v>22</v>
      </c>
      <c r="B85" s="587" t="s">
        <v>825</v>
      </c>
      <c r="C85" s="660" t="s">
        <v>584</v>
      </c>
      <c r="D85" s="581" t="s">
        <v>745</v>
      </c>
      <c r="E85" s="582"/>
      <c r="F85" s="581" t="s">
        <v>746</v>
      </c>
      <c r="G85" s="582"/>
      <c r="H85" s="581" t="s">
        <v>585</v>
      </c>
      <c r="I85" s="582"/>
      <c r="J85" s="718"/>
      <c r="K85" s="594" t="s">
        <v>826</v>
      </c>
      <c r="L85" s="723"/>
      <c r="M85" s="718"/>
      <c r="N85" s="36" t="s">
        <v>20</v>
      </c>
      <c r="O85" s="42"/>
      <c r="P85" s="721" t="str">
        <f>IF(O87=Berechnung1!D99,Berechnung1!$F$5,IF(OR(O87&lt; Berechnung1!E99,O87&gt; Berechnung1!F99),Berechnung1!$G$5,IF(OR(ROUND(O87,4)&lt;Berechnung1!J99,ROUND(O87,4)&gt;Berechnung1!K99),Berechnung1!$D$5,IF(OR(ROUND(O87,4)&lt;Berechnung1!G99,ROUND(O87,4)&gt;Berechnung1!H99),Berechnung1!$E$5,Berechnung1!$C$5))))</f>
        <v>Unvollständig</v>
      </c>
      <c r="Q85" s="697"/>
      <c r="R85" s="697"/>
    </row>
    <row r="86" spans="1:19" ht="27" customHeight="1" thickBot="1" x14ac:dyDescent="0.25">
      <c r="A86" s="586"/>
      <c r="B86" s="588"/>
      <c r="C86" s="657"/>
      <c r="D86" s="583"/>
      <c r="E86" s="584"/>
      <c r="F86" s="583"/>
      <c r="G86" s="584"/>
      <c r="H86" s="583"/>
      <c r="I86" s="584"/>
      <c r="J86" s="719"/>
      <c r="K86" s="596"/>
      <c r="L86" s="724"/>
      <c r="M86" s="719"/>
      <c r="N86" s="36" t="s">
        <v>22</v>
      </c>
      <c r="O86" s="42"/>
      <c r="P86" s="721"/>
      <c r="Q86" s="698"/>
      <c r="R86" s="698"/>
    </row>
    <row r="87" spans="1:19" ht="27" customHeight="1" thickBot="1" x14ac:dyDescent="0.25">
      <c r="A87" s="601"/>
      <c r="B87" s="603"/>
      <c r="C87" s="658"/>
      <c r="D87" s="609"/>
      <c r="E87" s="610"/>
      <c r="F87" s="609"/>
      <c r="G87" s="610"/>
      <c r="H87" s="609"/>
      <c r="I87" s="610"/>
      <c r="J87" s="720"/>
      <c r="K87" s="725"/>
      <c r="L87" s="726"/>
      <c r="M87" s="720"/>
      <c r="N87" s="36" t="s">
        <v>23</v>
      </c>
      <c r="O87" s="268" t="str">
        <f>IF(O85="","n.d.",IF(O86="","n.d.",IF(O86=0,"",O85 /O86)))</f>
        <v>n.d.</v>
      </c>
      <c r="P87" s="721"/>
      <c r="Q87" s="698"/>
      <c r="R87" s="698"/>
    </row>
    <row r="88" spans="1:19" ht="27" customHeight="1" thickBot="1" x14ac:dyDescent="0.25">
      <c r="A88" s="668" t="s">
        <v>997</v>
      </c>
      <c r="B88" s="693" t="s">
        <v>825</v>
      </c>
      <c r="C88" s="674" t="s">
        <v>1102</v>
      </c>
      <c r="D88" s="677" t="s">
        <v>998</v>
      </c>
      <c r="E88" s="678"/>
      <c r="F88" s="677" t="s">
        <v>999</v>
      </c>
      <c r="G88" s="678"/>
      <c r="H88" s="677" t="s">
        <v>1103</v>
      </c>
      <c r="I88" s="678"/>
      <c r="J88" s="683"/>
      <c r="K88" s="686" t="s">
        <v>250</v>
      </c>
      <c r="L88" s="687"/>
      <c r="M88" s="683"/>
      <c r="N88" s="506" t="s">
        <v>20</v>
      </c>
      <c r="O88" s="505"/>
      <c r="P88" s="662" t="str">
        <f>IF(O90=Berechnung1!D102,Berechnung1!$F$17,IF(OR(O90&lt; Berechnung1!E102,O90&gt; Berechnung1!F102),Berechnung1!$G$17,IF(OR(ROUND(O90,4)&lt;Berechnung1!J102,ROUND(O90,4)&gt;Berechnung1!K102),Berechnung1!$D$17,IF(OR(ROUND(O90,4)&lt;Berechnung1!G102,ROUND(O90,4)&gt;Berechnung1!H102),Berechnung1!$E$17,Berechnung1!$C$17))))</f>
        <v>optional - unvollständig</v>
      </c>
      <c r="Q88" s="665"/>
      <c r="R88" s="665"/>
    </row>
    <row r="89" spans="1:19" ht="27" customHeight="1" thickBot="1" x14ac:dyDescent="0.25">
      <c r="A89" s="669"/>
      <c r="B89" s="672"/>
      <c r="C89" s="675"/>
      <c r="D89" s="679"/>
      <c r="E89" s="680"/>
      <c r="F89" s="679"/>
      <c r="G89" s="680"/>
      <c r="H89" s="679"/>
      <c r="I89" s="680"/>
      <c r="J89" s="684"/>
      <c r="K89" s="688"/>
      <c r="L89" s="689"/>
      <c r="M89" s="684"/>
      <c r="N89" s="506" t="s">
        <v>22</v>
      </c>
      <c r="O89" s="505"/>
      <c r="P89" s="662"/>
      <c r="Q89" s="664"/>
      <c r="R89" s="664"/>
    </row>
    <row r="90" spans="1:19" ht="27" customHeight="1" thickBot="1" x14ac:dyDescent="0.25">
      <c r="A90" s="670"/>
      <c r="B90" s="673"/>
      <c r="C90" s="676"/>
      <c r="D90" s="681"/>
      <c r="E90" s="682"/>
      <c r="F90" s="681"/>
      <c r="G90" s="682"/>
      <c r="H90" s="681"/>
      <c r="I90" s="682"/>
      <c r="J90" s="685"/>
      <c r="K90" s="690"/>
      <c r="L90" s="691"/>
      <c r="M90" s="685"/>
      <c r="N90" s="506" t="s">
        <v>23</v>
      </c>
      <c r="O90" s="507" t="str">
        <f>IF(O88="","n.d.",IF(O89="","n.d.",IF(O89=0,"",O88 /O89)))</f>
        <v>n.d.</v>
      </c>
      <c r="P90" s="662"/>
      <c r="Q90" s="664"/>
      <c r="R90" s="664"/>
    </row>
    <row r="91" spans="1:19" ht="33" customHeight="1" thickBot="1" x14ac:dyDescent="0.25">
      <c r="A91" s="585">
        <v>24</v>
      </c>
      <c r="B91" s="717" t="s">
        <v>825</v>
      </c>
      <c r="C91" s="660" t="s">
        <v>1000</v>
      </c>
      <c r="D91" s="581" t="s">
        <v>1001</v>
      </c>
      <c r="E91" s="582"/>
      <c r="F91" s="581" t="s">
        <v>1002</v>
      </c>
      <c r="G91" s="582"/>
      <c r="H91" s="581" t="s">
        <v>1003</v>
      </c>
      <c r="I91" s="582"/>
      <c r="J91" s="718"/>
      <c r="K91" s="594" t="s">
        <v>827</v>
      </c>
      <c r="L91" s="723"/>
      <c r="M91" s="718"/>
      <c r="N91" s="412" t="s">
        <v>20</v>
      </c>
      <c r="O91" s="413"/>
      <c r="P91" s="721" t="str">
        <f>IF(AND(O91&lt;&gt;"",O92&lt;&gt;"",O91=0,O92=0),Berechnung1!$H$5,IF(O93=Berechnung1!D105,Berechnung1!$F$5,IF(OR(O93&lt; Berechnung1!E105,O93&gt; Berechnung1!F105),Berechnung1!$G$5,IF(OR(ROUND(O93,4)&lt;Berechnung1!J105,ROUND(O93,4)&gt;Berechnung1!K105),Berechnung1!$D$5,IF(OR(ROUND(O93,4)&lt;Berechnung1!G105,ROUND(O93,4)&gt;Berechnung1!H105),Berechnung1!$E$5,Berechnung1!$C$5)))))</f>
        <v>Unvollständig</v>
      </c>
      <c r="Q91" s="722"/>
      <c r="R91" s="714"/>
    </row>
    <row r="92" spans="1:19" ht="33" customHeight="1" thickBot="1" x14ac:dyDescent="0.25">
      <c r="A92" s="586"/>
      <c r="B92" s="588"/>
      <c r="C92" s="657"/>
      <c r="D92" s="583"/>
      <c r="E92" s="584"/>
      <c r="F92" s="583"/>
      <c r="G92" s="584"/>
      <c r="H92" s="583"/>
      <c r="I92" s="584"/>
      <c r="J92" s="719"/>
      <c r="K92" s="596"/>
      <c r="L92" s="724"/>
      <c r="M92" s="719"/>
      <c r="N92" s="412" t="s">
        <v>22</v>
      </c>
      <c r="O92" s="413"/>
      <c r="P92" s="721"/>
      <c r="Q92" s="698"/>
      <c r="R92" s="715"/>
      <c r="S92" s="402">
        <f>SUM(Basisdaten_Lunge!I33:J33)</f>
        <v>0</v>
      </c>
    </row>
    <row r="93" spans="1:19" ht="33" customHeight="1" thickBot="1" x14ac:dyDescent="0.25">
      <c r="A93" s="601"/>
      <c r="B93" s="603"/>
      <c r="C93" s="658"/>
      <c r="D93" s="609"/>
      <c r="E93" s="610"/>
      <c r="F93" s="609"/>
      <c r="G93" s="610"/>
      <c r="H93" s="609"/>
      <c r="I93" s="610"/>
      <c r="J93" s="720"/>
      <c r="K93" s="725"/>
      <c r="L93" s="726"/>
      <c r="M93" s="720"/>
      <c r="N93" s="412" t="s">
        <v>23</v>
      </c>
      <c r="O93" s="414" t="str">
        <f>IF(O91="","n.d.",IF(O92="","n.d.",IF(O92=0,"",O91/O92)))</f>
        <v>n.d.</v>
      </c>
      <c r="P93" s="721"/>
      <c r="Q93" s="698"/>
      <c r="R93" s="716"/>
    </row>
    <row r="94" spans="1:19" ht="33" customHeight="1" thickBot="1" x14ac:dyDescent="0.25">
      <c r="A94" s="668" t="s">
        <v>1004</v>
      </c>
      <c r="B94" s="671" t="s">
        <v>825</v>
      </c>
      <c r="C94" s="674" t="s">
        <v>1005</v>
      </c>
      <c r="D94" s="677" t="s">
        <v>1006</v>
      </c>
      <c r="E94" s="678"/>
      <c r="F94" s="677" t="s">
        <v>1007</v>
      </c>
      <c r="G94" s="678"/>
      <c r="H94" s="677" t="s">
        <v>1008</v>
      </c>
      <c r="I94" s="678"/>
      <c r="J94" s="683"/>
      <c r="K94" s="686" t="s">
        <v>250</v>
      </c>
      <c r="L94" s="687"/>
      <c r="M94" s="683"/>
      <c r="N94" s="506" t="s">
        <v>20</v>
      </c>
      <c r="O94" s="505"/>
      <c r="P94" s="662" t="str">
        <f>IF(AND(O94&lt;&gt;"",O95&lt;&gt;"",O94=0,O95=0),Berechnung1!$H$17,IF(O96=Berechnung1!D108,Berechnung1!$F$17,IF(OR(O96&lt;Berechnung1!E108,O96&gt;Berechnung1!F108),Berechnung1!$G$17,IF(OR(ROUND(O96,4)&lt;Berechnung1!J108,ROUND(O96,4)&gt;Berechnung1!K108),Berechnung1!$D$17,IF(OR(ROUND(O96,4)&lt;Berechnung1!G108,ROUND(O96,4)&gt;Berechnung1!H108),Berechnung1!$E$17,Berechnung1!$C$17)))))</f>
        <v>optional - unvollständig</v>
      </c>
      <c r="Q94" s="663"/>
      <c r="R94" s="665"/>
    </row>
    <row r="95" spans="1:19" ht="33" customHeight="1" thickBot="1" x14ac:dyDescent="0.25">
      <c r="A95" s="669"/>
      <c r="B95" s="672"/>
      <c r="C95" s="675"/>
      <c r="D95" s="679"/>
      <c r="E95" s="680"/>
      <c r="F95" s="679"/>
      <c r="G95" s="680"/>
      <c r="H95" s="679"/>
      <c r="I95" s="680"/>
      <c r="J95" s="684"/>
      <c r="K95" s="688"/>
      <c r="L95" s="689"/>
      <c r="M95" s="684"/>
      <c r="N95" s="506" t="s">
        <v>22</v>
      </c>
      <c r="O95" s="505"/>
      <c r="P95" s="662"/>
      <c r="Q95" s="664"/>
      <c r="R95" s="666"/>
      <c r="S95" s="3">
        <f>SUM(Basisdaten_Lunge!C33:F33)</f>
        <v>0</v>
      </c>
    </row>
    <row r="96" spans="1:19" ht="33" customHeight="1" thickBot="1" x14ac:dyDescent="0.25">
      <c r="A96" s="670"/>
      <c r="B96" s="673"/>
      <c r="C96" s="676"/>
      <c r="D96" s="681"/>
      <c r="E96" s="682"/>
      <c r="F96" s="681"/>
      <c r="G96" s="682"/>
      <c r="H96" s="681"/>
      <c r="I96" s="682"/>
      <c r="J96" s="685"/>
      <c r="K96" s="690"/>
      <c r="L96" s="691"/>
      <c r="M96" s="685"/>
      <c r="N96" s="506" t="s">
        <v>23</v>
      </c>
      <c r="O96" s="507" t="str">
        <f>IF(O94="","n.d.",IF(O95="","n.d.",IF(O95=0,"",O94 /O95)))</f>
        <v>n.d.</v>
      </c>
      <c r="P96" s="662"/>
      <c r="Q96" s="664"/>
      <c r="R96" s="667"/>
    </row>
    <row r="97" spans="1:19" ht="27" customHeight="1" thickBot="1" x14ac:dyDescent="0.25">
      <c r="A97" s="585">
        <v>26</v>
      </c>
      <c r="B97" s="717" t="s">
        <v>825</v>
      </c>
      <c r="C97" s="660" t="s">
        <v>1009</v>
      </c>
      <c r="D97" s="581" t="s">
        <v>1010</v>
      </c>
      <c r="E97" s="582"/>
      <c r="F97" s="581" t="s">
        <v>747</v>
      </c>
      <c r="G97" s="582"/>
      <c r="H97" s="581" t="s">
        <v>1011</v>
      </c>
      <c r="I97" s="582"/>
      <c r="J97" s="718" t="s">
        <v>615</v>
      </c>
      <c r="K97" s="594" t="s">
        <v>250</v>
      </c>
      <c r="L97" s="723"/>
      <c r="M97" s="718"/>
      <c r="N97" s="412" t="s">
        <v>20</v>
      </c>
      <c r="O97" s="413"/>
      <c r="P97" s="721" t="str">
        <f>IF(AND(O97&lt;&gt;"",O98&lt;&gt;"",O97=0,O98=0),Berechnung1!$H$5,IF(O99=Berechnung1!D111,Berechnung1!$F$5,IF(OR(O99&lt; Berechnung1!E111,O99&gt; Berechnung1!F111),Berechnung1!$G$5,IF(OR(ROUND(O99,4)&lt;Berechnung1!J111,ROUND(O99,4)&gt;Berechnung1!K111),Berechnung1!$D$5,IF(OR(ROUND(O99,4)&lt;Berechnung1!G111,ROUND(O99,4)&gt;Berechnung1!H111),Berechnung1!$E$5,Berechnung1!$C$5)))))</f>
        <v>Unvollständig</v>
      </c>
      <c r="Q97" s="714"/>
      <c r="R97" s="714"/>
    </row>
    <row r="98" spans="1:19" ht="27" customHeight="1" thickBot="1" x14ac:dyDescent="0.25">
      <c r="A98" s="586"/>
      <c r="B98" s="588"/>
      <c r="C98" s="657"/>
      <c r="D98" s="583"/>
      <c r="E98" s="584"/>
      <c r="F98" s="583"/>
      <c r="G98" s="584"/>
      <c r="H98" s="583"/>
      <c r="I98" s="584"/>
      <c r="J98" s="719"/>
      <c r="K98" s="596"/>
      <c r="L98" s="724"/>
      <c r="M98" s="719"/>
      <c r="N98" s="412" t="s">
        <v>22</v>
      </c>
      <c r="O98" s="413"/>
      <c r="P98" s="721"/>
      <c r="Q98" s="698"/>
      <c r="R98" s="715"/>
    </row>
    <row r="99" spans="1:19" ht="27" customHeight="1" thickBot="1" x14ac:dyDescent="0.25">
      <c r="A99" s="601"/>
      <c r="B99" s="603"/>
      <c r="C99" s="658"/>
      <c r="D99" s="609"/>
      <c r="E99" s="610"/>
      <c r="F99" s="609"/>
      <c r="G99" s="610"/>
      <c r="H99" s="609"/>
      <c r="I99" s="610"/>
      <c r="J99" s="720"/>
      <c r="K99" s="725"/>
      <c r="L99" s="726"/>
      <c r="M99" s="720"/>
      <c r="N99" s="412" t="s">
        <v>23</v>
      </c>
      <c r="O99" s="414" t="str">
        <f>IF(O97="","n.d.",IF(O98="","n.d.",IF(O98=0,"",O97/O98)))</f>
        <v>n.d.</v>
      </c>
      <c r="P99" s="721"/>
      <c r="Q99" s="698"/>
      <c r="R99" s="716"/>
    </row>
    <row r="100" spans="1:19" ht="27" customHeight="1" thickBot="1" x14ac:dyDescent="0.25">
      <c r="A100" s="585">
        <v>27</v>
      </c>
      <c r="B100" s="717" t="s">
        <v>825</v>
      </c>
      <c r="C100" s="660" t="s">
        <v>1012</v>
      </c>
      <c r="D100" s="581" t="s">
        <v>1013</v>
      </c>
      <c r="E100" s="582"/>
      <c r="F100" s="581" t="s">
        <v>1014</v>
      </c>
      <c r="G100" s="582"/>
      <c r="H100" s="581" t="s">
        <v>628</v>
      </c>
      <c r="I100" s="582"/>
      <c r="J100" s="718" t="s">
        <v>615</v>
      </c>
      <c r="K100" s="594" t="s">
        <v>250</v>
      </c>
      <c r="L100" s="723"/>
      <c r="M100" s="718"/>
      <c r="N100" s="412" t="s">
        <v>20</v>
      </c>
      <c r="O100" s="413"/>
      <c r="P100" s="721" t="str">
        <f>IF(AND(O100&lt;&gt;"",O101&lt;&gt;"",O100=0,O101=0),Berechnung1!$H$5,IF(O102=Berechnung1!D114,Berechnung1!$F$5,IF(OR(O102&lt; Berechnung1!E114,O102&gt; Berechnung1!F114),Berechnung1!$G$5,IF(OR(ROUND(O102,4)&lt;Berechnung1!J114,ROUND(O102,4)&gt;Berechnung1!K114),Berechnung1!$D$5,IF(OR(ROUND(O102,4)&lt;Berechnung1!G114,ROUND(O102,4)&gt;Berechnung1!H114),Berechnung1!$E$5,Berechnung1!$C$5)))))</f>
        <v>Unvollständig</v>
      </c>
      <c r="Q100" s="714"/>
      <c r="R100" s="714"/>
    </row>
    <row r="101" spans="1:19" ht="27" customHeight="1" thickBot="1" x14ac:dyDescent="0.25">
      <c r="A101" s="586"/>
      <c r="B101" s="588"/>
      <c r="C101" s="657"/>
      <c r="D101" s="583"/>
      <c r="E101" s="584"/>
      <c r="F101" s="583"/>
      <c r="G101" s="584"/>
      <c r="H101" s="583"/>
      <c r="I101" s="584"/>
      <c r="J101" s="719"/>
      <c r="K101" s="596"/>
      <c r="L101" s="724"/>
      <c r="M101" s="719"/>
      <c r="N101" s="412" t="s">
        <v>22</v>
      </c>
      <c r="O101" s="413"/>
      <c r="P101" s="721"/>
      <c r="Q101" s="698"/>
      <c r="R101" s="715"/>
    </row>
    <row r="102" spans="1:19" ht="27" customHeight="1" thickBot="1" x14ac:dyDescent="0.25">
      <c r="A102" s="601"/>
      <c r="B102" s="603"/>
      <c r="C102" s="658"/>
      <c r="D102" s="609"/>
      <c r="E102" s="610"/>
      <c r="F102" s="609"/>
      <c r="G102" s="610"/>
      <c r="H102" s="609"/>
      <c r="I102" s="610"/>
      <c r="J102" s="720"/>
      <c r="K102" s="725"/>
      <c r="L102" s="726"/>
      <c r="M102" s="720"/>
      <c r="N102" s="412" t="s">
        <v>23</v>
      </c>
      <c r="O102" s="414" t="str">
        <f>IF(O100="","n.d.",IF(O101="","n.d.",IF(O101=0,"",O100/O101)))</f>
        <v>n.d.</v>
      </c>
      <c r="P102" s="721"/>
      <c r="Q102" s="698"/>
      <c r="R102" s="716"/>
    </row>
    <row r="103" spans="1:19" ht="27" customHeight="1" thickBot="1" x14ac:dyDescent="0.25">
      <c r="A103" s="585">
        <v>28</v>
      </c>
      <c r="B103" s="717" t="s">
        <v>825</v>
      </c>
      <c r="C103" s="660" t="s">
        <v>947</v>
      </c>
      <c r="D103" s="581" t="s">
        <v>613</v>
      </c>
      <c r="E103" s="582"/>
      <c r="F103" s="581" t="s">
        <v>748</v>
      </c>
      <c r="G103" s="582"/>
      <c r="H103" s="581" t="s">
        <v>1015</v>
      </c>
      <c r="I103" s="582"/>
      <c r="J103" s="718" t="s">
        <v>615</v>
      </c>
      <c r="K103" s="594" t="s">
        <v>250</v>
      </c>
      <c r="L103" s="723"/>
      <c r="M103" s="718"/>
      <c r="N103" s="412" t="s">
        <v>20</v>
      </c>
      <c r="O103" s="413"/>
      <c r="P103" s="721" t="str">
        <f>IF(AND(O103&lt;&gt;"",O104&lt;&gt;"",O103=0,O104=0),Berechnung1!$H$5,IF(O105=Berechnung1!D117,Berechnung1!$F$5,IF(OR(O105&lt; Berechnung1!E117,O105&gt; Berechnung1!F117),Berechnung1!$G$5,IF(OR(ROUND(O105,4)&lt;Berechnung1!J117,ROUND(O105,4)&gt;Berechnung1!K117),Berechnung1!$D$5,IF(OR(ROUND(O105,4)&lt;Berechnung1!G117,ROUND(O105,4)&gt;Berechnung1!H117),Berechnung1!$E$5,Berechnung1!$C$5)))))</f>
        <v>Unvollständig</v>
      </c>
      <c r="Q103" s="722"/>
      <c r="R103" s="714"/>
    </row>
    <row r="104" spans="1:19" ht="27" customHeight="1" thickBot="1" x14ac:dyDescent="0.25">
      <c r="A104" s="586"/>
      <c r="B104" s="588"/>
      <c r="C104" s="657"/>
      <c r="D104" s="583"/>
      <c r="E104" s="584"/>
      <c r="F104" s="583"/>
      <c r="G104" s="584"/>
      <c r="H104" s="583"/>
      <c r="I104" s="584"/>
      <c r="J104" s="719"/>
      <c r="K104" s="596"/>
      <c r="L104" s="724"/>
      <c r="M104" s="719"/>
      <c r="N104" s="412" t="s">
        <v>22</v>
      </c>
      <c r="O104" s="413"/>
      <c r="P104" s="721"/>
      <c r="Q104" s="698"/>
      <c r="R104" s="715"/>
      <c r="S104" s="3">
        <f>SUM(Basisdaten_Lunge!E33:H33)</f>
        <v>0</v>
      </c>
    </row>
    <row r="105" spans="1:19" ht="27" customHeight="1" thickBot="1" x14ac:dyDescent="0.25">
      <c r="A105" s="601"/>
      <c r="B105" s="603"/>
      <c r="C105" s="658"/>
      <c r="D105" s="609"/>
      <c r="E105" s="610"/>
      <c r="F105" s="609"/>
      <c r="G105" s="610"/>
      <c r="H105" s="609"/>
      <c r="I105" s="610"/>
      <c r="J105" s="720"/>
      <c r="K105" s="725"/>
      <c r="L105" s="726"/>
      <c r="M105" s="720"/>
      <c r="N105" s="412" t="s">
        <v>23</v>
      </c>
      <c r="O105" s="414" t="str">
        <f>IF(O103="","n.d.",IF(O104="","n.d.",IF(O104=0,"",O103/O104)))</f>
        <v>n.d.</v>
      </c>
      <c r="P105" s="721"/>
      <c r="Q105" s="698"/>
      <c r="R105" s="716"/>
    </row>
    <row r="106" spans="1:19" ht="27" customHeight="1" thickBot="1" x14ac:dyDescent="0.25">
      <c r="A106" s="668" t="s">
        <v>1016</v>
      </c>
      <c r="B106" s="671" t="s">
        <v>825</v>
      </c>
      <c r="C106" s="674" t="s">
        <v>1017</v>
      </c>
      <c r="D106" s="677" t="s">
        <v>1018</v>
      </c>
      <c r="E106" s="678"/>
      <c r="F106" s="677" t="s">
        <v>1019</v>
      </c>
      <c r="G106" s="678"/>
      <c r="H106" s="677" t="s">
        <v>1020</v>
      </c>
      <c r="I106" s="678"/>
      <c r="J106" s="683"/>
      <c r="K106" s="686" t="s">
        <v>250</v>
      </c>
      <c r="L106" s="687"/>
      <c r="M106" s="683"/>
      <c r="N106" s="506" t="s">
        <v>20</v>
      </c>
      <c r="O106" s="505"/>
      <c r="P106" s="662" t="str">
        <f>IF(AND(O106&lt;&gt;"",O107&lt;&gt;"",O106=0,O107=0),Berechnung1!$H$17,IF(O108=Berechnung1!D120,Berechnung1!$F$17,IF(OR(O108&lt;Berechnung1!E120,O108&gt;Berechnung1!F120),Berechnung1!$G$17,IF(OR(ROUND(O108,4)&lt;Berechnung1!J120,ROUND(O108,4)&gt;Berechnung1!K120),Berechnung1!$D$17,IF(OR(ROUND(O108,4)&lt;Berechnung1!G120,ROUND(O108,4)&gt;Berechnung1!H120),Berechnung1!$E$17,Berechnung1!$C$17)))))</f>
        <v>optional - unvollständig</v>
      </c>
      <c r="Q106" s="665"/>
      <c r="R106" s="665"/>
    </row>
    <row r="107" spans="1:19" ht="27" customHeight="1" thickBot="1" x14ac:dyDescent="0.25">
      <c r="A107" s="669"/>
      <c r="B107" s="672"/>
      <c r="C107" s="675"/>
      <c r="D107" s="679"/>
      <c r="E107" s="680"/>
      <c r="F107" s="679"/>
      <c r="G107" s="680"/>
      <c r="H107" s="679"/>
      <c r="I107" s="680"/>
      <c r="J107" s="684"/>
      <c r="K107" s="688"/>
      <c r="L107" s="689"/>
      <c r="M107" s="684"/>
      <c r="N107" s="506" t="s">
        <v>22</v>
      </c>
      <c r="O107" s="505"/>
      <c r="P107" s="662"/>
      <c r="Q107" s="666"/>
      <c r="R107" s="666"/>
      <c r="S107" s="402">
        <f>O13</f>
        <v>0</v>
      </c>
    </row>
    <row r="108" spans="1:19" ht="27" customHeight="1" thickBot="1" x14ac:dyDescent="0.25">
      <c r="A108" s="670"/>
      <c r="B108" s="673"/>
      <c r="C108" s="676"/>
      <c r="D108" s="681"/>
      <c r="E108" s="682"/>
      <c r="F108" s="681"/>
      <c r="G108" s="682"/>
      <c r="H108" s="681"/>
      <c r="I108" s="682"/>
      <c r="J108" s="685"/>
      <c r="K108" s="690"/>
      <c r="L108" s="691"/>
      <c r="M108" s="685"/>
      <c r="N108" s="506" t="s">
        <v>23</v>
      </c>
      <c r="O108" s="507" t="str">
        <f>IF(O106="","n.d.",IF(O107="","n.d.",IF(O107=0,"",O106/O107)))</f>
        <v>n.d.</v>
      </c>
      <c r="P108" s="662"/>
      <c r="Q108" s="667"/>
      <c r="R108" s="667"/>
    </row>
    <row r="109" spans="1:19" ht="27" customHeight="1" thickBot="1" x14ac:dyDescent="0.25">
      <c r="A109" s="668" t="s">
        <v>1021</v>
      </c>
      <c r="B109" s="671" t="s">
        <v>825</v>
      </c>
      <c r="C109" s="674" t="s">
        <v>1022</v>
      </c>
      <c r="D109" s="677" t="s">
        <v>1023</v>
      </c>
      <c r="E109" s="678"/>
      <c r="F109" s="677" t="s">
        <v>1024</v>
      </c>
      <c r="G109" s="678"/>
      <c r="H109" s="677" t="s">
        <v>1025</v>
      </c>
      <c r="I109" s="678"/>
      <c r="J109" s="683"/>
      <c r="K109" s="686" t="s">
        <v>250</v>
      </c>
      <c r="L109" s="687"/>
      <c r="M109" s="683"/>
      <c r="N109" s="506" t="s">
        <v>20</v>
      </c>
      <c r="O109" s="505"/>
      <c r="P109" s="662" t="str">
        <f>IF(AND(O109&lt;&gt;"",O110&lt;&gt;"",O109=0,O110=0),Berechnung1!$H$17,IF(O111=Berechnung1!D123,Berechnung1!$F$17,IF(OR(O111&lt;Berechnung1!E123,O111&gt;Berechnung1!F123),Berechnung1!$G$17,IF(OR(ROUND(O111,4)&lt;Berechnung1!J123,ROUND(O111,4)&gt;Berechnung1!K123),Berechnung1!$D$17,IF(OR(ROUND(O111,4)&lt;Berechnung1!G123,ROUND(O111,4)&gt;Berechnung1!H123),Berechnung1!$E$17,Berechnung1!$C$17)))))</f>
        <v>optional - unvollständig</v>
      </c>
      <c r="Q109" s="665"/>
      <c r="R109" s="665"/>
    </row>
    <row r="110" spans="1:19" ht="27" customHeight="1" thickBot="1" x14ac:dyDescent="0.25">
      <c r="A110" s="669"/>
      <c r="B110" s="672"/>
      <c r="C110" s="675"/>
      <c r="D110" s="679"/>
      <c r="E110" s="680"/>
      <c r="F110" s="679"/>
      <c r="G110" s="680"/>
      <c r="H110" s="679"/>
      <c r="I110" s="680"/>
      <c r="J110" s="684"/>
      <c r="K110" s="688"/>
      <c r="L110" s="689"/>
      <c r="M110" s="684"/>
      <c r="N110" s="506" t="s">
        <v>22</v>
      </c>
      <c r="O110" s="505"/>
      <c r="P110" s="662"/>
      <c r="Q110" s="666"/>
      <c r="R110" s="666"/>
      <c r="S110" s="3">
        <f>SUM(Basisdaten_Lunge!I33:J33)</f>
        <v>0</v>
      </c>
    </row>
    <row r="111" spans="1:19" ht="27" customHeight="1" thickBot="1" x14ac:dyDescent="0.25">
      <c r="A111" s="670"/>
      <c r="B111" s="673"/>
      <c r="C111" s="676"/>
      <c r="D111" s="681"/>
      <c r="E111" s="682"/>
      <c r="F111" s="681"/>
      <c r="G111" s="682"/>
      <c r="H111" s="681"/>
      <c r="I111" s="682"/>
      <c r="J111" s="685"/>
      <c r="K111" s="690"/>
      <c r="L111" s="691"/>
      <c r="M111" s="685"/>
      <c r="N111" s="506" t="s">
        <v>23</v>
      </c>
      <c r="O111" s="507" t="str">
        <f>IF(O109="","n.d.",IF(O110="","n.d.",IF(O110=0,"",O109/O110)))</f>
        <v>n.d.</v>
      </c>
      <c r="P111" s="662"/>
      <c r="Q111" s="667"/>
      <c r="R111" s="667"/>
    </row>
    <row r="112" spans="1:19" ht="27" customHeight="1" thickBot="1" x14ac:dyDescent="0.25">
      <c r="A112" s="585">
        <v>31</v>
      </c>
      <c r="B112" s="717"/>
      <c r="C112" s="660" t="s">
        <v>612</v>
      </c>
      <c r="D112" s="581" t="s">
        <v>816</v>
      </c>
      <c r="E112" s="582"/>
      <c r="F112" s="581" t="s">
        <v>749</v>
      </c>
      <c r="G112" s="582"/>
      <c r="H112" s="581" t="s">
        <v>614</v>
      </c>
      <c r="I112" s="582"/>
      <c r="J112" s="718"/>
      <c r="K112" s="594" t="s">
        <v>250</v>
      </c>
      <c r="L112" s="723"/>
      <c r="M112" s="718" t="s">
        <v>616</v>
      </c>
      <c r="N112" s="412" t="s">
        <v>20</v>
      </c>
      <c r="O112" s="413"/>
      <c r="P112" s="721" t="str">
        <f>IF(O114=Berechnung1!D126,Berechnung1!$F$5,IF(OR(O114&lt; Berechnung1!E126,O114&gt; Berechnung1!F126),Berechnung1!$G$5,IF(OR(ROUND(O114,4)&lt;Berechnung1!J126,ROUND(O114,4)&gt;Berechnung1!K126),Berechnung1!$D$5,IF(OR(ROUND(O114,4)&lt;Berechnung1!G126,ROUND(O114,4)&gt;Berechnung1!H126),Berechnung1!$E$5,Berechnung1!$C$5))))</f>
        <v>Unvollständig</v>
      </c>
      <c r="Q112" s="714"/>
      <c r="R112" s="714"/>
    </row>
    <row r="113" spans="1:19" ht="27" customHeight="1" thickBot="1" x14ac:dyDescent="0.25">
      <c r="A113" s="586"/>
      <c r="B113" s="588"/>
      <c r="C113" s="657"/>
      <c r="D113" s="583"/>
      <c r="E113" s="584"/>
      <c r="F113" s="583"/>
      <c r="G113" s="584"/>
      <c r="H113" s="583"/>
      <c r="I113" s="584"/>
      <c r="J113" s="719"/>
      <c r="K113" s="596"/>
      <c r="L113" s="724"/>
      <c r="M113" s="719"/>
      <c r="N113" s="412" t="s">
        <v>22</v>
      </c>
      <c r="O113" s="413"/>
      <c r="P113" s="721"/>
      <c r="Q113" s="698"/>
      <c r="R113" s="715"/>
      <c r="S113" s="402">
        <f>SUM(Basisdaten_Lunge!F33:J33)</f>
        <v>0</v>
      </c>
    </row>
    <row r="114" spans="1:19" ht="27" customHeight="1" thickBot="1" x14ac:dyDescent="0.25">
      <c r="A114" s="601"/>
      <c r="B114" s="603"/>
      <c r="C114" s="658"/>
      <c r="D114" s="609"/>
      <c r="E114" s="610"/>
      <c r="F114" s="609"/>
      <c r="G114" s="610"/>
      <c r="H114" s="609"/>
      <c r="I114" s="610"/>
      <c r="J114" s="720"/>
      <c r="K114" s="725"/>
      <c r="L114" s="726"/>
      <c r="M114" s="720"/>
      <c r="N114" s="412" t="s">
        <v>23</v>
      </c>
      <c r="O114" s="414" t="str">
        <f>IF(O112="","n.d.",IF(O113="","n.d.",IF(O113=0,"",O112/O113)))</f>
        <v>n.d.</v>
      </c>
      <c r="P114" s="721"/>
      <c r="Q114" s="698"/>
      <c r="R114" s="716"/>
    </row>
    <row r="115" spans="1:19" ht="27" customHeight="1" thickBot="1" x14ac:dyDescent="0.25">
      <c r="A115" s="585">
        <v>32</v>
      </c>
      <c r="B115" s="717"/>
      <c r="C115" s="660" t="s">
        <v>1026</v>
      </c>
      <c r="D115" s="581" t="s">
        <v>828</v>
      </c>
      <c r="E115" s="582"/>
      <c r="F115" s="581" t="s">
        <v>1101</v>
      </c>
      <c r="G115" s="582"/>
      <c r="H115" s="581" t="s">
        <v>1027</v>
      </c>
      <c r="I115" s="582"/>
      <c r="J115" s="718" t="s">
        <v>829</v>
      </c>
      <c r="K115" s="594" t="s">
        <v>250</v>
      </c>
      <c r="L115" s="723"/>
      <c r="M115" s="718"/>
      <c r="N115" s="412" t="s">
        <v>20</v>
      </c>
      <c r="O115" s="413"/>
      <c r="P115" s="795" t="str">
        <f>IF(O117=Berechnung1!D129,Berechnung1!$F$5,IF(OR(O117&lt; Berechnung1!E129,O117&gt; Berechnung1!F129),Berechnung1!$G$5,IF(OR(ROUND(O117,4)&lt;Berechnung1!J129,ROUND(O117,4)&gt;Berechnung1!K129),Berechnung1!$D$5,IF(OR(ROUND(O117,4)&lt;Berechnung1!G129,ROUND(O117,4)&gt;Berechnung1!H129),Berechnung1!$E$5,Berechnung1!$C$5))))</f>
        <v>Unvollständig</v>
      </c>
      <c r="Q115" s="714"/>
      <c r="R115" s="714"/>
    </row>
    <row r="116" spans="1:19" ht="27" customHeight="1" thickBot="1" x14ac:dyDescent="0.25">
      <c r="A116" s="586"/>
      <c r="B116" s="588"/>
      <c r="C116" s="657"/>
      <c r="D116" s="583"/>
      <c r="E116" s="584"/>
      <c r="F116" s="583"/>
      <c r="G116" s="584"/>
      <c r="H116" s="583"/>
      <c r="I116" s="584"/>
      <c r="J116" s="719"/>
      <c r="K116" s="596"/>
      <c r="L116" s="724"/>
      <c r="M116" s="719"/>
      <c r="N116" s="412" t="s">
        <v>22</v>
      </c>
      <c r="O116" s="480">
        <f>IF(OR(Basisdaten_Lunge!I33="",Basisdaten_Lunge!J33="",O16=""),0,Basisdaten_Lunge!I33+Basisdaten_Lunge!J33+O16)</f>
        <v>0</v>
      </c>
      <c r="P116" s="795"/>
      <c r="Q116" s="698"/>
      <c r="R116" s="715"/>
      <c r="S116" s="402"/>
    </row>
    <row r="117" spans="1:19" ht="27" customHeight="1" thickBot="1" x14ac:dyDescent="0.25">
      <c r="A117" s="601"/>
      <c r="B117" s="603"/>
      <c r="C117" s="658"/>
      <c r="D117" s="609"/>
      <c r="E117" s="610"/>
      <c r="F117" s="609"/>
      <c r="G117" s="610"/>
      <c r="H117" s="609"/>
      <c r="I117" s="610"/>
      <c r="J117" s="720"/>
      <c r="K117" s="725"/>
      <c r="L117" s="726"/>
      <c r="M117" s="720"/>
      <c r="N117" s="412" t="s">
        <v>23</v>
      </c>
      <c r="O117" s="414" t="str">
        <f>IF(O115="","n.d.",IF(O116="","n.d.",IF(O116=0,"",O115/O116)))</f>
        <v>n.d.</v>
      </c>
      <c r="P117" s="795"/>
      <c r="Q117" s="698"/>
      <c r="R117" s="716"/>
    </row>
    <row r="118" spans="1:19" ht="27" customHeight="1" thickBot="1" x14ac:dyDescent="0.25">
      <c r="A118" s="585">
        <v>33</v>
      </c>
      <c r="B118" s="717"/>
      <c r="C118" s="660" t="s">
        <v>857</v>
      </c>
      <c r="D118" s="581" t="s">
        <v>830</v>
      </c>
      <c r="E118" s="582"/>
      <c r="F118" s="581" t="s">
        <v>831</v>
      </c>
      <c r="G118" s="582"/>
      <c r="H118" s="581" t="s">
        <v>858</v>
      </c>
      <c r="I118" s="582"/>
      <c r="J118" s="718"/>
      <c r="K118" s="594" t="s">
        <v>827</v>
      </c>
      <c r="L118" s="723"/>
      <c r="M118" s="718"/>
      <c r="N118" s="412" t="s">
        <v>20</v>
      </c>
      <c r="O118" s="413"/>
      <c r="P118" s="795" t="str">
        <f>IF(O120=Berechnung1!D132,Berechnung1!$F$5,IF(OR(O120&lt; Berechnung1!E132,O120&gt; Berechnung1!F132),Berechnung1!$G$5,IF(OR(ROUND(O120,4)&lt;Berechnung1!J132,ROUND(O120,4)&gt;Berechnung1!K132),Berechnung1!$D$5,IF(OR(ROUND(O120,4)&lt;Berechnung1!G132,ROUND(O120,4)&gt;Berechnung1!H132),Berechnung1!$E$5,Berechnung1!$C$5))))</f>
        <v>Unvollständig</v>
      </c>
      <c r="Q118" s="714"/>
      <c r="R118" s="714"/>
    </row>
    <row r="119" spans="1:19" ht="27" customHeight="1" thickBot="1" x14ac:dyDescent="0.25">
      <c r="A119" s="586"/>
      <c r="B119" s="588"/>
      <c r="C119" s="657"/>
      <c r="D119" s="583"/>
      <c r="E119" s="584"/>
      <c r="F119" s="583"/>
      <c r="G119" s="584"/>
      <c r="H119" s="583"/>
      <c r="I119" s="584"/>
      <c r="J119" s="719"/>
      <c r="K119" s="596"/>
      <c r="L119" s="724"/>
      <c r="M119" s="719"/>
      <c r="N119" s="412" t="s">
        <v>22</v>
      </c>
      <c r="O119" s="413"/>
      <c r="P119" s="795"/>
      <c r="Q119" s="698"/>
      <c r="R119" s="715"/>
      <c r="S119" s="402">
        <f>SUM(Basisdaten_Lunge!F33:H33)</f>
        <v>0</v>
      </c>
    </row>
    <row r="120" spans="1:19" ht="27" customHeight="1" thickBot="1" x14ac:dyDescent="0.25">
      <c r="A120" s="601"/>
      <c r="B120" s="603"/>
      <c r="C120" s="658"/>
      <c r="D120" s="609"/>
      <c r="E120" s="610"/>
      <c r="F120" s="609"/>
      <c r="G120" s="610"/>
      <c r="H120" s="609"/>
      <c r="I120" s="610"/>
      <c r="J120" s="720"/>
      <c r="K120" s="725"/>
      <c r="L120" s="726"/>
      <c r="M120" s="720"/>
      <c r="N120" s="412" t="s">
        <v>23</v>
      </c>
      <c r="O120" s="414" t="str">
        <f>IF(O118="","n.d.",IF(O119="","n.d.",IF(O119=0,"",O118/O119)))</f>
        <v>n.d.</v>
      </c>
      <c r="P120" s="795"/>
      <c r="Q120" s="698"/>
      <c r="R120" s="716"/>
    </row>
    <row r="121" spans="1:19" ht="27" customHeight="1" thickBot="1" x14ac:dyDescent="0.25">
      <c r="A121" s="585">
        <v>34</v>
      </c>
      <c r="B121" s="717"/>
      <c r="C121" s="660" t="s">
        <v>859</v>
      </c>
      <c r="D121" s="581" t="s">
        <v>832</v>
      </c>
      <c r="E121" s="582"/>
      <c r="F121" s="581" t="s">
        <v>833</v>
      </c>
      <c r="G121" s="582"/>
      <c r="H121" s="581" t="s">
        <v>860</v>
      </c>
      <c r="I121" s="582"/>
      <c r="J121" s="718"/>
      <c r="K121" s="594" t="s">
        <v>827</v>
      </c>
      <c r="L121" s="723"/>
      <c r="M121" s="718"/>
      <c r="N121" s="412" t="s">
        <v>20</v>
      </c>
      <c r="O121" s="413"/>
      <c r="P121" s="795" t="str">
        <f>IF(O123=Berechnung1!D135,Berechnung1!$F$5,IF(OR(O123&lt; Berechnung1!E135,O123&gt; Berechnung1!F135),Berechnung1!$G$5,IF(OR(ROUND(O123,4)&lt;Berechnung1!J135,ROUND(O123,4)&gt;Berechnung1!K135),Berechnung1!$D$5,IF(OR(ROUND(O123,4)&lt;Berechnung1!G135,ROUND(O123,4)&gt;Berechnung1!H135),Berechnung1!$E$5,Berechnung1!$C$5))))</f>
        <v>Unvollständig</v>
      </c>
      <c r="Q121" s="714"/>
      <c r="R121" s="714"/>
    </row>
    <row r="122" spans="1:19" ht="27" customHeight="1" thickBot="1" x14ac:dyDescent="0.25">
      <c r="A122" s="586"/>
      <c r="B122" s="588"/>
      <c r="C122" s="657"/>
      <c r="D122" s="583"/>
      <c r="E122" s="584"/>
      <c r="F122" s="583"/>
      <c r="G122" s="584"/>
      <c r="H122" s="583"/>
      <c r="I122" s="584"/>
      <c r="J122" s="719"/>
      <c r="K122" s="596"/>
      <c r="L122" s="724"/>
      <c r="M122" s="719"/>
      <c r="N122" s="412" t="s">
        <v>22</v>
      </c>
      <c r="O122" s="413"/>
      <c r="P122" s="795"/>
      <c r="Q122" s="698"/>
      <c r="R122" s="715"/>
      <c r="S122" s="402">
        <f>SUM(Basisdaten_Lunge!I33:J33)</f>
        <v>0</v>
      </c>
    </row>
    <row r="123" spans="1:19" ht="27" customHeight="1" thickBot="1" x14ac:dyDescent="0.25">
      <c r="A123" s="601"/>
      <c r="B123" s="603"/>
      <c r="C123" s="658"/>
      <c r="D123" s="609"/>
      <c r="E123" s="610"/>
      <c r="F123" s="609"/>
      <c r="G123" s="610"/>
      <c r="H123" s="609"/>
      <c r="I123" s="610"/>
      <c r="J123" s="720"/>
      <c r="K123" s="725"/>
      <c r="L123" s="726"/>
      <c r="M123" s="720"/>
      <c r="N123" s="412" t="s">
        <v>23</v>
      </c>
      <c r="O123" s="414" t="str">
        <f>IF(O121="","n.d.",IF(O122="","n.d.",IF(O122=0,"",O121/O122)))</f>
        <v>n.d.</v>
      </c>
      <c r="P123" s="795"/>
      <c r="Q123" s="698"/>
      <c r="R123" s="716"/>
    </row>
    <row r="124" spans="1:19" customFormat="1" ht="8.1" customHeight="1" x14ac:dyDescent="0.25">
      <c r="K124" s="272"/>
      <c r="L124" s="272"/>
    </row>
    <row r="125" spans="1:19" customFormat="1" ht="18" customHeight="1" thickBot="1" x14ac:dyDescent="0.3">
      <c r="A125" s="481" t="s">
        <v>168</v>
      </c>
      <c r="B125" s="9"/>
      <c r="C125" s="3"/>
      <c r="D125" s="10"/>
      <c r="E125" s="10"/>
      <c r="F125" s="10"/>
      <c r="G125" s="10"/>
      <c r="K125" s="272"/>
      <c r="L125" s="272"/>
    </row>
    <row r="126" spans="1:19" customFormat="1" ht="18" customHeight="1" thickBot="1" x14ac:dyDescent="0.3">
      <c r="A126" s="482"/>
      <c r="B126" s="700" t="s">
        <v>898</v>
      </c>
      <c r="C126" s="701"/>
      <c r="D126" s="483" t="s">
        <v>183</v>
      </c>
      <c r="E126" s="484" t="str">
        <f>CONCATENATE(TEXT(Berechnung1!C9,"0,00%")," (",Berechnung1!$C$6, ")")</f>
        <v>000% (0)</v>
      </c>
      <c r="F126" s="704" t="str">
        <f>CONCATENATE(TEXT(Berechnung1!D10,"0,00%")," (",Berechnung1!$D$7, ")")</f>
        <v>000% (0)</v>
      </c>
      <c r="G126" s="712" t="s">
        <v>189</v>
      </c>
      <c r="K126" s="272"/>
      <c r="L126" s="272"/>
    </row>
    <row r="127" spans="1:19" customFormat="1" ht="18" customHeight="1" thickBot="1" x14ac:dyDescent="0.3">
      <c r="A127" s="482"/>
      <c r="B127" s="702"/>
      <c r="C127" s="703"/>
      <c r="D127" s="485" t="s">
        <v>164</v>
      </c>
      <c r="E127" s="486" t="str">
        <f>CONCATENATE(TEXT(Berechnung1!K9,"0,00%")," (",Berechnung1!$K$6, ")")</f>
        <v>000% (0)</v>
      </c>
      <c r="F127" s="704"/>
      <c r="G127" s="713"/>
      <c r="K127" s="272"/>
      <c r="L127" s="272"/>
    </row>
    <row r="128" spans="1:19" customFormat="1" ht="18" customHeight="1" thickBot="1" x14ac:dyDescent="0.3">
      <c r="A128" s="487" t="s">
        <v>899</v>
      </c>
      <c r="B128" s="705" t="s">
        <v>900</v>
      </c>
      <c r="C128" s="706"/>
      <c r="D128" s="706"/>
      <c r="E128" s="707"/>
      <c r="F128" s="488" t="str">
        <f>CONCATENATE(TEXT(Berechnung1!E10,"0,00%")," (",Berechnung1!$E$7, ")")</f>
        <v>000% (0)</v>
      </c>
      <c r="G128" s="493" t="str">
        <f>CONCATENATE(TEXT(Berechnung1!E11,"0,00%")," (",Berechnung1!$E$8, ")")</f>
        <v>000% (0)</v>
      </c>
      <c r="K128" s="272"/>
      <c r="L128" s="272"/>
    </row>
    <row r="129" spans="1:16" customFormat="1" ht="18" customHeight="1" thickBot="1" x14ac:dyDescent="0.3">
      <c r="A129" s="482"/>
      <c r="B129" s="708" t="s">
        <v>185</v>
      </c>
      <c r="C129" s="709"/>
      <c r="D129" s="489" t="s">
        <v>184</v>
      </c>
      <c r="E129" s="490" t="str">
        <f>CONCATENATE(TEXT(Berechnung1!G9,"0,00%")," (",Berechnung1!$G$6, ")")</f>
        <v>000% (0)</v>
      </c>
      <c r="F129" s="704" t="str">
        <f>CONCATENATE(TEXT(Berechnung1!G10,"0,00%")," (",Berechnung1!$G$8, ")")</f>
        <v>100% (29)</v>
      </c>
      <c r="G129" s="704"/>
      <c r="K129" s="272"/>
      <c r="L129" s="272"/>
    </row>
    <row r="130" spans="1:16" customFormat="1" ht="18" customHeight="1" thickBot="1" x14ac:dyDescent="0.3">
      <c r="A130" s="482"/>
      <c r="B130" s="710"/>
      <c r="C130" s="711"/>
      <c r="D130" s="491" t="s">
        <v>186</v>
      </c>
      <c r="E130" s="492" t="str">
        <f>CONCATENATE(TEXT(Berechnung1!F9,"0,00%")," (",Berechnung1!$F$6, ")")</f>
        <v>100% (29)</v>
      </c>
      <c r="F130" s="704"/>
      <c r="G130" s="704"/>
      <c r="K130" s="272"/>
      <c r="L130" s="272"/>
    </row>
    <row r="131" spans="1:16" customFormat="1" ht="8.1" customHeight="1" x14ac:dyDescent="0.25">
      <c r="K131" s="272"/>
      <c r="L131" s="272"/>
    </row>
    <row r="132" spans="1:16" customFormat="1" ht="9.75" customHeight="1" x14ac:dyDescent="0.25">
      <c r="A132" s="79" t="s">
        <v>161</v>
      </c>
      <c r="K132" s="272"/>
      <c r="L132" s="272"/>
    </row>
    <row r="133" spans="1:16" customFormat="1" ht="22.5" customHeight="1" x14ac:dyDescent="0.25">
      <c r="A133" s="728" t="s">
        <v>1035</v>
      </c>
      <c r="B133" s="728"/>
      <c r="C133" s="728"/>
      <c r="D133" s="728"/>
      <c r="E133" s="728"/>
      <c r="F133" s="728"/>
      <c r="G133" s="728"/>
      <c r="H133" s="728"/>
      <c r="I133" s="728"/>
      <c r="J133" s="728"/>
      <c r="K133" s="728"/>
      <c r="L133" s="728"/>
      <c r="M133" s="728"/>
      <c r="N133" s="728"/>
      <c r="O133" s="728"/>
      <c r="P133" s="728"/>
    </row>
    <row r="134" spans="1:16" ht="126" customHeight="1" x14ac:dyDescent="0.2">
      <c r="A134" s="792" t="s">
        <v>889</v>
      </c>
      <c r="B134" s="793"/>
      <c r="C134" s="793"/>
      <c r="D134" s="793"/>
      <c r="E134" s="793"/>
      <c r="F134" s="793"/>
      <c r="G134" s="793"/>
      <c r="H134" s="793"/>
      <c r="I134" s="793"/>
      <c r="J134" s="793"/>
      <c r="K134" s="793"/>
      <c r="L134" s="793"/>
      <c r="M134" s="793"/>
      <c r="N134" s="793"/>
      <c r="O134" s="793"/>
      <c r="P134" s="793"/>
    </row>
    <row r="135" spans="1:16" ht="2.25" customHeight="1" x14ac:dyDescent="0.2"/>
    <row r="136" spans="1:16" ht="12.75" customHeight="1" x14ac:dyDescent="0.25">
      <c r="A136" s="79" t="s">
        <v>751</v>
      </c>
      <c r="B136"/>
      <c r="C136"/>
      <c r="D136"/>
      <c r="E136"/>
      <c r="F136"/>
      <c r="G136"/>
      <c r="H136"/>
      <c r="I136"/>
      <c r="J136"/>
      <c r="K136" s="3"/>
      <c r="L136" s="3"/>
      <c r="M136"/>
      <c r="N136"/>
      <c r="O136"/>
      <c r="P136"/>
    </row>
    <row r="137" spans="1:16" ht="22.5" customHeight="1" x14ac:dyDescent="0.2">
      <c r="A137" s="699" t="s">
        <v>890</v>
      </c>
      <c r="B137" s="699"/>
      <c r="C137" s="699"/>
      <c r="D137" s="699"/>
      <c r="E137" s="699"/>
      <c r="F137" s="699"/>
      <c r="G137" s="699"/>
      <c r="H137" s="699"/>
      <c r="I137" s="699"/>
      <c r="J137" s="699"/>
      <c r="K137" s="699"/>
      <c r="L137" s="699"/>
      <c r="M137" s="699"/>
      <c r="N137" s="699"/>
      <c r="O137" s="699"/>
      <c r="P137" s="699"/>
    </row>
  </sheetData>
  <sheetProtection algorithmName="SHA-512" hashValue="U2dKwswxiwowL4/jYkSp+8YHMTN7zeE0toKeQnDjw+SxkLpGBP/kbF80B+36DZOQX38CO12hNbXSxB7JymM49Q==" saltValue="BN+pI9waD7Hk/VtopdnoAg==" spinCount="100000" sheet="1" objects="1" scenarios="1" selectLockedCells="1"/>
  <dataConsolidate/>
  <mergeCells count="482">
    <mergeCell ref="K121:L123"/>
    <mergeCell ref="M121:M123"/>
    <mergeCell ref="P121:P123"/>
    <mergeCell ref="Q121:Q123"/>
    <mergeCell ref="R121:R123"/>
    <mergeCell ref="K115:L117"/>
    <mergeCell ref="M115:M117"/>
    <mergeCell ref="P115:P117"/>
    <mergeCell ref="Q115:Q117"/>
    <mergeCell ref="R115:R117"/>
    <mergeCell ref="Q118:Q120"/>
    <mergeCell ref="R118:R120"/>
    <mergeCell ref="B118:B120"/>
    <mergeCell ref="C118:C120"/>
    <mergeCell ref="D118:E120"/>
    <mergeCell ref="F118:G120"/>
    <mergeCell ref="H118:I120"/>
    <mergeCell ref="J118:J120"/>
    <mergeCell ref="K118:L120"/>
    <mergeCell ref="M118:M120"/>
    <mergeCell ref="P118:P120"/>
    <mergeCell ref="A16:A18"/>
    <mergeCell ref="B16:B18"/>
    <mergeCell ref="C16:C18"/>
    <mergeCell ref="D16:E18"/>
    <mergeCell ref="F16:G18"/>
    <mergeCell ref="H16:I18"/>
    <mergeCell ref="J16:J18"/>
    <mergeCell ref="K16:L18"/>
    <mergeCell ref="M16:M18"/>
    <mergeCell ref="A70:A72"/>
    <mergeCell ref="C79:C81"/>
    <mergeCell ref="A133:P133"/>
    <mergeCell ref="H85:I87"/>
    <mergeCell ref="A82:A84"/>
    <mergeCell ref="B82:B84"/>
    <mergeCell ref="C82:C84"/>
    <mergeCell ref="D82:E84"/>
    <mergeCell ref="A134:P134"/>
    <mergeCell ref="A73:A75"/>
    <mergeCell ref="A79:A81"/>
    <mergeCell ref="A91:A93"/>
    <mergeCell ref="B91:B93"/>
    <mergeCell ref="C91:C93"/>
    <mergeCell ref="D91:E93"/>
    <mergeCell ref="F91:G93"/>
    <mergeCell ref="H91:I93"/>
    <mergeCell ref="J91:J93"/>
    <mergeCell ref="K91:L93"/>
    <mergeCell ref="M91:M93"/>
    <mergeCell ref="P91:P93"/>
    <mergeCell ref="C70:C72"/>
    <mergeCell ref="M79:M81"/>
    <mergeCell ref="J79:J81"/>
    <mergeCell ref="D6:N6"/>
    <mergeCell ref="K8:N8"/>
    <mergeCell ref="B70:B72"/>
    <mergeCell ref="K85:L87"/>
    <mergeCell ref="P85:P87"/>
    <mergeCell ref="D79:E81"/>
    <mergeCell ref="F79:G81"/>
    <mergeCell ref="H79:I81"/>
    <mergeCell ref="K79:L81"/>
    <mergeCell ref="J85:J87"/>
    <mergeCell ref="M82:M84"/>
    <mergeCell ref="M85:M87"/>
    <mergeCell ref="F82:G84"/>
    <mergeCell ref="H82:I84"/>
    <mergeCell ref="J82:J84"/>
    <mergeCell ref="K82:L84"/>
    <mergeCell ref="B73:B75"/>
    <mergeCell ref="C73:C75"/>
    <mergeCell ref="D73:E75"/>
    <mergeCell ref="F73:G75"/>
    <mergeCell ref="H73:I75"/>
    <mergeCell ref="B79:B81"/>
    <mergeCell ref="J73:J75"/>
    <mergeCell ref="K73:L75"/>
    <mergeCell ref="H70:I72"/>
    <mergeCell ref="M70:M72"/>
    <mergeCell ref="R73:R75"/>
    <mergeCell ref="P79:P81"/>
    <mergeCell ref="P76:P78"/>
    <mergeCell ref="Q76:Q78"/>
    <mergeCell ref="Q91:Q93"/>
    <mergeCell ref="R91:R93"/>
    <mergeCell ref="B85:B87"/>
    <mergeCell ref="C85:C87"/>
    <mergeCell ref="D85:E87"/>
    <mergeCell ref="F85:G87"/>
    <mergeCell ref="R85:R87"/>
    <mergeCell ref="Q85:Q87"/>
    <mergeCell ref="P82:P84"/>
    <mergeCell ref="Q82:Q84"/>
    <mergeCell ref="D70:E72"/>
    <mergeCell ref="Q79:Q81"/>
    <mergeCell ref="F70:G72"/>
    <mergeCell ref="Q70:Q72"/>
    <mergeCell ref="R70:R72"/>
    <mergeCell ref="P73:P75"/>
    <mergeCell ref="Q73:Q75"/>
    <mergeCell ref="K70:L72"/>
    <mergeCell ref="J70:J72"/>
    <mergeCell ref="N79:N81"/>
    <mergeCell ref="O79:O81"/>
    <mergeCell ref="R79:R81"/>
    <mergeCell ref="P70:P72"/>
    <mergeCell ref="N73:N75"/>
    <mergeCell ref="O73:O75"/>
    <mergeCell ref="M73:M75"/>
    <mergeCell ref="P64:P66"/>
    <mergeCell ref="Q64:Q66"/>
    <mergeCell ref="R67:R69"/>
    <mergeCell ref="J67:J69"/>
    <mergeCell ref="R76:R78"/>
    <mergeCell ref="F64:G66"/>
    <mergeCell ref="H64:I66"/>
    <mergeCell ref="K64:L66"/>
    <mergeCell ref="R64:R66"/>
    <mergeCell ref="J64:J66"/>
    <mergeCell ref="M64:M66"/>
    <mergeCell ref="M67:M69"/>
    <mergeCell ref="K67:L69"/>
    <mergeCell ref="F67:G69"/>
    <mergeCell ref="H67:I69"/>
    <mergeCell ref="Q67:Q69"/>
    <mergeCell ref="P67:P69"/>
    <mergeCell ref="A67:A69"/>
    <mergeCell ref="B67:B69"/>
    <mergeCell ref="C67:C69"/>
    <mergeCell ref="A64:A66"/>
    <mergeCell ref="B64:B66"/>
    <mergeCell ref="C64:C66"/>
    <mergeCell ref="D64:E66"/>
    <mergeCell ref="D67:E69"/>
    <mergeCell ref="A61:A63"/>
    <mergeCell ref="B61:B63"/>
    <mergeCell ref="C61:C63"/>
    <mergeCell ref="D61:E63"/>
    <mergeCell ref="A58:A60"/>
    <mergeCell ref="B58:B60"/>
    <mergeCell ref="R58:R60"/>
    <mergeCell ref="J58:J60"/>
    <mergeCell ref="M58:M60"/>
    <mergeCell ref="P61:P63"/>
    <mergeCell ref="K61:L63"/>
    <mergeCell ref="P58:P60"/>
    <mergeCell ref="Q58:Q60"/>
    <mergeCell ref="J61:J63"/>
    <mergeCell ref="M61:M63"/>
    <mergeCell ref="Q61:Q63"/>
    <mergeCell ref="R61:R63"/>
    <mergeCell ref="C58:C60"/>
    <mergeCell ref="D58:E60"/>
    <mergeCell ref="F61:G63"/>
    <mergeCell ref="H61:I63"/>
    <mergeCell ref="F58:G60"/>
    <mergeCell ref="H58:I60"/>
    <mergeCell ref="K58:L60"/>
    <mergeCell ref="F55:G57"/>
    <mergeCell ref="H55:I57"/>
    <mergeCell ref="K55:L57"/>
    <mergeCell ref="P55:P57"/>
    <mergeCell ref="A55:A57"/>
    <mergeCell ref="B55:B57"/>
    <mergeCell ref="C55:C57"/>
    <mergeCell ref="D55:E57"/>
    <mergeCell ref="M55:M57"/>
    <mergeCell ref="Q55:Q57"/>
    <mergeCell ref="R55:R57"/>
    <mergeCell ref="J49:J51"/>
    <mergeCell ref="Q43:Q45"/>
    <mergeCell ref="R43:R45"/>
    <mergeCell ref="M43:M45"/>
    <mergeCell ref="O43:O45"/>
    <mergeCell ref="P43:P45"/>
    <mergeCell ref="K43:L45"/>
    <mergeCell ref="N43:N45"/>
    <mergeCell ref="O49:O51"/>
    <mergeCell ref="P49:P51"/>
    <mergeCell ref="Q49:Q51"/>
    <mergeCell ref="R49:R51"/>
    <mergeCell ref="J55:J57"/>
    <mergeCell ref="N52:N54"/>
    <mergeCell ref="O52:O54"/>
    <mergeCell ref="P52:P54"/>
    <mergeCell ref="Q52:Q54"/>
    <mergeCell ref="R52:R54"/>
    <mergeCell ref="Q40:Q42"/>
    <mergeCell ref="P40:P42"/>
    <mergeCell ref="J43:J45"/>
    <mergeCell ref="A49:A51"/>
    <mergeCell ref="F49:G51"/>
    <mergeCell ref="H49:I51"/>
    <mergeCell ref="K49:L51"/>
    <mergeCell ref="N49:N51"/>
    <mergeCell ref="M49:M51"/>
    <mergeCell ref="B49:B54"/>
    <mergeCell ref="C49:C54"/>
    <mergeCell ref="D49:E54"/>
    <mergeCell ref="A52:A54"/>
    <mergeCell ref="F52:G54"/>
    <mergeCell ref="H52:I54"/>
    <mergeCell ref="J52:J54"/>
    <mergeCell ref="K52:L54"/>
    <mergeCell ref="M52:M54"/>
    <mergeCell ref="H37:I39"/>
    <mergeCell ref="J37:J39"/>
    <mergeCell ref="K37:L39"/>
    <mergeCell ref="A43:A45"/>
    <mergeCell ref="B43:B45"/>
    <mergeCell ref="C43:C45"/>
    <mergeCell ref="D43:E45"/>
    <mergeCell ref="F43:G45"/>
    <mergeCell ref="H43:I45"/>
    <mergeCell ref="P37:P39"/>
    <mergeCell ref="Q37:Q39"/>
    <mergeCell ref="M37:M39"/>
    <mergeCell ref="K34:L36"/>
    <mergeCell ref="P34:P36"/>
    <mergeCell ref="J34:J36"/>
    <mergeCell ref="R37:R39"/>
    <mergeCell ref="A40:A42"/>
    <mergeCell ref="B40:B42"/>
    <mergeCell ref="C40:C42"/>
    <mergeCell ref="D40:E42"/>
    <mergeCell ref="F40:G42"/>
    <mergeCell ref="H40:I42"/>
    <mergeCell ref="K40:L42"/>
    <mergeCell ref="N40:N42"/>
    <mergeCell ref="J40:J42"/>
    <mergeCell ref="R40:R42"/>
    <mergeCell ref="M40:M42"/>
    <mergeCell ref="A37:A39"/>
    <mergeCell ref="B37:B39"/>
    <mergeCell ref="C37:C39"/>
    <mergeCell ref="D37:E39"/>
    <mergeCell ref="O40:O42"/>
    <mergeCell ref="F37:G39"/>
    <mergeCell ref="R31:R33"/>
    <mergeCell ref="A34:A36"/>
    <mergeCell ref="B34:B36"/>
    <mergeCell ref="C34:C36"/>
    <mergeCell ref="D34:E36"/>
    <mergeCell ref="F34:G36"/>
    <mergeCell ref="H34:I36"/>
    <mergeCell ref="R34:R36"/>
    <mergeCell ref="M34:M36"/>
    <mergeCell ref="H31:I33"/>
    <mergeCell ref="A31:A33"/>
    <mergeCell ref="J31:J33"/>
    <mergeCell ref="Q34:Q36"/>
    <mergeCell ref="M31:M33"/>
    <mergeCell ref="B31:B33"/>
    <mergeCell ref="C31:C33"/>
    <mergeCell ref="D31:E33"/>
    <mergeCell ref="F31:G33"/>
    <mergeCell ref="K31:L33"/>
    <mergeCell ref="Q31:Q33"/>
    <mergeCell ref="F25:G27"/>
    <mergeCell ref="H25:I27"/>
    <mergeCell ref="Q22:Q24"/>
    <mergeCell ref="R22:R24"/>
    <mergeCell ref="M22:M24"/>
    <mergeCell ref="Q25:Q27"/>
    <mergeCell ref="R25:R27"/>
    <mergeCell ref="K25:L27"/>
    <mergeCell ref="K22:L24"/>
    <mergeCell ref="J19:J21"/>
    <mergeCell ref="J22:J24"/>
    <mergeCell ref="P25:P27"/>
    <mergeCell ref="J25:J27"/>
    <mergeCell ref="P22:P24"/>
    <mergeCell ref="M25:M27"/>
    <mergeCell ref="P31:P33"/>
    <mergeCell ref="A19:A21"/>
    <mergeCell ref="B19:B21"/>
    <mergeCell ref="C19:C21"/>
    <mergeCell ref="D19:E21"/>
    <mergeCell ref="F19:G21"/>
    <mergeCell ref="H19:I21"/>
    <mergeCell ref="M19:M21"/>
    <mergeCell ref="A22:A24"/>
    <mergeCell ref="B22:B24"/>
    <mergeCell ref="C22:C24"/>
    <mergeCell ref="D22:E24"/>
    <mergeCell ref="F22:G24"/>
    <mergeCell ref="H22:I24"/>
    <mergeCell ref="A25:A27"/>
    <mergeCell ref="B25:B27"/>
    <mergeCell ref="C25:C27"/>
    <mergeCell ref="D25:E27"/>
    <mergeCell ref="Q11:R11"/>
    <mergeCell ref="K19:L21"/>
    <mergeCell ref="N13:N15"/>
    <mergeCell ref="O13:O15"/>
    <mergeCell ref="P13:P15"/>
    <mergeCell ref="Q13:Q15"/>
    <mergeCell ref="R13:R15"/>
    <mergeCell ref="M13:M15"/>
    <mergeCell ref="P19:P21"/>
    <mergeCell ref="Q19:Q21"/>
    <mergeCell ref="R19:R21"/>
    <mergeCell ref="P11:P12"/>
    <mergeCell ref="M11:M12"/>
    <mergeCell ref="N11:O12"/>
    <mergeCell ref="N16:N18"/>
    <mergeCell ref="O16:O18"/>
    <mergeCell ref="P16:P18"/>
    <mergeCell ref="Q16:Q18"/>
    <mergeCell ref="R16:R18"/>
    <mergeCell ref="D8:E8"/>
    <mergeCell ref="A10:P10"/>
    <mergeCell ref="A13:A15"/>
    <mergeCell ref="B13:B15"/>
    <mergeCell ref="D13:E15"/>
    <mergeCell ref="F13:G15"/>
    <mergeCell ref="H13:I15"/>
    <mergeCell ref="K13:L15"/>
    <mergeCell ref="C13:C15"/>
    <mergeCell ref="J11:J12"/>
    <mergeCell ref="K11:L12"/>
    <mergeCell ref="J13:J15"/>
    <mergeCell ref="H11:I12"/>
    <mergeCell ref="A11:A12"/>
    <mergeCell ref="B11:B12"/>
    <mergeCell ref="C11:C12"/>
    <mergeCell ref="D11:E12"/>
    <mergeCell ref="F11:G12"/>
    <mergeCell ref="A97:A99"/>
    <mergeCell ref="B97:B99"/>
    <mergeCell ref="A100:A102"/>
    <mergeCell ref="B100:B102"/>
    <mergeCell ref="A103:A105"/>
    <mergeCell ref="B103:B105"/>
    <mergeCell ref="A106:A108"/>
    <mergeCell ref="B106:B108"/>
    <mergeCell ref="A112:A114"/>
    <mergeCell ref="B112:B114"/>
    <mergeCell ref="C97:C99"/>
    <mergeCell ref="C100:C102"/>
    <mergeCell ref="C103:C105"/>
    <mergeCell ref="C106:C108"/>
    <mergeCell ref="C112:C114"/>
    <mergeCell ref="D97:E99"/>
    <mergeCell ref="D100:E102"/>
    <mergeCell ref="D103:E105"/>
    <mergeCell ref="D106:E108"/>
    <mergeCell ref="D112:E114"/>
    <mergeCell ref="F97:G99"/>
    <mergeCell ref="F100:G102"/>
    <mergeCell ref="F103:G105"/>
    <mergeCell ref="F106:G108"/>
    <mergeCell ref="F112:G114"/>
    <mergeCell ref="H97:I99"/>
    <mergeCell ref="H100:I102"/>
    <mergeCell ref="H103:I105"/>
    <mergeCell ref="H106:I108"/>
    <mergeCell ref="H112:I114"/>
    <mergeCell ref="M97:M99"/>
    <mergeCell ref="M100:M102"/>
    <mergeCell ref="M103:M105"/>
    <mergeCell ref="M106:M108"/>
    <mergeCell ref="M112:M114"/>
    <mergeCell ref="J97:J99"/>
    <mergeCell ref="J100:J102"/>
    <mergeCell ref="J103:J105"/>
    <mergeCell ref="J106:J108"/>
    <mergeCell ref="J112:J114"/>
    <mergeCell ref="K97:L99"/>
    <mergeCell ref="K100:L102"/>
    <mergeCell ref="K103:L105"/>
    <mergeCell ref="K106:L108"/>
    <mergeCell ref="K112:L114"/>
    <mergeCell ref="R103:R105"/>
    <mergeCell ref="R100:R102"/>
    <mergeCell ref="R97:R99"/>
    <mergeCell ref="P97:P99"/>
    <mergeCell ref="P100:P102"/>
    <mergeCell ref="P103:P105"/>
    <mergeCell ref="P106:P108"/>
    <mergeCell ref="P112:P114"/>
    <mergeCell ref="Q97:Q99"/>
    <mergeCell ref="Q100:Q102"/>
    <mergeCell ref="Q103:Q105"/>
    <mergeCell ref="Q106:Q108"/>
    <mergeCell ref="Q112:Q114"/>
    <mergeCell ref="A137:P137"/>
    <mergeCell ref="B126:C127"/>
    <mergeCell ref="F126:F127"/>
    <mergeCell ref="B128:E128"/>
    <mergeCell ref="B129:C130"/>
    <mergeCell ref="F129:G130"/>
    <mergeCell ref="G126:G127"/>
    <mergeCell ref="R112:R114"/>
    <mergeCell ref="R106:R108"/>
    <mergeCell ref="A115:A117"/>
    <mergeCell ref="A118:A120"/>
    <mergeCell ref="A121:A123"/>
    <mergeCell ref="B115:B117"/>
    <mergeCell ref="C115:C117"/>
    <mergeCell ref="D115:E117"/>
    <mergeCell ref="F115:G117"/>
    <mergeCell ref="H115:I117"/>
    <mergeCell ref="J115:J117"/>
    <mergeCell ref="B121:B123"/>
    <mergeCell ref="C121:C123"/>
    <mergeCell ref="D121:E123"/>
    <mergeCell ref="F121:G123"/>
    <mergeCell ref="H121:I123"/>
    <mergeCell ref="J121:J123"/>
    <mergeCell ref="P28:P30"/>
    <mergeCell ref="Q28:Q30"/>
    <mergeCell ref="R28:R30"/>
    <mergeCell ref="A46:A48"/>
    <mergeCell ref="B46:B48"/>
    <mergeCell ref="C46:C48"/>
    <mergeCell ref="D46:E48"/>
    <mergeCell ref="F46:G48"/>
    <mergeCell ref="H46:I48"/>
    <mergeCell ref="J46:J48"/>
    <mergeCell ref="K46:L48"/>
    <mergeCell ref="M46:M48"/>
    <mergeCell ref="P46:P48"/>
    <mergeCell ref="Q46:Q48"/>
    <mergeCell ref="R46:R48"/>
    <mergeCell ref="A28:A30"/>
    <mergeCell ref="B28:B30"/>
    <mergeCell ref="C28:C30"/>
    <mergeCell ref="D28:E30"/>
    <mergeCell ref="F28:G30"/>
    <mergeCell ref="H28:I30"/>
    <mergeCell ref="J28:J30"/>
    <mergeCell ref="K28:L30"/>
    <mergeCell ref="M28:M30"/>
    <mergeCell ref="P88:P90"/>
    <mergeCell ref="Q88:Q90"/>
    <mergeCell ref="R88:R90"/>
    <mergeCell ref="A76:A78"/>
    <mergeCell ref="B76:B78"/>
    <mergeCell ref="C76:C78"/>
    <mergeCell ref="D76:E78"/>
    <mergeCell ref="F76:G78"/>
    <mergeCell ref="H76:I78"/>
    <mergeCell ref="J76:J78"/>
    <mergeCell ref="K76:L78"/>
    <mergeCell ref="M76:M78"/>
    <mergeCell ref="R82:R84"/>
    <mergeCell ref="A85:A87"/>
    <mergeCell ref="A88:A90"/>
    <mergeCell ref="B88:B90"/>
    <mergeCell ref="C88:C90"/>
    <mergeCell ref="D88:E90"/>
    <mergeCell ref="F88:G90"/>
    <mergeCell ref="H88:I90"/>
    <mergeCell ref="J88:J90"/>
    <mergeCell ref="K88:L90"/>
    <mergeCell ref="M88:M90"/>
    <mergeCell ref="P94:P96"/>
    <mergeCell ref="Q94:Q96"/>
    <mergeCell ref="R94:R96"/>
    <mergeCell ref="A109:A111"/>
    <mergeCell ref="B109:B111"/>
    <mergeCell ref="C109:C111"/>
    <mergeCell ref="D109:E111"/>
    <mergeCell ref="F109:G111"/>
    <mergeCell ref="H109:I111"/>
    <mergeCell ref="J109:J111"/>
    <mergeCell ref="K109:L111"/>
    <mergeCell ref="M109:M111"/>
    <mergeCell ref="P109:P111"/>
    <mergeCell ref="Q109:Q111"/>
    <mergeCell ref="R109:R111"/>
    <mergeCell ref="A94:A96"/>
    <mergeCell ref="B94:B96"/>
    <mergeCell ref="C94:C96"/>
    <mergeCell ref="D94:E96"/>
    <mergeCell ref="F94:G96"/>
    <mergeCell ref="H94:I96"/>
    <mergeCell ref="J94:J96"/>
    <mergeCell ref="K94:L96"/>
    <mergeCell ref="M94:M96"/>
  </mergeCells>
  <phoneticPr fontId="38" type="noConversion"/>
  <conditionalFormatting sqref="O16">
    <cfRule type="expression" dxfId="177" priority="75" stopIfTrue="1">
      <formula>LEN(TRIM(O16))=0</formula>
    </cfRule>
  </conditionalFormatting>
  <conditionalFormatting sqref="O19">
    <cfRule type="expression" dxfId="176" priority="224" stopIfTrue="1">
      <formula>LEN(TRIM(O19))=0</formula>
    </cfRule>
  </conditionalFormatting>
  <conditionalFormatting sqref="O22:O23">
    <cfRule type="expression" dxfId="175" priority="207" stopIfTrue="1">
      <formula>LEN(TRIM(O22))=0</formula>
    </cfRule>
  </conditionalFormatting>
  <conditionalFormatting sqref="O25:O115">
    <cfRule type="expression" dxfId="174" priority="26" stopIfTrue="1">
      <formula>LEN(TRIM(O25))=0</formula>
    </cfRule>
  </conditionalFormatting>
  <conditionalFormatting sqref="O118:O122">
    <cfRule type="expression" dxfId="173" priority="45" stopIfTrue="1">
      <formula>LEN(TRIM(O118))=0</formula>
    </cfRule>
  </conditionalFormatting>
  <conditionalFormatting sqref="P13:P21">
    <cfRule type="cellIs" dxfId="172" priority="258" stopIfTrue="1" operator="equal">
      <formula>"Sollvorgabe nicht erfüllt"</formula>
    </cfRule>
    <cfRule type="cellIs" dxfId="171" priority="259" stopIfTrue="1" operator="equal">
      <formula>"I.O."</formula>
    </cfRule>
  </conditionalFormatting>
  <conditionalFormatting sqref="P13:P87">
    <cfRule type="cellIs" dxfId="170" priority="140" stopIfTrue="1" operator="equal">
      <formula>"I.O. (Plausibilität unklar)"</formula>
    </cfRule>
    <cfRule type="expression" dxfId="169" priority="46" stopIfTrue="1">
      <formula>OR(P13=$D$130,P13=$D$129)</formula>
    </cfRule>
  </conditionalFormatting>
  <conditionalFormatting sqref="P16:P18">
    <cfRule type="cellIs" dxfId="168" priority="257" operator="equal">
      <formula>"Ausnahme (Plausibilität unklar)"</formula>
    </cfRule>
  </conditionalFormatting>
  <conditionalFormatting sqref="P22:P27">
    <cfRule type="cellIs" dxfId="167" priority="182" stopIfTrue="1" operator="equal">
      <formula>"I.O."</formula>
    </cfRule>
    <cfRule type="cellIs" dxfId="166" priority="181" stopIfTrue="1" operator="equal">
      <formula>"Sollvorgabe nicht erfüllt"</formula>
    </cfRule>
  </conditionalFormatting>
  <conditionalFormatting sqref="P28:P33">
    <cfRule type="cellIs" dxfId="165" priority="188" stopIfTrue="1" operator="equal">
      <formula>"optional - Ausnahme (Plausibilität unklar)"</formula>
    </cfRule>
    <cfRule type="cellIs" dxfId="164" priority="190" stopIfTrue="1" operator="equal">
      <formula>"optional - I.O."</formula>
    </cfRule>
    <cfRule type="cellIs" dxfId="163" priority="189" stopIfTrue="1" operator="equal">
      <formula>"optional - Sollvorgabe nicht erfüllt"</formula>
    </cfRule>
    <cfRule type="expression" dxfId="162" priority="187" stopIfTrue="1">
      <formula>P28="optional - inkorrekt"</formula>
    </cfRule>
  </conditionalFormatting>
  <conditionalFormatting sqref="P34:P87">
    <cfRule type="cellIs" dxfId="161" priority="142" stopIfTrue="1" operator="equal">
      <formula>"I.O."</formula>
    </cfRule>
    <cfRule type="cellIs" dxfId="160" priority="141" stopIfTrue="1" operator="equal">
      <formula>"Sollvorgabe nicht erfüllt"</formula>
    </cfRule>
  </conditionalFormatting>
  <conditionalFormatting sqref="P46:P48">
    <cfRule type="cellIs" dxfId="159" priority="24" stopIfTrue="1" operator="equal">
      <formula>"optional - Sollvorgabe nicht erfüllt"</formula>
    </cfRule>
    <cfRule type="cellIs" dxfId="158" priority="25" stopIfTrue="1" operator="equal">
      <formula>"optional - I.O."</formula>
    </cfRule>
    <cfRule type="expression" dxfId="157" priority="22" stopIfTrue="1">
      <formula>P46="optional - inkorrekt"</formula>
    </cfRule>
    <cfRule type="cellIs" dxfId="156" priority="23" stopIfTrue="1" operator="equal">
      <formula>"optional - Ausnahme (Plausibilität unklar)"</formula>
    </cfRule>
  </conditionalFormatting>
  <conditionalFormatting sqref="P76:P78">
    <cfRule type="cellIs" dxfId="155" priority="32" stopIfTrue="1" operator="equal">
      <formula>"optional - I.O. (Plausibilität unklar)"</formula>
    </cfRule>
    <cfRule type="cellIs" dxfId="154" priority="33" stopIfTrue="1" operator="equal">
      <formula>"optional - Sollvorgabe nicht erfüllt"</formula>
    </cfRule>
    <cfRule type="cellIs" dxfId="153" priority="34" stopIfTrue="1" operator="equal">
      <formula>"optional - I.O."</formula>
    </cfRule>
    <cfRule type="expression" dxfId="152" priority="31" stopIfTrue="1">
      <formula>$P$76="optional - inkorrekt"</formula>
    </cfRule>
  </conditionalFormatting>
  <conditionalFormatting sqref="P88:P90">
    <cfRule type="cellIs" dxfId="151" priority="21" stopIfTrue="1" operator="equal">
      <formula>"optional - I.O."</formula>
    </cfRule>
    <cfRule type="cellIs" dxfId="150" priority="20" stopIfTrue="1" operator="equal">
      <formula>"optional - Sollvorgabe nicht erfüllt"</formula>
    </cfRule>
    <cfRule type="cellIs" dxfId="149" priority="19" stopIfTrue="1" operator="equal">
      <formula>"optional - Ausnahme (Plausibilität unklar)"</formula>
    </cfRule>
  </conditionalFormatting>
  <conditionalFormatting sqref="P88:P93">
    <cfRule type="expression" dxfId="148" priority="14" stopIfTrue="1">
      <formula>OR(P88=$D$130,P88=$D$129)</formula>
    </cfRule>
  </conditionalFormatting>
  <conditionalFormatting sqref="P91:P93">
    <cfRule type="cellIs" dxfId="147" priority="15" stopIfTrue="1" operator="equal">
      <formula>"I.O. (Plausibilität unklar)"</formula>
    </cfRule>
    <cfRule type="cellIs" dxfId="146" priority="17" stopIfTrue="1" operator="equal">
      <formula>"I.O."</formula>
    </cfRule>
    <cfRule type="cellIs" dxfId="145" priority="16" stopIfTrue="1" operator="equal">
      <formula>"Sollvorgabe nicht erfüllt"</formula>
    </cfRule>
    <cfRule type="cellIs" dxfId="144" priority="13" stopIfTrue="1" operator="equal">
      <formula>"Ausnahme (Plausibilität unklar)"</formula>
    </cfRule>
  </conditionalFormatting>
  <conditionalFormatting sqref="P94:P96">
    <cfRule type="cellIs" dxfId="143" priority="12" stopIfTrue="1" operator="equal">
      <formula>"optional - I.O."</formula>
    </cfRule>
    <cfRule type="cellIs" dxfId="142" priority="11" stopIfTrue="1" operator="equal">
      <formula>"optional - Sollvorgabe nicht erfüllt"</formula>
    </cfRule>
    <cfRule type="cellIs" dxfId="141" priority="10" stopIfTrue="1" operator="equal">
      <formula>"optional - Ausnahme (Plausibilität unklar)"</formula>
    </cfRule>
    <cfRule type="expression" dxfId="140" priority="9" stopIfTrue="1">
      <formula>$P$94="optional - inkorrekt"</formula>
    </cfRule>
  </conditionalFormatting>
  <conditionalFormatting sqref="P97:P105 P112:P123">
    <cfRule type="expression" dxfId="139" priority="82" stopIfTrue="1">
      <formula>OR(P97=$D$130,P97=$D$129)</formula>
    </cfRule>
    <cfRule type="cellIs" dxfId="138" priority="91" stopIfTrue="1" operator="equal">
      <formula>"I.O. (Plausibilität unklar)"</formula>
    </cfRule>
    <cfRule type="cellIs" dxfId="137" priority="93" stopIfTrue="1" operator="equal">
      <formula>"Sollvorgabe nicht erfüllt"</formula>
    </cfRule>
    <cfRule type="cellIs" dxfId="136" priority="94" stopIfTrue="1" operator="equal">
      <formula>"I.O."</formula>
    </cfRule>
  </conditionalFormatting>
  <conditionalFormatting sqref="P97:P105">
    <cfRule type="cellIs" dxfId="135" priority="92" stopIfTrue="1" operator="equal">
      <formula>"Ausnahme (Plausibilität unklar)"</formula>
    </cfRule>
  </conditionalFormatting>
  <conditionalFormatting sqref="P106:P108">
    <cfRule type="cellIs" dxfId="134" priority="8" stopIfTrue="1" operator="equal">
      <formula>"optional - I.O."</formula>
    </cfRule>
    <cfRule type="cellIs" dxfId="133" priority="7" stopIfTrue="1" operator="equal">
      <formula>"optional - Sollvorgabe nicht erfüllt"</formula>
    </cfRule>
    <cfRule type="cellIs" dxfId="132" priority="6" stopIfTrue="1" operator="equal">
      <formula>"optional - Ausnahme (Plausibilität unklar)"</formula>
    </cfRule>
    <cfRule type="expression" dxfId="131" priority="5" stopIfTrue="1">
      <formula>$P$106="optional - inkorrekt"</formula>
    </cfRule>
  </conditionalFormatting>
  <conditionalFormatting sqref="P109:P111">
    <cfRule type="cellIs" dxfId="130" priority="2" stopIfTrue="1" operator="equal">
      <formula>"optional - Ausnahme (Plausibilität unklar)"</formula>
    </cfRule>
    <cfRule type="cellIs" dxfId="129" priority="3" stopIfTrue="1" operator="equal">
      <formula>"optional - Sollvorgabe nicht erfüllt"</formula>
    </cfRule>
    <cfRule type="expression" dxfId="128" priority="1" stopIfTrue="1">
      <formula>$P$109="optional - inkorrekt"</formula>
    </cfRule>
    <cfRule type="cellIs" dxfId="127" priority="4" stopIfTrue="1" operator="equal">
      <formula>"optional - I.O."</formula>
    </cfRule>
  </conditionalFormatting>
  <conditionalFormatting sqref="P115:P123">
    <cfRule type="cellIs" dxfId="126" priority="47" operator="equal">
      <formula>"I.O."</formula>
    </cfRule>
    <cfRule type="cellIs" dxfId="125" priority="48" operator="equal">
      <formula>"I.O. (Plausibilität unklar)"</formula>
    </cfRule>
    <cfRule type="cellIs" dxfId="124" priority="49" operator="equal">
      <formula>"Sollvorgabe nicht erfüllt"</formula>
    </cfRule>
    <cfRule type="cellIs" dxfId="123" priority="50" operator="equal">
      <formula>"inkorrekt"</formula>
    </cfRule>
  </conditionalFormatting>
  <conditionalFormatting sqref="Q13:Q123">
    <cfRule type="notContainsBlanks" dxfId="122" priority="52">
      <formula>LEN(TRIM(Q13))&gt;0</formula>
    </cfRule>
    <cfRule type="expression" dxfId="121" priority="53">
      <formula>OR($P13="Unvollständig",$P13="Sollvorgabe nicht erfüllt",$P13="I.O. (Plausibilität unklar)",$P13="Ausnahme (Plausibilität unklar)",$P13="optional - unvollständig",$P13="optional - Sollvorgabe nicht erfüllt",$P13="optional - I.O. (Plausibilität unklar)", $P13="optional - I.O. (Plausibilität unklar)",$P13="optional - Ausnahme (Plausibilität unklar)")</formula>
    </cfRule>
  </conditionalFormatting>
  <dataValidations xWindow="985" yWindow="727" count="41">
    <dataValidation type="whole" showInputMessage="1" showErrorMessage="1" errorTitle="Eingabefehler" error="1. Tabellenblatt Basisdaten muss vollständig ausgefüllt sein._x000a_2. Zähler muss eine positive ganze Zahl sein_x000a_3. Zähler kann nicht größer als Nenner sein" sqref="O34" xr:uid="{00000000-0002-0000-0900-000000000000}">
      <formula1>0</formula1>
      <formula2>IF(O35="",0,O35)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3:Q15" xr:uid="{00000000-0002-0000-0900-000001000000}">
      <formula1>30</formula1>
      <formula2>500</formula2>
    </dataValidation>
    <dataValidation errorStyle="information" allowBlank="1" showInputMessage="1" showErrorMessage="1" errorTitle="Kennzahl" promptTitle="Kennzahl" sqref="A11:B12" xr:uid="{00000000-0002-0000-0900-000002000000}"/>
    <dataValidation showInputMessage="1" showErrorMessage="1" errorTitle="Eingabefehler" error="1. Tabellenblatt Basisdaten muss vollständig bearbeitet sein!_x000a_2. Zähler muss eine positive ganze Zahl sein_x000a_3. Zähler kann nicht größer als Nenner sein_x000a_" sqref="O49:O51 O13:O15" xr:uid="{00000000-0002-0000-0900-000003000000}"/>
    <dataValidation type="whole" showInputMessage="1" showErrorMessage="1" errorTitle="Eingabefehler" error="1. Tabellenblatt Basisdaten muss vollständig ausgefüllt sein._x000a_2. Zähler muss eine positive ganze Zahl sein._x000a_3. Zähler kann nicht größer als Nenner sein." sqref="O25 O31 O19 O70 O58 O61 O64 O67" xr:uid="{00000000-0002-0000-0900-000004000000}">
      <formula1>0</formula1>
      <formula2>IF(O20="",0,O20)</formula2>
    </dataValidation>
    <dataValidation type="whole" showInputMessage="1" showErrorMessage="1" errorTitle="Eingabefehler" error="1. Zähler muss eine positive ganze Zahl sein._x000a_2. Zähler kann nicht größer als Nenner sein." sqref="O22" xr:uid="{00000000-0002-0000-0900-000005000000}">
      <formula1>0</formula1>
      <formula2>IF(O23="",5000,O23)</formula2>
    </dataValidation>
    <dataValidation type="custom" operator="equal" showInputMessage="1" showErrorMessage="1" errorTitle="Eingabefehler" error="1. Nenner muss eine positive ganze Zahl sein. _x000a_2. Nenner kann nicht kleiner als Zähler sein._x000a_3. Nenner kann nicht größer als Anzahl KN 1b sein." sqref="O23" xr:uid="{00000000-0002-0000-0900-000006000000}">
      <formula1>IF(ISNUMBER(O23),IF(O23&gt;0,IF(AND(O23&gt;=O22,O23&lt;=O16),O23,FALSE),FALSE),FALSE)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5 O88" xr:uid="{00000000-0002-0000-0900-000007000000}">
      <formula1>0</formula1>
      <formula2>IF(O86="",$O$13,O86)</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6 O89" xr:uid="{00000000-0002-0000-0900-000008000000}">
      <formula1>IF(ISNUMBER(O86),IF(O86&gt;0,IF(AND(O86&gt;=O85,O86&lt;=$O$13),O86,FALSE),FALSE),FALSE)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82" xr:uid="{00000000-0002-0000-0900-000009000000}">
      <formula1>0</formula1>
      <formula2>IF(O83="",$O$49,O83)</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83" xr:uid="{00000000-0002-0000-0900-00000A000000}">
      <formula1>IF(ISNUMBER(O83),IF(O83&gt;0,IF(AND(O83&gt;=O82,O83&lt;=$O$49),O83,FALSE),FALSE),FALSE)</formula1>
    </dataValidation>
    <dataValidation type="whole" showInputMessage="1" showErrorMessage="1" errorTitle="Eingabefehler" error="1. Tabellenblatt Basisdaten muss vollständig ausgefüllt sein._x000a_2. Zähler muss eine positive ganze Zahl sein." sqref="O37" xr:uid="{00000000-0002-0000-0900-00000B000000}">
      <formula1>0</formula1>
      <formula2>IF(O38="",0,10000)</formula2>
    </dataValidation>
    <dataValidation type="textLength" allowBlank="1" showInputMessage="1" showErrorMessage="1" errorTitle="Hinweis" error="Minimal 30 Zeichen und max. 500 Zeichen." sqref="R52:R54" xr:uid="{00000000-0002-0000-0900-00000C000000}">
      <formula1>30</formula1>
      <formula2>500</formula2>
    </dataValidation>
    <dataValidation type="textLength" allowBlank="1" showInputMessage="1" showErrorMessage="1" errorTitle="Zeichenlänge" error="Minimal 30 Zeichen und max. 500 Zeichen." sqref="R13:R18 R46:R48 R19:R39 Q121:R121 Q82:R91 R100 Q112:R112 Q106:R106 R103 Q97:R97 Q100:Q103 Q55:R72 Q115:R115 Q118:R118 Q76:Q78 Q19:Q39 Q46:Q48" xr:uid="{00000000-0002-0000-0900-00000D000000}">
      <formula1>30</formula1>
      <formula2>500</formula2>
    </dataValidation>
    <dataValidation type="textLength" allowBlank="1" showInputMessage="1" showErrorMessage="1" errorTitle="Zeichenlänge" error="Minimal 30 Zeichen und max. 500 Zeichen._x000a_" sqref="R76:R78" xr:uid="{00000000-0002-0000-0900-00000E000000}">
      <formula1>30</formula1>
      <formula2>500</formula2>
    </dataValidation>
    <dataValidation showInputMessage="1" showErrorMessage="1" errorTitle="Eingabefehler" error="1. Ganze Zahl bitte eingeben zwischen 0 und 5000._x000a_" sqref="O52:O54" xr:uid="{00000000-0002-0000-0900-00000F000000}"/>
    <dataValidation type="whole" showErrorMessage="1" errorTitle="Eingabefehler" error="1. Nenner muss eine positive ganze Zahl sein. _x000a_2. Nenner kann nicht kleiner als Zähler sein._x000a_3. Nenner kann nicht größer sein als Anzahl Primärfälle Stadium IV." sqref="O92" xr:uid="{00000000-0002-0000-0900-000010000000}">
      <formula1>O91</formula1>
      <formula2>S92</formula2>
    </dataValidation>
    <dataValidation type="whole" allowBlank="1" showInputMessage="1" showErrorMessage="1" errorTitle="Eingabefehler" error="1. Zähler muss eine positive ganze Zahl sein._x000a_2. Zähler kann nicht größer als Nenner sein." sqref="O121 O103 O118 O91 O115 O97 O100" xr:uid="{00000000-0002-0000-0900-000011000000}">
      <formula1>0</formula1>
      <formula2>IF(O92="",5000,O92)</formula2>
    </dataValidation>
    <dataValidation type="whole" showErrorMessage="1" errorTitle="Eingabefehler" error="1. Nenner muss eine positive ganze Zahl sein._x000a_2. Nenner kann nicht kleiner als Zähler sein._x000a_3. Nenner kann nicht größer sein als Anzahl Primärfälle Stadium IV." sqref="O98" xr:uid="{00000000-0002-0000-0900-000012000000}">
      <formula1>O97</formula1>
      <formula2>S92</formula2>
    </dataValidation>
    <dataValidation type="custom" showErrorMessage="1" errorTitle="Eingabefehler" error="1. Nenner muss eine positive ganze Zahl sein. _x000a_2. Nenner kann nicht kleiner als Zähler sein._x000a_3. Nenner kann nicht größer sein als Anzahl Primärfälle Stadien III-IV." sqref="O113" xr:uid="{00000000-0002-0000-0900-000013000000}">
      <formula1>IF(ISNUMBER(O113),IF(O113&gt;0,IF(AND(O113&gt;=O112,O113&lt;=S113),O113,FALSE),FALSE),FALSE)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6" xr:uid="{00000000-0002-0000-0900-000014000000}">
      <formula1>IF(ISNUMBER(O56),IF(O56&gt;0,IF(AND(O56&gt;=O55,O56&lt;=$O$49),O56,FALSE),FALSE),FALSE)</formula1>
    </dataValidation>
    <dataValidation type="whole" showErrorMessage="1" errorTitle="Eingabefehler" error="1. Nenner muss eine positive ganze Zahl sein. _x000a_2. Nenner kann nicht kleiner als Zähler sein._x000a_3. Nenner kann nicht größer sein als Anzahl Primärfälle Stadium IIB-IIIC." sqref="O104" xr:uid="{00000000-0002-0000-0900-000015000000}">
      <formula1>O103</formula1>
      <formula2>S104</formula2>
    </dataValidation>
    <dataValidation type="whole" showErrorMessage="1" errorTitle="Eingabefehler" error="1. Nenner muss eine positive ganze Zahl sein. _x000a_2. Nenner kann nicht kleiner als Zähler sein._x000a_3. Nenner kann nicht größer sein als Anzahl Primärfälle Stadium IV." sqref="O101" xr:uid="{00000000-0002-0000-0900-000016000000}">
      <formula1>O100</formula1>
      <formula2>S92</formula2>
    </dataValidation>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5" xr:uid="{00000000-0002-0000-0900-000017000000}">
      <formula1>0</formula1>
      <formula2>IF(O56="",O13,O56)</formula2>
    </dataValidation>
    <dataValidation showErrorMessage="1" errorTitle="Eingabefehler" error="1. Nenner muss eine positive ganze Zahl sein. _x000a_2. Nenner kann nicht kleiner als Zähler sein._x000a_3. Nenner kann nicht größer sein als Anzahl Primärfälle Stadien III-IV." sqref="O116" xr:uid="{00000000-0002-0000-0900-000018000000}"/>
    <dataValidation type="custom" showErrorMessage="1" errorTitle="Eingabefehler" error="1. Nenner muss eine positive ganze Zahl sein. _x000a_2. Nenner kann nicht kleiner als Zähler sein._x000a_3. Nenner kann nicht größer sein als Anzahl Primärfälle Stadium III." sqref="O119" xr:uid="{00000000-0002-0000-0900-000019000000}">
      <formula1>IF(ISNUMBER(O119),IF(O119&gt;0,IF(AND(O119&gt;=O118,O119&lt;=S119),O119,FALSE),FALSE),FALSE)</formula1>
    </dataValidation>
    <dataValidation type="whole" showInputMessage="1" showErrorMessage="1" errorTitle="Eingabefehler" error="Ganze Zahl zwischen 0 und 5000 eingeben._x000a_" sqref="O16:O18" xr:uid="{00000000-0002-0000-0900-00001A000000}">
      <formula1>0</formula1>
      <formula2>5000</formula2>
    </dataValidation>
    <dataValidation type="textLength" allowBlank="1" showErrorMessage="1" errorTitle="Zeichenlänge" error="Minimal 30 Zeichen und max. 500 Zeichen." sqref="Q16:Q18" xr:uid="{00000000-0002-0000-0900-00001B000000}">
      <formula1>30</formula1>
      <formula2>500</formula2>
    </dataValidation>
    <dataValidation type="custom" showErrorMessage="1" errorTitle="Eingabefehler" error="1. Nenner muss eine positive ganze Zahl sein. _x000a_2. Nenner kann nicht kleiner als Zähler sein._x000a_3. Nenner kann nicht größer sein als Anzahl Primärfälle Stadium IV." sqref="O122" xr:uid="{00000000-0002-0000-0900-00001C000000}">
      <formula1>IF(ISNUMBER(O122),IF(O122&gt;0,IF(AND(O122&gt;=O121,O122&lt;=S122),O122,FALSE),FALSE),FALSE)</formula1>
    </dataValidation>
    <dataValidation type="textLength" allowBlank="1" showInputMessage="1" showErrorMessage="1" errorTitle="Zeichenlänge" error="Minimal 30 Zeichen und max. 200 Zeichen." sqref="Q124:R131" xr:uid="{00000000-0002-0000-0900-00001D000000}">
      <formula1>30</formula1>
      <formula2>200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8 O46" xr:uid="{00000000-0002-0000-0900-00001E000000}">
      <formula1>0</formula1>
      <formula2>IF(O29="",0,O29)</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9" xr:uid="{00000000-0002-0000-0900-00001F000000}">
      <formula1>O28</formula1>
      <formula2>S29</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7" xr:uid="{00000000-0002-0000-0900-000020000000}">
      <formula1>O46</formula1>
      <formula2>5000</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5" xr:uid="{00000000-0002-0000-0900-000021000000}">
      <formula1>O94</formula1>
      <formula2>S95</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10" xr:uid="{00000000-0002-0000-0900-000022000000}">
      <formula1>O109</formula1>
      <formula2>S110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4 O106 O109 O112 O76" xr:uid="{00000000-0002-0000-0900-000023000000}">
      <formula1>0</formula1>
      <formula2>IF(O77="",5000,O77)</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7" xr:uid="{00000000-0002-0000-0900-000024000000}">
      <formula1>O76</formula1>
      <formula2>S77</formula2>
    </dataValidation>
    <dataValidation allowBlank="1" showInputMessage="1" showErrorMessage="1" errorTitle="Zeichenlänge" error="Minimal 30 Zeichen und max. 500 Zeichen." sqref="Q40:Q42 Q43:Q45 Q73:Q75 Q79:Q81 R40:R42 R43:R45 R79:R81" xr:uid="{00000000-0002-0000-0900-000025000000}"/>
    <dataValidation allowBlank="1" showInputMessage="1" showErrorMessage="1" errorTitle="Zeichenlänge" error="Minimal 30 Zeichen und max. 500 Zeichen._x000a_" sqref="R73:R75" xr:uid="{AAB4745F-172F-43B2-8AC1-FA911B08AB34}"/>
    <dataValidation type="whole" showErrorMessage="1" errorTitle="Eingabefehler" error="1. Nenner muss eine positive ganze Zahl sein. _x000a_2. Nenner kann nicht kleiner als Zähler sein._x000a_3. Nenner kann nicht größer sein als Anzahl Primärfälle." sqref="O107" xr:uid="{EA9C7A44-F821-4FBB-941D-3923C5B53EE3}">
      <formula1>O106</formula1>
      <formula2>S107</formula2>
    </dataValidation>
    <dataValidation type="textLength" allowBlank="1" showInputMessage="1" showErrorMessage="1" errorTitle="Hinweis" error="Minimal 30 Zeichen und max. 500 Zeichen." sqref="Q49:Q54 R49:R51" xr:uid="{BB892EC9-1810-4E0E-9C79-72C9130F9107}">
      <formula1>30</formula1>
      <formula2>500</formula2>
    </dataValidation>
  </dataValidation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7" manualBreakCount="7">
    <brk id="24" max="15" man="1"/>
    <brk id="42" max="15" man="1"/>
    <brk id="60" max="15" man="1"/>
    <brk id="78" max="15" man="1"/>
    <brk id="93" max="15" man="1"/>
    <brk id="105" max="15" man="1"/>
    <brk id="117" max="15" man="1"/>
  </rowBreaks>
  <ignoredErrors>
    <ignoredError sqref="B58:B66 B13:B15 B83:B84 B86:B87 B20:B27 B49 B67:B72 B37:B45" twoDigitTextYear="1"/>
    <ignoredError sqref="O52" unlockedFormula="1"/>
    <ignoredError sqref="O40 O43 O73 O79" formulaRange="1"/>
  </ignoredError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B1:D84"/>
  <sheetViews>
    <sheetView showGridLines="0" zoomScaleNormal="100" workbookViewId="0">
      <selection activeCell="B19" sqref="B19"/>
    </sheetView>
  </sheetViews>
  <sheetFormatPr defaultColWidth="11.42578125" defaultRowHeight="12" x14ac:dyDescent="0.2"/>
  <cols>
    <col min="1" max="1" width="1" style="404" customWidth="1"/>
    <col min="2" max="2" width="8.5703125" style="409" customWidth="1"/>
    <col min="3" max="3" width="7.42578125" style="404" customWidth="1"/>
    <col min="4" max="4" width="77.140625" style="404" customWidth="1"/>
    <col min="5" max="16384" width="11.42578125" style="404"/>
  </cols>
  <sheetData>
    <row r="1" spans="2:4" ht="5.25" customHeight="1" x14ac:dyDescent="0.2"/>
    <row r="2" spans="2:4" ht="12.75" x14ac:dyDescent="0.2">
      <c r="B2" s="405" t="str">
        <f>Basisdaten_Lunge!A2</f>
        <v>Anlage EB Version I1.3 (Auditjahr 2023 / Kennzahlenjahr 2022)</v>
      </c>
      <c r="C2" s="406"/>
    </row>
    <row r="3" spans="2:4" ht="33.75" customHeight="1" x14ac:dyDescent="0.2">
      <c r="B3" s="405"/>
      <c r="C3" s="406"/>
    </row>
    <row r="4" spans="2:4" ht="33" customHeight="1" x14ac:dyDescent="0.2">
      <c r="B4" s="805" t="s">
        <v>730</v>
      </c>
      <c r="C4" s="806"/>
      <c r="D4" s="806"/>
    </row>
    <row r="5" spans="2:4" ht="8.25" customHeight="1" x14ac:dyDescent="0.2">
      <c r="B5" s="407"/>
      <c r="C5" s="408"/>
      <c r="D5" s="408"/>
    </row>
    <row r="6" spans="2:4" ht="27.75" customHeight="1" x14ac:dyDescent="0.2">
      <c r="B6" s="807" t="s">
        <v>731</v>
      </c>
      <c r="C6" s="807"/>
      <c r="D6" s="807"/>
    </row>
    <row r="7" spans="2:4" ht="8.25" customHeight="1" thickBot="1" x14ac:dyDescent="0.25">
      <c r="B7" s="407"/>
      <c r="C7" s="408"/>
      <c r="D7" s="408"/>
    </row>
    <row r="8" spans="2:4" ht="21.75" customHeight="1" thickBot="1" x14ac:dyDescent="0.25">
      <c r="B8" s="808" t="s">
        <v>631</v>
      </c>
      <c r="C8" s="809"/>
      <c r="D8" s="810"/>
    </row>
    <row r="9" spans="2:4" ht="18" customHeight="1" x14ac:dyDescent="0.2">
      <c r="B9" s="811" t="s">
        <v>632</v>
      </c>
      <c r="C9" s="812"/>
      <c r="D9" s="813"/>
    </row>
    <row r="10" spans="2:4" ht="18" customHeight="1" x14ac:dyDescent="0.2">
      <c r="B10" s="410" t="s">
        <v>633</v>
      </c>
      <c r="C10" s="796" t="s">
        <v>634</v>
      </c>
      <c r="D10" s="797"/>
    </row>
    <row r="11" spans="2:4" ht="18" customHeight="1" x14ac:dyDescent="0.2">
      <c r="B11" s="410" t="s">
        <v>635</v>
      </c>
      <c r="C11" s="796" t="s">
        <v>636</v>
      </c>
      <c r="D11" s="797"/>
    </row>
    <row r="12" spans="2:4" ht="18" customHeight="1" x14ac:dyDescent="0.2">
      <c r="B12" s="410" t="s">
        <v>637</v>
      </c>
      <c r="C12" s="796" t="s">
        <v>638</v>
      </c>
      <c r="D12" s="797"/>
    </row>
    <row r="13" spans="2:4" ht="18" customHeight="1" x14ac:dyDescent="0.2">
      <c r="B13" s="410" t="s">
        <v>639</v>
      </c>
      <c r="C13" s="796" t="s">
        <v>640</v>
      </c>
      <c r="D13" s="797"/>
    </row>
    <row r="14" spans="2:4" ht="25.5" customHeight="1" x14ac:dyDescent="0.2">
      <c r="B14" s="410" t="s">
        <v>728</v>
      </c>
      <c r="C14" s="803" t="s">
        <v>729</v>
      </c>
      <c r="D14" s="804"/>
    </row>
    <row r="15" spans="2:4" ht="26.1" customHeight="1" x14ac:dyDescent="0.2">
      <c r="B15" s="410" t="s">
        <v>641</v>
      </c>
      <c r="C15" s="803" t="s">
        <v>642</v>
      </c>
      <c r="D15" s="804"/>
    </row>
    <row r="16" spans="2:4" ht="18" customHeight="1" x14ac:dyDescent="0.2">
      <c r="B16" s="410" t="s">
        <v>643</v>
      </c>
      <c r="C16" s="796" t="s">
        <v>644</v>
      </c>
      <c r="D16" s="797"/>
    </row>
    <row r="17" spans="2:4" ht="18" customHeight="1" x14ac:dyDescent="0.2">
      <c r="B17" s="410" t="s">
        <v>645</v>
      </c>
      <c r="C17" s="796" t="s">
        <v>646</v>
      </c>
      <c r="D17" s="797"/>
    </row>
    <row r="18" spans="2:4" ht="26.1" customHeight="1" x14ac:dyDescent="0.2">
      <c r="B18" s="410" t="s">
        <v>647</v>
      </c>
      <c r="C18" s="803" t="s">
        <v>648</v>
      </c>
      <c r="D18" s="804"/>
    </row>
    <row r="19" spans="2:4" ht="18" customHeight="1" x14ac:dyDescent="0.2">
      <c r="B19" s="410" t="s">
        <v>649</v>
      </c>
      <c r="C19" s="796" t="s">
        <v>650</v>
      </c>
      <c r="D19" s="797"/>
    </row>
    <row r="20" spans="2:4" ht="18" customHeight="1" x14ac:dyDescent="0.2">
      <c r="B20" s="410" t="s">
        <v>651</v>
      </c>
      <c r="C20" s="796" t="s">
        <v>652</v>
      </c>
      <c r="D20" s="797"/>
    </row>
    <row r="21" spans="2:4" ht="26.1" customHeight="1" x14ac:dyDescent="0.2">
      <c r="B21" s="410" t="s">
        <v>653</v>
      </c>
      <c r="C21" s="803" t="s">
        <v>654</v>
      </c>
      <c r="D21" s="804"/>
    </row>
    <row r="22" spans="2:4" ht="18" customHeight="1" x14ac:dyDescent="0.2">
      <c r="B22" s="410" t="s">
        <v>655</v>
      </c>
      <c r="C22" s="796" t="s">
        <v>656</v>
      </c>
      <c r="D22" s="797"/>
    </row>
    <row r="23" spans="2:4" ht="18" customHeight="1" x14ac:dyDescent="0.2">
      <c r="B23" s="410" t="s">
        <v>657</v>
      </c>
      <c r="C23" s="796" t="s">
        <v>658</v>
      </c>
      <c r="D23" s="797"/>
    </row>
    <row r="24" spans="2:4" ht="18" customHeight="1" x14ac:dyDescent="0.2">
      <c r="B24" s="410" t="s">
        <v>659</v>
      </c>
      <c r="C24" s="796" t="s">
        <v>660</v>
      </c>
      <c r="D24" s="797"/>
    </row>
    <row r="25" spans="2:4" ht="18" customHeight="1" x14ac:dyDescent="0.2">
      <c r="B25" s="800" t="s">
        <v>661</v>
      </c>
      <c r="C25" s="801"/>
      <c r="D25" s="802"/>
    </row>
    <row r="26" spans="2:4" ht="18" customHeight="1" x14ac:dyDescent="0.2">
      <c r="B26" s="410" t="s">
        <v>662</v>
      </c>
      <c r="C26" s="796" t="s">
        <v>663</v>
      </c>
      <c r="D26" s="797"/>
    </row>
    <row r="27" spans="2:4" ht="18" customHeight="1" x14ac:dyDescent="0.2">
      <c r="B27" s="410" t="s">
        <v>664</v>
      </c>
      <c r="C27" s="796" t="s">
        <v>665</v>
      </c>
      <c r="D27" s="797"/>
    </row>
    <row r="28" spans="2:4" ht="18" customHeight="1" x14ac:dyDescent="0.2">
      <c r="B28" s="410" t="s">
        <v>666</v>
      </c>
      <c r="C28" s="796" t="s">
        <v>667</v>
      </c>
      <c r="D28" s="797"/>
    </row>
    <row r="29" spans="2:4" ht="18" customHeight="1" x14ac:dyDescent="0.2">
      <c r="B29" s="410" t="s">
        <v>668</v>
      </c>
      <c r="C29" s="796" t="s">
        <v>669</v>
      </c>
      <c r="D29" s="797"/>
    </row>
    <row r="30" spans="2:4" ht="18" customHeight="1" x14ac:dyDescent="0.2">
      <c r="B30" s="410" t="s">
        <v>670</v>
      </c>
      <c r="C30" s="796" t="s">
        <v>671</v>
      </c>
      <c r="D30" s="797"/>
    </row>
    <row r="31" spans="2:4" ht="18" customHeight="1" x14ac:dyDescent="0.2">
      <c r="B31" s="410" t="s">
        <v>672</v>
      </c>
      <c r="C31" s="796" t="s">
        <v>673</v>
      </c>
      <c r="D31" s="797"/>
    </row>
    <row r="32" spans="2:4" ht="18" customHeight="1" x14ac:dyDescent="0.2">
      <c r="B32" s="410" t="s">
        <v>674</v>
      </c>
      <c r="C32" s="796" t="s">
        <v>675</v>
      </c>
      <c r="D32" s="797"/>
    </row>
    <row r="33" spans="2:4" ht="18" customHeight="1" x14ac:dyDescent="0.2">
      <c r="B33" s="410" t="s">
        <v>676</v>
      </c>
      <c r="C33" s="796" t="s">
        <v>677</v>
      </c>
      <c r="D33" s="797"/>
    </row>
    <row r="34" spans="2:4" ht="18" customHeight="1" x14ac:dyDescent="0.2">
      <c r="B34" s="800" t="s">
        <v>678</v>
      </c>
      <c r="C34" s="801"/>
      <c r="D34" s="802"/>
    </row>
    <row r="35" spans="2:4" ht="18" customHeight="1" x14ac:dyDescent="0.2">
      <c r="B35" s="410" t="s">
        <v>679</v>
      </c>
      <c r="C35" s="796" t="s">
        <v>680</v>
      </c>
      <c r="D35" s="797"/>
    </row>
    <row r="36" spans="2:4" ht="18" customHeight="1" x14ac:dyDescent="0.2">
      <c r="B36" s="410" t="s">
        <v>681</v>
      </c>
      <c r="C36" s="796" t="s">
        <v>682</v>
      </c>
      <c r="D36" s="797"/>
    </row>
    <row r="37" spans="2:4" ht="18" customHeight="1" x14ac:dyDescent="0.2">
      <c r="B37" s="410" t="s">
        <v>683</v>
      </c>
      <c r="C37" s="796" t="s">
        <v>684</v>
      </c>
      <c r="D37" s="797"/>
    </row>
    <row r="38" spans="2:4" ht="18" customHeight="1" x14ac:dyDescent="0.2">
      <c r="B38" s="410" t="s">
        <v>685</v>
      </c>
      <c r="C38" s="796" t="s">
        <v>686</v>
      </c>
      <c r="D38" s="797"/>
    </row>
    <row r="39" spans="2:4" ht="18" customHeight="1" x14ac:dyDescent="0.2">
      <c r="B39" s="410" t="s">
        <v>687</v>
      </c>
      <c r="C39" s="796" t="s">
        <v>688</v>
      </c>
      <c r="D39" s="797"/>
    </row>
    <row r="40" spans="2:4" ht="18" customHeight="1" x14ac:dyDescent="0.2">
      <c r="B40" s="410" t="s">
        <v>689</v>
      </c>
      <c r="C40" s="796" t="s">
        <v>690</v>
      </c>
      <c r="D40" s="797"/>
    </row>
    <row r="41" spans="2:4" ht="18" customHeight="1" x14ac:dyDescent="0.2">
      <c r="B41" s="410" t="s">
        <v>691</v>
      </c>
      <c r="C41" s="796" t="s">
        <v>692</v>
      </c>
      <c r="D41" s="797"/>
    </row>
    <row r="42" spans="2:4" ht="18" customHeight="1" x14ac:dyDescent="0.2">
      <c r="B42" s="410" t="s">
        <v>693</v>
      </c>
      <c r="C42" s="796" t="s">
        <v>694</v>
      </c>
      <c r="D42" s="797"/>
    </row>
    <row r="43" spans="2:4" ht="18" customHeight="1" x14ac:dyDescent="0.2">
      <c r="B43" s="410" t="s">
        <v>695</v>
      </c>
      <c r="C43" s="796" t="s">
        <v>696</v>
      </c>
      <c r="D43" s="797"/>
    </row>
    <row r="44" spans="2:4" ht="18" customHeight="1" x14ac:dyDescent="0.2">
      <c r="B44" s="800" t="s">
        <v>697</v>
      </c>
      <c r="C44" s="801"/>
      <c r="D44" s="802"/>
    </row>
    <row r="45" spans="2:4" ht="18" customHeight="1" x14ac:dyDescent="0.2">
      <c r="B45" s="410" t="s">
        <v>698</v>
      </c>
      <c r="C45" s="796" t="s">
        <v>699</v>
      </c>
      <c r="D45" s="797"/>
    </row>
    <row r="46" spans="2:4" ht="18" customHeight="1" x14ac:dyDescent="0.2">
      <c r="B46" s="410" t="s">
        <v>700</v>
      </c>
      <c r="C46" s="796" t="s">
        <v>701</v>
      </c>
      <c r="D46" s="797"/>
    </row>
    <row r="47" spans="2:4" ht="18" customHeight="1" x14ac:dyDescent="0.2">
      <c r="B47" s="410" t="s">
        <v>702</v>
      </c>
      <c r="C47" s="796" t="s">
        <v>703</v>
      </c>
      <c r="D47" s="797"/>
    </row>
    <row r="48" spans="2:4" ht="18" customHeight="1" x14ac:dyDescent="0.2">
      <c r="B48" s="410" t="s">
        <v>704</v>
      </c>
      <c r="C48" s="796" t="s">
        <v>705</v>
      </c>
      <c r="D48" s="797"/>
    </row>
    <row r="49" spans="2:4" ht="18" customHeight="1" x14ac:dyDescent="0.2">
      <c r="B49" s="410" t="s">
        <v>706</v>
      </c>
      <c r="C49" s="796" t="s">
        <v>707</v>
      </c>
      <c r="D49" s="797"/>
    </row>
    <row r="50" spans="2:4" ht="18" customHeight="1" x14ac:dyDescent="0.2">
      <c r="B50" s="410" t="s">
        <v>708</v>
      </c>
      <c r="C50" s="796" t="s">
        <v>709</v>
      </c>
      <c r="D50" s="797"/>
    </row>
    <row r="51" spans="2:4" ht="18" customHeight="1" x14ac:dyDescent="0.2">
      <c r="B51" s="410" t="s">
        <v>710</v>
      </c>
      <c r="C51" s="796" t="s">
        <v>711</v>
      </c>
      <c r="D51" s="797"/>
    </row>
    <row r="52" spans="2:4" ht="18" customHeight="1" x14ac:dyDescent="0.2">
      <c r="B52" s="410" t="s">
        <v>712</v>
      </c>
      <c r="C52" s="796" t="s">
        <v>713</v>
      </c>
      <c r="D52" s="797"/>
    </row>
    <row r="53" spans="2:4" ht="18" customHeight="1" thickBot="1" x14ac:dyDescent="0.25">
      <c r="B53" s="411" t="s">
        <v>714</v>
      </c>
      <c r="C53" s="798" t="s">
        <v>696</v>
      </c>
      <c r="D53" s="799"/>
    </row>
    <row r="84" spans="3:3" x14ac:dyDescent="0.2">
      <c r="C84" s="404" t="s">
        <v>727</v>
      </c>
    </row>
  </sheetData>
  <sheetProtection algorithmName="SHA-512" hashValue="YKKBeZyRVg2nmDyK8dcrbpZ22i9Goz9d7xtKO9vzho07fw9IzS9fx0LhjPAanD59ustOBHCz3z4VDmG1QFm/mA==" saltValue="x3xxm2MaGrr4ZFpT6fm5BA==" spinCount="100000" sheet="1" objects="1" scenarios="1" selectLockedCells="1"/>
  <mergeCells count="48">
    <mergeCell ref="C11:D11"/>
    <mergeCell ref="B4:D4"/>
    <mergeCell ref="B6:D6"/>
    <mergeCell ref="B8:D8"/>
    <mergeCell ref="B9:D9"/>
    <mergeCell ref="C10:D10"/>
    <mergeCell ref="C24:D24"/>
    <mergeCell ref="C12:D12"/>
    <mergeCell ref="C13:D13"/>
    <mergeCell ref="C15:D15"/>
    <mergeCell ref="C16:D16"/>
    <mergeCell ref="C17:D17"/>
    <mergeCell ref="C18:D18"/>
    <mergeCell ref="C19:D19"/>
    <mergeCell ref="C20:D20"/>
    <mergeCell ref="C21:D21"/>
    <mergeCell ref="C22:D22"/>
    <mergeCell ref="C23:D23"/>
    <mergeCell ref="C14:D14"/>
    <mergeCell ref="C36:D36"/>
    <mergeCell ref="B25:D25"/>
    <mergeCell ref="C26:D26"/>
    <mergeCell ref="C27:D27"/>
    <mergeCell ref="C28:D28"/>
    <mergeCell ref="C29:D29"/>
    <mergeCell ref="C30:D30"/>
    <mergeCell ref="C31:D31"/>
    <mergeCell ref="C32:D32"/>
    <mergeCell ref="C33:D33"/>
    <mergeCell ref="B34:D34"/>
    <mergeCell ref="C35:D35"/>
    <mergeCell ref="C48:D48"/>
    <mergeCell ref="C37:D37"/>
    <mergeCell ref="C38:D38"/>
    <mergeCell ref="C39:D39"/>
    <mergeCell ref="C40:D40"/>
    <mergeCell ref="C41:D41"/>
    <mergeCell ref="C42:D42"/>
    <mergeCell ref="C43:D43"/>
    <mergeCell ref="B44:D44"/>
    <mergeCell ref="C45:D45"/>
    <mergeCell ref="C46:D46"/>
    <mergeCell ref="C47:D47"/>
    <mergeCell ref="C49:D49"/>
    <mergeCell ref="C50:D50"/>
    <mergeCell ref="C51:D51"/>
    <mergeCell ref="C52:D52"/>
    <mergeCell ref="C53:D53"/>
  </mergeCells>
  <pageMargins left="0.70866141732283472" right="0.70866141732283472" top="0.78740157480314965" bottom="0.78740157480314965" header="0.31496062992125984" footer="0.31496062992125984"/>
  <pageSetup scale="90"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M42"/>
  <sheetViews>
    <sheetView showGridLines="0" showRuler="0" showWhiteSpace="0" topLeftCell="A2" zoomScaleNormal="100" zoomScaleSheetLayoutView="100" workbookViewId="0">
      <selection activeCell="O14" sqref="O14"/>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6" t="str">
        <f ca="1">IF(L11=TRUE,"A1:L15",CONCATENATE("A1:L",MATCH(0,A:A,-1)))</f>
        <v>A1:L42</v>
      </c>
    </row>
    <row r="2" spans="1:13" s="3" customFormat="1" ht="22.5" customHeight="1" x14ac:dyDescent="0.2">
      <c r="A2" s="23" t="s">
        <v>1036</v>
      </c>
    </row>
    <row r="3" spans="1:13" s="3" customFormat="1" ht="16.5" x14ac:dyDescent="0.25">
      <c r="A3" s="19" t="s">
        <v>375</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236</v>
      </c>
      <c r="C6" s="605" t="str">
        <f>IF(Basisdaten_Lunge!B9=0,"",Basisdaten_Lunge!B9)</f>
        <v/>
      </c>
      <c r="D6" s="819"/>
      <c r="E6" s="819"/>
      <c r="F6" s="819"/>
      <c r="G6" s="819"/>
      <c r="H6" s="819"/>
      <c r="I6" s="819"/>
      <c r="J6" s="820"/>
      <c r="K6" s="20"/>
    </row>
    <row r="7" spans="1:13" s="23" customFormat="1" ht="6.95" customHeight="1" x14ac:dyDescent="0.2">
      <c r="B7" s="6"/>
      <c r="C7" s="10"/>
      <c r="D7" s="10"/>
      <c r="E7" s="10"/>
      <c r="F7" s="10"/>
      <c r="G7" s="10"/>
      <c r="H7" s="10"/>
      <c r="I7" s="10"/>
      <c r="J7" s="10"/>
      <c r="K7" s="20"/>
    </row>
    <row r="8" spans="1:13" s="23" customFormat="1" ht="15" customHeight="1" x14ac:dyDescent="0.2">
      <c r="B8" s="26" t="s">
        <v>166</v>
      </c>
      <c r="C8" s="814" t="str">
        <f>IF(Basisdaten_Lunge!B7=0,"",Basisdaten_Lunge!B7)</f>
        <v/>
      </c>
      <c r="D8" s="815"/>
      <c r="E8" s="815"/>
      <c r="F8" s="815"/>
      <c r="G8" s="816"/>
      <c r="I8" s="283" t="s">
        <v>163</v>
      </c>
      <c r="J8" s="38" t="str">
        <f>IF(Basisdaten_Lunge!I13=0,"",Basisdaten_Lunge!I13)</f>
        <v/>
      </c>
      <c r="K8" s="20"/>
    </row>
    <row r="9" spans="1:13" s="3" customFormat="1" ht="14.25" x14ac:dyDescent="0.2">
      <c r="K9" s="20"/>
    </row>
    <row r="10" spans="1:13" s="3" customFormat="1" x14ac:dyDescent="0.25">
      <c r="B10" s="9" t="str">
        <f ca="1">IF(M11=TRUE,"Kein Datendefizit vorhanden","")</f>
        <v/>
      </c>
      <c r="K10" s="20"/>
      <c r="M10" s="282" t="s">
        <v>486</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82" t="b">
        <f t="array" aca="1" ref="M11" ca="1">$A$14:$K$42=""</f>
        <v>0</v>
      </c>
    </row>
    <row r="12" spans="1:13" ht="18.75" customHeight="1" x14ac:dyDescent="0.25">
      <c r="A12" s="817" t="str">
        <f ca="1">IF($M$11=TRUE,"","KN")</f>
        <v>KN</v>
      </c>
      <c r="B12" s="817" t="str">
        <f ca="1">IF($M$11=TRUE,"","Kennzahlendefinition")</f>
        <v>Kennzahlendefinition</v>
      </c>
      <c r="C12" s="817" t="str">
        <f ca="1">IF($M$11=TRUE,"","Vorgaben Datenqualität")</f>
        <v>Vorgaben Datenqualität</v>
      </c>
      <c r="D12" s="817"/>
      <c r="E12" s="817"/>
      <c r="F12" s="817" t="str">
        <f ca="1">IF($M$11=TRUE,"","Ist-Werte")</f>
        <v>Ist-Werte</v>
      </c>
      <c r="G12" s="817"/>
      <c r="H12" s="817"/>
      <c r="I12" s="817" t="str">
        <f ca="1">IF($M$11=TRUE,"","Daten-qualität
1), 2), 3)")</f>
        <v>Daten-qualität
1), 2), 3)</v>
      </c>
      <c r="J12" s="312" t="str">
        <f ca="1">IF($M$11=TRUE,"","Verifizierung Zentrum")</f>
        <v>Verifizierung Zentrum</v>
      </c>
      <c r="K12" s="311"/>
    </row>
    <row r="13" spans="1:13" ht="21" customHeight="1" x14ac:dyDescent="0.25">
      <c r="A13" s="818"/>
      <c r="B13" s="818"/>
      <c r="C13" s="278" t="str">
        <f ca="1">IF($M$11=TRUE,"","Plausi unklar")</f>
        <v>Plausi unklar</v>
      </c>
      <c r="D13" s="278" t="str">
        <f ca="1">IF($M$11=TRUE,"","Sollvorgabe")</f>
        <v>Sollvorgabe</v>
      </c>
      <c r="E13" s="278" t="str">
        <f ca="1">IF($M$11=TRUE,"","Plausi unklar")</f>
        <v>Plausi unklar</v>
      </c>
      <c r="F13" s="278" t="str">
        <f ca="1">IF($M$11=TRUE,"","Zähler / Anzahl")</f>
        <v>Zähler / Anzahl</v>
      </c>
      <c r="G13" s="278" t="str">
        <f ca="1">IF($M$11=TRUE,"","Nenner")</f>
        <v>Nenner</v>
      </c>
      <c r="H13" s="278" t="str">
        <f ca="1">IF($M$11=TRUE,"","Quote")</f>
        <v>Quote</v>
      </c>
      <c r="I13" s="818"/>
      <c r="J13" s="308" t="str">
        <f ca="1">IF($M$11=TRUE,"","Begründung / Ursache")</f>
        <v>Begründung / Ursache</v>
      </c>
      <c r="K13" s="284" t="str">
        <f ca="1">IF($M$11=TRUE,"","Eingeleitete / geplante Aktionen")</f>
        <v>Eingeleitete / geplante Aktionen</v>
      </c>
    </row>
    <row r="14" spans="1:13" ht="135" customHeight="1" x14ac:dyDescent="0.25">
      <c r="A14" s="191" t="str">
        <f ca="1">'Hilfstabelle DatendefKB'!O2</f>
        <v>1a</v>
      </c>
      <c r="B14" s="285" t="str">
        <f ca="1">'Hilfstabelle DatendefKB'!P2</f>
        <v>Primärfälle</v>
      </c>
      <c r="C14" s="288" t="str">
        <f ca="1">'Hilfstabelle DatendefKB'!Q2</f>
        <v>-----</v>
      </c>
      <c r="D14" s="191" t="str">
        <f ca="1">'Hilfstabelle DatendefKB'!R2</f>
        <v>≥ 200</v>
      </c>
      <c r="E14" s="288" t="str">
        <f ca="1">'Hilfstabelle DatendefKB'!S2</f>
        <v>-----</v>
      </c>
      <c r="F14" s="191">
        <f ca="1">'Hilfstabelle DatendefKB'!T2</f>
        <v>0</v>
      </c>
      <c r="G14" s="191" t="str">
        <f ca="1">'Hilfstabelle DatendefKB'!U2</f>
        <v>-----</v>
      </c>
      <c r="H14" s="287" t="str">
        <f ca="1">'Hilfstabelle DatendefKB'!V2</f>
        <v>-----</v>
      </c>
      <c r="I14" s="191" t="str">
        <f ca="1">'Hilfstabelle DatendefKB'!W2</f>
        <v>Unvollständig</v>
      </c>
      <c r="J14" s="192" t="str">
        <f ca="1">'Hilfstabelle DatendefKB'!X2</f>
        <v>-----</v>
      </c>
      <c r="K14" s="285" t="str">
        <f ca="1">'Hilfstabelle DatendefKB'!Y2</f>
        <v>-----</v>
      </c>
    </row>
    <row r="15" spans="1:13" ht="135" customHeight="1" x14ac:dyDescent="0.25">
      <c r="A15" s="191" t="str">
        <f ca="1">'Hilfstabelle DatendefKB'!O3</f>
        <v>1b</v>
      </c>
      <c r="B15" s="285" t="str">
        <f ca="1">'Hilfstabelle DatendefKB'!P3</f>
        <v>Pat. mit neuaufgetretenem Rezidiv und/oder Fernmetastasen</v>
      </c>
      <c r="C15" s="288" t="str">
        <f ca="1">'Hilfstabelle DatendefKB'!Q3</f>
        <v>-----</v>
      </c>
      <c r="D15" s="191" t="str">
        <f ca="1">'Hilfstabelle DatendefKB'!R3</f>
        <v>Derzeit keine Vorgaben</v>
      </c>
      <c r="E15" s="288" t="str">
        <f ca="1">'Hilfstabelle DatendefKB'!S3</f>
        <v>-----</v>
      </c>
      <c r="F15" s="191">
        <f ca="1">'Hilfstabelle DatendefKB'!T3</f>
        <v>0</v>
      </c>
      <c r="G15" s="191" t="str">
        <f ca="1">'Hilfstabelle DatendefKB'!U3</f>
        <v>-----</v>
      </c>
      <c r="H15" s="287" t="str">
        <f ca="1">'Hilfstabelle DatendefKB'!V3</f>
        <v>-----</v>
      </c>
      <c r="I15" s="191" t="str">
        <f ca="1">'Hilfstabelle DatendefKB'!W3</f>
        <v>Unvollständig</v>
      </c>
      <c r="J15" s="192" t="str">
        <f ca="1">'Hilfstabelle DatendefKB'!X3</f>
        <v>-----</v>
      </c>
      <c r="K15" s="285" t="str">
        <f ca="1">'Hilfstabelle DatendefKB'!Y3</f>
        <v>-----</v>
      </c>
    </row>
    <row r="16" spans="1:13" ht="135" customHeight="1" x14ac:dyDescent="0.25">
      <c r="A16" s="191" t="str">
        <f ca="1">'Hilfstabelle DatendefKB'!O4</f>
        <v>2a</v>
      </c>
      <c r="B16" s="285" t="str">
        <f ca="1">'Hilfstabelle DatendefKB'!P4</f>
        <v>Prätherapeutische Tumorkonferenz</v>
      </c>
      <c r="C16" s="288" t="str">
        <f ca="1">'Hilfstabelle DatendefKB'!Q4</f>
        <v>-----</v>
      </c>
      <c r="D16" s="191" t="str">
        <f ca="1">'Hilfstabelle DatendefKB'!R4</f>
        <v>≥ 90%</v>
      </c>
      <c r="E16" s="288" t="str">
        <f ca="1">'Hilfstabelle DatendefKB'!S4</f>
        <v>-----</v>
      </c>
      <c r="F16" s="191" t="str">
        <f ca="1">'Hilfstabelle DatendefKB'!T4</f>
        <v>-----</v>
      </c>
      <c r="G16" s="191">
        <f ca="1">'Hilfstabelle DatendefKB'!U4</f>
        <v>0</v>
      </c>
      <c r="H16" s="287" t="str">
        <f ca="1">'Hilfstabelle DatendefKB'!V4</f>
        <v>n.d.</v>
      </c>
      <c r="I16" s="191" t="str">
        <f ca="1">'Hilfstabelle DatendefKB'!W4</f>
        <v>Unvollständig</v>
      </c>
      <c r="J16" s="192" t="str">
        <f ca="1">'Hilfstabelle DatendefKB'!X4</f>
        <v>-----</v>
      </c>
      <c r="K16" s="285" t="str">
        <f ca="1">'Hilfstabelle DatendefKB'!Y4</f>
        <v>-----</v>
      </c>
    </row>
    <row r="17" spans="1:11" ht="135" customHeight="1" x14ac:dyDescent="0.25">
      <c r="A17" s="191" t="str">
        <f ca="1">'Hilfstabelle DatendefKB'!O5</f>
        <v>2b</v>
      </c>
      <c r="B17" s="285" t="str">
        <f ca="1">'Hilfstabelle DatendefKB'!P5</f>
        <v>Vorstellung neu aufgetretener Rezidive u/o Fernmetastasen nach vorheriger kurativer Behandlung in Tumorkonferenz</v>
      </c>
      <c r="C17" s="288" t="str">
        <f ca="1">'Hilfstabelle DatendefKB'!Q5</f>
        <v>-----</v>
      </c>
      <c r="D17" s="191" t="str">
        <f ca="1">'Hilfstabelle DatendefKB'!R5</f>
        <v xml:space="preserve"> ≥ 90%</v>
      </c>
      <c r="E17" s="288" t="str">
        <f ca="1">'Hilfstabelle DatendefKB'!S5</f>
        <v>-----</v>
      </c>
      <c r="F17" s="191" t="str">
        <f ca="1">'Hilfstabelle DatendefKB'!T5</f>
        <v>-----</v>
      </c>
      <c r="G17" s="191" t="str">
        <f ca="1">'Hilfstabelle DatendefKB'!U5</f>
        <v>-----</v>
      </c>
      <c r="H17" s="287" t="str">
        <f ca="1">'Hilfstabelle DatendefKB'!V5</f>
        <v>n.d.</v>
      </c>
      <c r="I17" s="191" t="str">
        <f ca="1">'Hilfstabelle DatendefKB'!W5</f>
        <v>Unvollständig</v>
      </c>
      <c r="J17" s="192" t="str">
        <f ca="1">'Hilfstabelle DatendefKB'!X5</f>
        <v>-----</v>
      </c>
      <c r="K17" s="285" t="str">
        <f ca="1">'Hilfstabelle DatendefKB'!Y5</f>
        <v>-----</v>
      </c>
    </row>
    <row r="18" spans="1:11" ht="135" customHeight="1" x14ac:dyDescent="0.25">
      <c r="A18" s="191">
        <f ca="1">'Hilfstabelle DatendefKB'!O6</f>
        <v>3</v>
      </c>
      <c r="B18" s="285" t="str">
        <f ca="1">'Hilfstabelle DatendefKB'!P6</f>
        <v>Tumorkonferenz nach operativer Therapie von Primärfällen Stad. IB-IIIB</v>
      </c>
      <c r="C18" s="288" t="str">
        <f ca="1">'Hilfstabelle DatendefKB'!Q6</f>
        <v>-----</v>
      </c>
      <c r="D18" s="191" t="str">
        <f ca="1">'Hilfstabelle DatendefKB'!R6</f>
        <v xml:space="preserve"> ≥ 90%</v>
      </c>
      <c r="E18" s="288" t="str">
        <f ca="1">'Hilfstabelle DatendefKB'!S6</f>
        <v>-----</v>
      </c>
      <c r="F18" s="191" t="str">
        <f ca="1">'Hilfstabelle DatendefKB'!T6</f>
        <v>-----</v>
      </c>
      <c r="G18" s="191">
        <f ca="1">'Hilfstabelle DatendefKB'!U6</f>
        <v>0</v>
      </c>
      <c r="H18" s="287" t="str">
        <f ca="1">'Hilfstabelle DatendefKB'!V6</f>
        <v>n.d.</v>
      </c>
      <c r="I18" s="191" t="str">
        <f ca="1">'Hilfstabelle DatendefKB'!W6</f>
        <v>Unvollständig</v>
      </c>
      <c r="J18" s="192" t="str">
        <f ca="1">'Hilfstabelle DatendefKB'!X6</f>
        <v>-----</v>
      </c>
      <c r="K18" s="285" t="str">
        <f ca="1">'Hilfstabelle DatendefKB'!Y6</f>
        <v>-----</v>
      </c>
    </row>
    <row r="19" spans="1:11" ht="135" customHeight="1" x14ac:dyDescent="0.25">
      <c r="A19" s="191">
        <f ca="1">'Hilfstabelle DatendefKB'!O7</f>
        <v>6</v>
      </c>
      <c r="B19" s="285" t="str">
        <f ca="1">'Hilfstabelle DatendefKB'!P7</f>
        <v>Beratung Sozialdienst</v>
      </c>
      <c r="C19" s="288" t="str">
        <f ca="1">'Hilfstabelle DatendefKB'!Q7</f>
        <v>&lt; 50%</v>
      </c>
      <c r="D19" s="191" t="str">
        <f ca="1">'Hilfstabelle DatendefKB'!R7</f>
        <v>Derzeit keine Vorgaben</v>
      </c>
      <c r="E19" s="288" t="str">
        <f ca="1">'Hilfstabelle DatendefKB'!S7</f>
        <v>&gt; 90%</v>
      </c>
      <c r="F19" s="191" t="str">
        <f ca="1">'Hilfstabelle DatendefKB'!T7</f>
        <v>-----</v>
      </c>
      <c r="G19" s="191">
        <f ca="1">'Hilfstabelle DatendefKB'!U7</f>
        <v>0</v>
      </c>
      <c r="H19" s="287" t="str">
        <f ca="1">'Hilfstabelle DatendefKB'!V7</f>
        <v>n.d.</v>
      </c>
      <c r="I19" s="191" t="str">
        <f ca="1">'Hilfstabelle DatendefKB'!W7</f>
        <v>Unvollständig</v>
      </c>
      <c r="J19" s="192" t="str">
        <f ca="1">'Hilfstabelle DatendefKB'!X7</f>
        <v>-----</v>
      </c>
      <c r="K19" s="285" t="str">
        <f ca="1">'Hilfstabelle DatendefKB'!Y7</f>
        <v>-----</v>
      </c>
    </row>
    <row r="20" spans="1:11" ht="135" customHeight="1" x14ac:dyDescent="0.25">
      <c r="A20" s="191">
        <f ca="1">'Hilfstabelle DatendefKB'!O8</f>
        <v>7</v>
      </c>
      <c r="B20" s="285" t="str">
        <f ca="1">'Hilfstabelle DatendefKB'!P8</f>
        <v>Anteil Studienpat.</v>
      </c>
      <c r="C20" s="288" t="str">
        <f ca="1">'Hilfstabelle DatendefKB'!Q8</f>
        <v>-----</v>
      </c>
      <c r="D20" s="191" t="str">
        <f ca="1">'Hilfstabelle DatendefKB'!R8</f>
        <v xml:space="preserve"> ≥ 5%</v>
      </c>
      <c r="E20" s="288" t="str">
        <f ca="1">'Hilfstabelle DatendefKB'!S8</f>
        <v>-----</v>
      </c>
      <c r="F20" s="191" t="str">
        <f ca="1">'Hilfstabelle DatendefKB'!T8</f>
        <v>-----</v>
      </c>
      <c r="G20" s="191">
        <f ca="1">'Hilfstabelle DatendefKB'!U8</f>
        <v>0</v>
      </c>
      <c r="H20" s="287" t="str">
        <f ca="1">'Hilfstabelle DatendefKB'!V8</f>
        <v>n.d.</v>
      </c>
      <c r="I20" s="191" t="str">
        <f ca="1">'Hilfstabelle DatendefKB'!W8</f>
        <v>Unvollständig</v>
      </c>
      <c r="J20" s="192" t="str">
        <f ca="1">'Hilfstabelle DatendefKB'!X8</f>
        <v>-----</v>
      </c>
      <c r="K20" s="285" t="str">
        <f ca="1">'Hilfstabelle DatendefKB'!Y8</f>
        <v>-----</v>
      </c>
    </row>
    <row r="21" spans="1:11" ht="135" customHeight="1" x14ac:dyDescent="0.25">
      <c r="A21" s="191">
        <f ca="1">'Hilfstabelle DatendefKB'!O9</f>
        <v>8</v>
      </c>
      <c r="B21" s="285" t="str">
        <f ca="1">'Hilfstabelle DatendefKB'!P9</f>
        <v xml:space="preserve">Flexible Bronchoskopie </v>
      </c>
      <c r="C21" s="288" t="str">
        <f ca="1">'Hilfstabelle DatendefKB'!Q9</f>
        <v>-----</v>
      </c>
      <c r="D21" s="191" t="str">
        <f ca="1">'Hilfstabelle DatendefKB'!R9</f>
        <v>≥ 500</v>
      </c>
      <c r="E21" s="288" t="str">
        <f ca="1">'Hilfstabelle DatendefKB'!S9</f>
        <v>-----</v>
      </c>
      <c r="F21" s="191">
        <f ca="1">'Hilfstabelle DatendefKB'!T9</f>
        <v>0</v>
      </c>
      <c r="G21" s="191" t="str">
        <f ca="1">'Hilfstabelle DatendefKB'!U9</f>
        <v>-----</v>
      </c>
      <c r="H21" s="287" t="str">
        <f ca="1">'Hilfstabelle DatendefKB'!V9</f>
        <v>-----</v>
      </c>
      <c r="I21" s="191" t="str">
        <f ca="1">'Hilfstabelle DatendefKB'!W9</f>
        <v>Unvollständig</v>
      </c>
      <c r="J21" s="192" t="str">
        <f ca="1">'Hilfstabelle DatendefKB'!X9</f>
        <v>-----</v>
      </c>
      <c r="K21" s="285" t="str">
        <f ca="1">'Hilfstabelle DatendefKB'!Y9</f>
        <v>-----</v>
      </c>
    </row>
    <row r="22" spans="1:11" ht="135" customHeight="1" x14ac:dyDescent="0.25">
      <c r="A22" s="191">
        <f ca="1">'Hilfstabelle DatendefKB'!O10</f>
        <v>9</v>
      </c>
      <c r="B22" s="285" t="str">
        <f ca="1">'Hilfstabelle DatendefKB'!P10</f>
        <v xml:space="preserve">Interventionelle bronchoskopische Eingriffe bei Tumorverschluss oder Stenosen </v>
      </c>
      <c r="C22" s="288" t="str">
        <f ca="1">'Hilfstabelle DatendefKB'!Q10</f>
        <v>-----</v>
      </c>
      <c r="D22" s="191" t="str">
        <f ca="1">'Hilfstabelle DatendefKB'!R10</f>
        <v>≥ 10</v>
      </c>
      <c r="E22" s="288" t="str">
        <f ca="1">'Hilfstabelle DatendefKB'!S10</f>
        <v>-----</v>
      </c>
      <c r="F22" s="191">
        <f ca="1">'Hilfstabelle DatendefKB'!T10</f>
        <v>0</v>
      </c>
      <c r="G22" s="191" t="str">
        <f ca="1">'Hilfstabelle DatendefKB'!U10</f>
        <v>-----</v>
      </c>
      <c r="H22" s="287" t="str">
        <f ca="1">'Hilfstabelle DatendefKB'!V10</f>
        <v>-----</v>
      </c>
      <c r="I22" s="191" t="str">
        <f ca="1">'Hilfstabelle DatendefKB'!W10</f>
        <v>Unvollständig</v>
      </c>
      <c r="J22" s="192" t="str">
        <f ca="1">'Hilfstabelle DatendefKB'!X10</f>
        <v>-----</v>
      </c>
      <c r="K22" s="285" t="str">
        <f ca="1">'Hilfstabelle DatendefKB'!Y10</f>
        <v>-----</v>
      </c>
    </row>
    <row r="23" spans="1:11" ht="135" customHeight="1" x14ac:dyDescent="0.25">
      <c r="A23" s="191" t="str">
        <f ca="1">'Hilfstabelle DatendefKB'!O11</f>
        <v>11a</v>
      </c>
      <c r="B23" s="285" t="str">
        <f ca="1">'Hilfstabelle DatendefKB'!P11</f>
        <v>Lungenresektionen</v>
      </c>
      <c r="C23" s="288" t="str">
        <f ca="1">'Hilfstabelle DatendefKB'!Q11</f>
        <v>-----</v>
      </c>
      <c r="D23" s="191" t="str">
        <f ca="1">'Hilfstabelle DatendefKB'!R11</f>
        <v>Derzeit keine Vorgaben</v>
      </c>
      <c r="E23" s="288" t="str">
        <f ca="1">'Hilfstabelle DatendefKB'!S11</f>
        <v>-----</v>
      </c>
      <c r="F23" s="191">
        <f ca="1">'Hilfstabelle DatendefKB'!T11</f>
        <v>0</v>
      </c>
      <c r="G23" s="191" t="str">
        <f ca="1">'Hilfstabelle DatendefKB'!U11</f>
        <v>-----</v>
      </c>
      <c r="H23" s="287" t="str">
        <f ca="1">'Hilfstabelle DatendefKB'!V11</f>
        <v>-----</v>
      </c>
      <c r="I23" s="191" t="str">
        <f ca="1">'Hilfstabelle DatendefKB'!W11</f>
        <v>Unvollständig</v>
      </c>
      <c r="J23" s="192" t="str">
        <f ca="1">'Hilfstabelle DatendefKB'!X11</f>
        <v>-----</v>
      </c>
      <c r="K23" s="285" t="str">
        <f ca="1">'Hilfstabelle DatendefKB'!Y11</f>
        <v>-----</v>
      </c>
    </row>
    <row r="24" spans="1:11" ht="135" customHeight="1" x14ac:dyDescent="0.25">
      <c r="A24" s="191" t="str">
        <f ca="1">'Hilfstabelle DatendefKB'!O12</f>
        <v>11b</v>
      </c>
      <c r="B24" s="285" t="str">
        <f ca="1">'Hilfstabelle DatendefKB'!P12</f>
        <v>Lungenresektionen</v>
      </c>
      <c r="C24" s="288" t="str">
        <f ca="1">'Hilfstabelle DatendefKB'!Q12</f>
        <v>-----</v>
      </c>
      <c r="D24" s="191" t="str">
        <f ca="1">'Hilfstabelle DatendefKB'!R12</f>
        <v>≥ 75</v>
      </c>
      <c r="E24" s="288" t="str">
        <f ca="1">'Hilfstabelle DatendefKB'!S12</f>
        <v>-----</v>
      </c>
      <c r="F24" s="191">
        <f ca="1">'Hilfstabelle DatendefKB'!T12</f>
        <v>0</v>
      </c>
      <c r="G24" s="191" t="str">
        <f ca="1">'Hilfstabelle DatendefKB'!U12</f>
        <v>-----</v>
      </c>
      <c r="H24" s="287" t="str">
        <f ca="1">'Hilfstabelle DatendefKB'!V12</f>
        <v>-----</v>
      </c>
      <c r="I24" s="191" t="str">
        <f ca="1">'Hilfstabelle DatendefKB'!W12</f>
        <v>Unvollständig</v>
      </c>
      <c r="J24" s="192" t="str">
        <f ca="1">'Hilfstabelle DatendefKB'!X12</f>
        <v>-----</v>
      </c>
      <c r="K24" s="285" t="str">
        <f ca="1">'Hilfstabelle DatendefKB'!Y12</f>
        <v>-----</v>
      </c>
    </row>
    <row r="25" spans="1:11" ht="135" customHeight="1" x14ac:dyDescent="0.25">
      <c r="A25" s="191">
        <f ca="1">'Hilfstabelle DatendefKB'!O13</f>
        <v>12</v>
      </c>
      <c r="B25" s="285" t="str">
        <f ca="1">'Hilfstabelle DatendefKB'!P13</f>
        <v>Verhältnis Broncho-/Angioplastischen Operationen zu Pneumonektomien</v>
      </c>
      <c r="C25" s="288" t="str">
        <f ca="1">'Hilfstabelle DatendefKB'!Q13</f>
        <v>&lt; 50%</v>
      </c>
      <c r="D25" s="191" t="str">
        <f ca="1">'Hilfstabelle DatendefKB'!R13</f>
        <v>Derzeit keine Vorgaben</v>
      </c>
      <c r="E25" s="288" t="str">
        <f ca="1">'Hilfstabelle DatendefKB'!S13</f>
        <v>-----</v>
      </c>
      <c r="F25" s="191" t="str">
        <f ca="1">'Hilfstabelle DatendefKB'!T13</f>
        <v>-----</v>
      </c>
      <c r="G25" s="191" t="str">
        <f ca="1">'Hilfstabelle DatendefKB'!U13</f>
        <v>-----</v>
      </c>
      <c r="H25" s="287" t="str">
        <f ca="1">'Hilfstabelle DatendefKB'!V13</f>
        <v>n.d.</v>
      </c>
      <c r="I25" s="191" t="str">
        <f ca="1">'Hilfstabelle DatendefKB'!W13</f>
        <v>Unvollständig</v>
      </c>
      <c r="J25" s="192" t="str">
        <f ca="1">'Hilfstabelle DatendefKB'!X13</f>
        <v>-----</v>
      </c>
      <c r="K25" s="285" t="str">
        <f ca="1">'Hilfstabelle DatendefKB'!Y13</f>
        <v>-----</v>
      </c>
    </row>
    <row r="26" spans="1:11" ht="135" customHeight="1" x14ac:dyDescent="0.25">
      <c r="A26" s="191">
        <f ca="1">'Hilfstabelle DatendefKB'!O14</f>
        <v>13</v>
      </c>
      <c r="B26" s="285" t="str">
        <f ca="1">'Hilfstabelle DatendefKB'!P14</f>
        <v>Videothorakoskopische (VATS) und Roboter-assistierte (RATS) anatomische Resektionen</v>
      </c>
      <c r="C26" s="288" t="str">
        <f ca="1">'Hilfstabelle DatendefKB'!Q14</f>
        <v>-----</v>
      </c>
      <c r="D26" s="191" t="str">
        <f ca="1">'Hilfstabelle DatendefKB'!R14</f>
        <v>Derzeit keine Vorgaben</v>
      </c>
      <c r="E26" s="288" t="str">
        <f ca="1">'Hilfstabelle DatendefKB'!S14</f>
        <v>-----</v>
      </c>
      <c r="F26" s="191" t="str">
        <f ca="1">'Hilfstabelle DatendefKB'!T14</f>
        <v>-----</v>
      </c>
      <c r="G26" s="191">
        <f ca="1">'Hilfstabelle DatendefKB'!U14</f>
        <v>0</v>
      </c>
      <c r="H26" s="287" t="str">
        <f ca="1">'Hilfstabelle DatendefKB'!V14</f>
        <v>n.d.</v>
      </c>
      <c r="I26" s="191" t="str">
        <f ca="1">'Hilfstabelle DatendefKB'!W14</f>
        <v>Unvollständig</v>
      </c>
      <c r="J26" s="192" t="str">
        <f ca="1">'Hilfstabelle DatendefKB'!X14</f>
        <v>-----</v>
      </c>
      <c r="K26" s="285" t="str">
        <f ca="1">'Hilfstabelle DatendefKB'!Y14</f>
        <v>-----</v>
      </c>
    </row>
    <row r="27" spans="1:11" ht="135" customHeight="1" x14ac:dyDescent="0.25">
      <c r="A27" s="191">
        <f ca="1">'Hilfstabelle DatendefKB'!O15</f>
        <v>14</v>
      </c>
      <c r="B27" s="285" t="str">
        <f ca="1">'Hilfstabelle DatendefKB'!P15</f>
        <v>30d-Letalität nach Resektionen</v>
      </c>
      <c r="C27" s="288" t="str">
        <f ca="1">'Hilfstabelle DatendefKB'!Q15</f>
        <v>&lt; 0,01%</v>
      </c>
      <c r="D27" s="191" t="str">
        <f ca="1">'Hilfstabelle DatendefKB'!R15</f>
        <v>≤ 5%</v>
      </c>
      <c r="E27" s="288" t="str">
        <f ca="1">'Hilfstabelle DatendefKB'!S15</f>
        <v>-----</v>
      </c>
      <c r="F27" s="191" t="str">
        <f ca="1">'Hilfstabelle DatendefKB'!T15</f>
        <v>-----</v>
      </c>
      <c r="G27" s="191">
        <f ca="1">'Hilfstabelle DatendefKB'!U15</f>
        <v>0</v>
      </c>
      <c r="H27" s="287" t="str">
        <f ca="1">'Hilfstabelle DatendefKB'!V15</f>
        <v>n.d.</v>
      </c>
      <c r="I27" s="191" t="str">
        <f ca="1">'Hilfstabelle DatendefKB'!W15</f>
        <v>Unvollständig</v>
      </c>
      <c r="J27" s="192" t="str">
        <f ca="1">'Hilfstabelle DatendefKB'!X15</f>
        <v>-----</v>
      </c>
      <c r="K27" s="285" t="str">
        <f ca="1">'Hilfstabelle DatendefKB'!Y15</f>
        <v>-----</v>
      </c>
    </row>
    <row r="28" spans="1:11" ht="135" customHeight="1" x14ac:dyDescent="0.25">
      <c r="A28" s="191">
        <f ca="1">'Hilfstabelle DatendefKB'!O16</f>
        <v>15</v>
      </c>
      <c r="B28" s="285" t="str">
        <f ca="1">'Hilfstabelle DatendefKB'!P16</f>
        <v>Postoperative Bronchusstumpf-/Anastomoseninsuffizienz</v>
      </c>
      <c r="C28" s="288" t="str">
        <f ca="1">'Hilfstabelle DatendefKB'!Q16</f>
        <v>&lt; 0,01%</v>
      </c>
      <c r="D28" s="191" t="str">
        <f ca="1">'Hilfstabelle DatendefKB'!R16</f>
        <v>≤ 5%</v>
      </c>
      <c r="E28" s="288" t="str">
        <f ca="1">'Hilfstabelle DatendefKB'!S16</f>
        <v>-----</v>
      </c>
      <c r="F28" s="191" t="str">
        <f ca="1">'Hilfstabelle DatendefKB'!T16</f>
        <v>-----</v>
      </c>
      <c r="G28" s="191">
        <f ca="1">'Hilfstabelle DatendefKB'!U16</f>
        <v>0</v>
      </c>
      <c r="H28" s="287" t="str">
        <f ca="1">'Hilfstabelle DatendefKB'!V16</f>
        <v>n.d.</v>
      </c>
      <c r="I28" s="191" t="str">
        <f ca="1">'Hilfstabelle DatendefKB'!W16</f>
        <v>Unvollständig</v>
      </c>
      <c r="J28" s="192" t="str">
        <f ca="1">'Hilfstabelle DatendefKB'!X16</f>
        <v>-----</v>
      </c>
      <c r="K28" s="285" t="str">
        <f ca="1">'Hilfstabelle DatendefKB'!Y16</f>
        <v>-----</v>
      </c>
    </row>
    <row r="29" spans="1:11" ht="135" customHeight="1" x14ac:dyDescent="0.25">
      <c r="A29" s="191">
        <f ca="1">'Hilfstabelle DatendefKB'!O17</f>
        <v>16</v>
      </c>
      <c r="B29" s="285" t="str">
        <f ca="1">'Hilfstabelle DatendefKB'!P17</f>
        <v>Lokale R0-Resektionen im Stadium IA/B u. IIA/B</v>
      </c>
      <c r="C29" s="288" t="str">
        <f ca="1">'Hilfstabelle DatendefKB'!Q17</f>
        <v>-----</v>
      </c>
      <c r="D29" s="191" t="str">
        <f ca="1">'Hilfstabelle DatendefKB'!R17</f>
        <v>≥ 95%</v>
      </c>
      <c r="E29" s="288" t="str">
        <f ca="1">'Hilfstabelle DatendefKB'!S17</f>
        <v>-----</v>
      </c>
      <c r="F29" s="191" t="str">
        <f ca="1">'Hilfstabelle DatendefKB'!T17</f>
        <v>-----</v>
      </c>
      <c r="G29" s="191">
        <f ca="1">'Hilfstabelle DatendefKB'!U17</f>
        <v>0</v>
      </c>
      <c r="H29" s="287" t="str">
        <f ca="1">'Hilfstabelle DatendefKB'!V17</f>
        <v>n.d.</v>
      </c>
      <c r="I29" s="191" t="str">
        <f ca="1">'Hilfstabelle DatendefKB'!W17</f>
        <v>Unvollständig</v>
      </c>
      <c r="J29" s="192" t="str">
        <f ca="1">'Hilfstabelle DatendefKB'!X17</f>
        <v>-----</v>
      </c>
      <c r="K29" s="285" t="str">
        <f ca="1">'Hilfstabelle DatendefKB'!Y17</f>
        <v>-----</v>
      </c>
    </row>
    <row r="30" spans="1:11" ht="135" customHeight="1" x14ac:dyDescent="0.25">
      <c r="A30" s="191">
        <f ca="1">'Hilfstabelle DatendefKB'!O18</f>
        <v>17</v>
      </c>
      <c r="B30" s="285" t="str">
        <f ca="1">'Hilfstabelle DatendefKB'!P18</f>
        <v xml:space="preserve">Lokale R0-Resektionen im Stadium IIIA/B </v>
      </c>
      <c r="C30" s="288" t="str">
        <f ca="1">'Hilfstabelle DatendefKB'!Q18</f>
        <v>-----</v>
      </c>
      <c r="D30" s="191" t="str">
        <f ca="1">'Hilfstabelle DatendefKB'!R18</f>
        <v>≥ 85%</v>
      </c>
      <c r="E30" s="288" t="str">
        <f ca="1">'Hilfstabelle DatendefKB'!S18</f>
        <v>-----</v>
      </c>
      <c r="F30" s="191" t="str">
        <f ca="1">'Hilfstabelle DatendefKB'!T18</f>
        <v>-----</v>
      </c>
      <c r="G30" s="191">
        <f ca="1">'Hilfstabelle DatendefKB'!U18</f>
        <v>0</v>
      </c>
      <c r="H30" s="287" t="str">
        <f ca="1">'Hilfstabelle DatendefKB'!V18</f>
        <v>n.d.</v>
      </c>
      <c r="I30" s="191" t="str">
        <f ca="1">'Hilfstabelle DatendefKB'!W18</f>
        <v>Unvollständig</v>
      </c>
      <c r="J30" s="192" t="str">
        <f ca="1">'Hilfstabelle DatendefKB'!X18</f>
        <v>-----</v>
      </c>
      <c r="K30" s="285" t="str">
        <f ca="1">'Hilfstabelle DatendefKB'!Y18</f>
        <v>-----</v>
      </c>
    </row>
    <row r="31" spans="1:11" ht="135" customHeight="1" x14ac:dyDescent="0.25">
      <c r="A31" s="191">
        <f ca="1">'Hilfstabelle DatendefKB'!O19</f>
        <v>18</v>
      </c>
      <c r="B31" s="285" t="str">
        <f ca="1">'Hilfstabelle DatendefKB'!P19</f>
        <v>Thorakale Bestrahlungen</v>
      </c>
      <c r="C31" s="288" t="str">
        <f ca="1">'Hilfstabelle DatendefKB'!Q19</f>
        <v>-----</v>
      </c>
      <c r="D31" s="191" t="str">
        <f ca="1">'Hilfstabelle DatendefKB'!R19</f>
        <v>≥ 50</v>
      </c>
      <c r="E31" s="288" t="str">
        <f ca="1">'Hilfstabelle DatendefKB'!S19</f>
        <v>-----</v>
      </c>
      <c r="F31" s="191">
        <f ca="1">'Hilfstabelle DatendefKB'!T19</f>
        <v>0</v>
      </c>
      <c r="G31" s="191" t="str">
        <f ca="1">'Hilfstabelle DatendefKB'!U19</f>
        <v>-----</v>
      </c>
      <c r="H31" s="287" t="str">
        <f ca="1">'Hilfstabelle DatendefKB'!V19</f>
        <v>-----</v>
      </c>
      <c r="I31" s="191" t="str">
        <f ca="1">'Hilfstabelle DatendefKB'!W19</f>
        <v>Unvollständig</v>
      </c>
      <c r="J31" s="192" t="str">
        <f ca="1">'Hilfstabelle DatendefKB'!X19</f>
        <v>-----</v>
      </c>
      <c r="K31" s="285" t="str">
        <f ca="1">'Hilfstabelle DatendefKB'!Y19</f>
        <v>-----</v>
      </c>
    </row>
    <row r="32" spans="1:11" ht="135" customHeight="1" x14ac:dyDescent="0.25">
      <c r="A32" s="191">
        <f ca="1">'Hilfstabelle DatendefKB'!O20</f>
        <v>20</v>
      </c>
      <c r="B32" s="285" t="str">
        <f ca="1">'Hilfstabelle DatendefKB'!P20</f>
        <v>Pathologische Begutachtungen</v>
      </c>
      <c r="C32" s="288" t="str">
        <f ca="1">'Hilfstabelle DatendefKB'!Q20</f>
        <v>-----</v>
      </c>
      <c r="D32" s="191" t="str">
        <f ca="1">'Hilfstabelle DatendefKB'!R20</f>
        <v>≥ 200 maligne Lungenfälle 
(je Facharzt 100 L.)</v>
      </c>
      <c r="E32" s="288" t="str">
        <f ca="1">'Hilfstabelle DatendefKB'!S20</f>
        <v>-----</v>
      </c>
      <c r="F32" s="191">
        <f ca="1">'Hilfstabelle DatendefKB'!T20</f>
        <v>0</v>
      </c>
      <c r="G32" s="191" t="str">
        <f ca="1">'Hilfstabelle DatendefKB'!U20</f>
        <v>-----</v>
      </c>
      <c r="H32" s="287" t="str">
        <f ca="1">'Hilfstabelle DatendefKB'!V20</f>
        <v>-----</v>
      </c>
      <c r="I32" s="191" t="str">
        <f ca="1">'Hilfstabelle DatendefKB'!W20</f>
        <v>Unvollständig</v>
      </c>
      <c r="J32" s="192" t="str">
        <f ca="1">'Hilfstabelle DatendefKB'!X20</f>
        <v>-----</v>
      </c>
      <c r="K32" s="285" t="str">
        <f ca="1">'Hilfstabelle DatendefKB'!Y20</f>
        <v>-----</v>
      </c>
    </row>
    <row r="33" spans="1:11" ht="135" customHeight="1" x14ac:dyDescent="0.25">
      <c r="A33" s="191">
        <f ca="1">'Hilfstabelle DatendefKB'!O21</f>
        <v>21</v>
      </c>
      <c r="B33" s="285" t="str">
        <f ca="1">'Hilfstabelle DatendefKB'!P21</f>
        <v xml:space="preserve">Adjuvante cisplatinhaltige Chemotherapie Stad. II-IIIA1/2 </v>
      </c>
      <c r="C33" s="288" t="str">
        <f ca="1">'Hilfstabelle DatendefKB'!Q21</f>
        <v>&lt; 15%</v>
      </c>
      <c r="D33" s="191" t="str">
        <f ca="1">'Hilfstabelle DatendefKB'!R21</f>
        <v>Derzeit keine Vorgaben</v>
      </c>
      <c r="E33" s="288" t="str">
        <f ca="1">'Hilfstabelle DatendefKB'!S21</f>
        <v>&gt; 70%</v>
      </c>
      <c r="F33" s="191" t="str">
        <f ca="1">'Hilfstabelle DatendefKB'!T21</f>
        <v>-----</v>
      </c>
      <c r="G33" s="191" t="str">
        <f ca="1">'Hilfstabelle DatendefKB'!U21</f>
        <v>-----</v>
      </c>
      <c r="H33" s="287" t="str">
        <f ca="1">'Hilfstabelle DatendefKB'!V21</f>
        <v>n.d.</v>
      </c>
      <c r="I33" s="191" t="str">
        <f ca="1">'Hilfstabelle DatendefKB'!W21</f>
        <v>Unvollständig</v>
      </c>
      <c r="J33" s="192" t="str">
        <f ca="1">'Hilfstabelle DatendefKB'!X21</f>
        <v>-----</v>
      </c>
      <c r="K33" s="285" t="str">
        <f ca="1">'Hilfstabelle DatendefKB'!Y21</f>
        <v>-----</v>
      </c>
    </row>
    <row r="34" spans="1:11" ht="135" customHeight="1" x14ac:dyDescent="0.25">
      <c r="A34" s="191">
        <f ca="1">'Hilfstabelle DatendefKB'!O22</f>
        <v>22</v>
      </c>
      <c r="B34" s="285" t="str">
        <f ca="1">'Hilfstabelle DatendefKB'!P22</f>
        <v>Kombinierte Radiochemotherapie im Stad. IIIA4/IIIB/IIIC</v>
      </c>
      <c r="C34" s="288" t="str">
        <f ca="1">'Hilfstabelle DatendefKB'!Q22</f>
        <v>-----</v>
      </c>
      <c r="D34" s="191" t="str">
        <f ca="1">'Hilfstabelle DatendefKB'!R22</f>
        <v>≥ 25%</v>
      </c>
      <c r="E34" s="288" t="str">
        <f ca="1">'Hilfstabelle DatendefKB'!S22</f>
        <v>-----</v>
      </c>
      <c r="F34" s="191" t="str">
        <f ca="1">'Hilfstabelle DatendefKB'!T22</f>
        <v>-----</v>
      </c>
      <c r="G34" s="191" t="str">
        <f ca="1">'Hilfstabelle DatendefKB'!U22</f>
        <v>-----</v>
      </c>
      <c r="H34" s="287" t="str">
        <f ca="1">'Hilfstabelle DatendefKB'!V22</f>
        <v>n.d.</v>
      </c>
      <c r="I34" s="191" t="str">
        <f ca="1">'Hilfstabelle DatendefKB'!W22</f>
        <v>Unvollständig</v>
      </c>
      <c r="J34" s="192" t="str">
        <f ca="1">'Hilfstabelle DatendefKB'!X22</f>
        <v>-----</v>
      </c>
      <c r="K34" s="285" t="str">
        <f ca="1">'Hilfstabelle DatendefKB'!Y22</f>
        <v>-----</v>
      </c>
    </row>
    <row r="35" spans="1:11" ht="135" customHeight="1" x14ac:dyDescent="0.25">
      <c r="A35" s="191">
        <f ca="1">'Hilfstabelle DatendefKB'!O23</f>
        <v>24</v>
      </c>
      <c r="B35" s="285" t="str">
        <f ca="1">'Hilfstabelle DatendefKB'!P23</f>
        <v>Molekularpathologische Untersuchung bei Pat. NSCLC Stadium IV</v>
      </c>
      <c r="C35" s="288" t="str">
        <f ca="1">'Hilfstabelle DatendefKB'!Q23</f>
        <v>-----</v>
      </c>
      <c r="D35" s="191" t="str">
        <f ca="1">'Hilfstabelle DatendefKB'!R23</f>
        <v>≥ 75%</v>
      </c>
      <c r="E35" s="288" t="str">
        <f ca="1">'Hilfstabelle DatendefKB'!S23</f>
        <v>-----</v>
      </c>
      <c r="F35" s="191" t="str">
        <f ca="1">'Hilfstabelle DatendefKB'!T23</f>
        <v>-----</v>
      </c>
      <c r="G35" s="191" t="str">
        <f ca="1">'Hilfstabelle DatendefKB'!U23</f>
        <v>-----</v>
      </c>
      <c r="H35" s="287" t="str">
        <f ca="1">'Hilfstabelle DatendefKB'!V23</f>
        <v>n.d.</v>
      </c>
      <c r="I35" s="191" t="str">
        <f ca="1">'Hilfstabelle DatendefKB'!W23</f>
        <v>Unvollständig</v>
      </c>
      <c r="J35" s="192" t="str">
        <f ca="1">'Hilfstabelle DatendefKB'!X23</f>
        <v>-----</v>
      </c>
      <c r="K35" s="285" t="str">
        <f ca="1">'Hilfstabelle DatendefKB'!Y23</f>
        <v>-----</v>
      </c>
    </row>
    <row r="36" spans="1:11" ht="135" customHeight="1" x14ac:dyDescent="0.25">
      <c r="A36" s="191">
        <f ca="1">'Hilfstabelle DatendefKB'!O24</f>
        <v>26</v>
      </c>
      <c r="B36" s="285" t="str">
        <f ca="1">'Hilfstabelle DatendefKB'!P24</f>
        <v>Erstlinientherapie mit EGFR-TKI bei Pat. NSCLC Stadium IV mit typischer aktivierender EGFR-Mutation (del 19, L858R) und ECOG 0-2</v>
      </c>
      <c r="C36" s="288" t="str">
        <f ca="1">'Hilfstabelle DatendefKB'!Q24</f>
        <v>&lt; 30%</v>
      </c>
      <c r="D36" s="191" t="str">
        <f ca="1">'Hilfstabelle DatendefKB'!R24</f>
        <v>Derzeit keine Vorgaben</v>
      </c>
      <c r="E36" s="288" t="str">
        <f ca="1">'Hilfstabelle DatendefKB'!S24</f>
        <v>-----</v>
      </c>
      <c r="F36" s="191" t="str">
        <f ca="1">'Hilfstabelle DatendefKB'!T24</f>
        <v>-----</v>
      </c>
      <c r="G36" s="191" t="str">
        <f ca="1">'Hilfstabelle DatendefKB'!U24</f>
        <v>-----</v>
      </c>
      <c r="H36" s="287" t="str">
        <f ca="1">'Hilfstabelle DatendefKB'!V24</f>
        <v>n.d.</v>
      </c>
      <c r="I36" s="191" t="str">
        <f ca="1">'Hilfstabelle DatendefKB'!W24</f>
        <v>Unvollständig</v>
      </c>
      <c r="J36" s="192" t="str">
        <f ca="1">'Hilfstabelle DatendefKB'!X24</f>
        <v>-----</v>
      </c>
      <c r="K36" s="285" t="str">
        <f ca="1">'Hilfstabelle DatendefKB'!Y24</f>
        <v>-----</v>
      </c>
    </row>
    <row r="37" spans="1:11" ht="135" customHeight="1" x14ac:dyDescent="0.25">
      <c r="A37" s="191">
        <f ca="1">'Hilfstabelle DatendefKB'!O25</f>
        <v>27</v>
      </c>
      <c r="B37" s="285" t="str">
        <f ca="1">'Hilfstabelle DatendefKB'!P25</f>
        <v>Erstlinientherapie mit ZNS-wirksamer ALK-spezifischer TKI-Therapie bei Pat. mit ALK positivem NSCLC im Stadium IV</v>
      </c>
      <c r="C37" s="288" t="str">
        <f ca="1">'Hilfstabelle DatendefKB'!Q25</f>
        <v>&lt; 30%</v>
      </c>
      <c r="D37" s="191" t="str">
        <f ca="1">'Hilfstabelle DatendefKB'!R25</f>
        <v>Derzeit keine Vorgaben</v>
      </c>
      <c r="E37" s="288" t="str">
        <f ca="1">'Hilfstabelle DatendefKB'!S25</f>
        <v>-----</v>
      </c>
      <c r="F37" s="191" t="str">
        <f ca="1">'Hilfstabelle DatendefKB'!T25</f>
        <v>-----</v>
      </c>
      <c r="G37" s="191" t="str">
        <f ca="1">'Hilfstabelle DatendefKB'!U25</f>
        <v>-----</v>
      </c>
      <c r="H37" s="287" t="str">
        <f ca="1">'Hilfstabelle DatendefKB'!V25</f>
        <v>n.d.</v>
      </c>
      <c r="I37" s="191" t="str">
        <f ca="1">'Hilfstabelle DatendefKB'!W25</f>
        <v>Unvollständig</v>
      </c>
      <c r="J37" s="192" t="str">
        <f ca="1">'Hilfstabelle DatendefKB'!X25</f>
        <v>-----</v>
      </c>
      <c r="K37" s="285" t="str">
        <f ca="1">'Hilfstabelle DatendefKB'!Y25</f>
        <v>-----</v>
      </c>
    </row>
    <row r="38" spans="1:11" ht="135" customHeight="1" x14ac:dyDescent="0.25">
      <c r="A38" s="191">
        <f ca="1">'Hilfstabelle DatendefKB'!O26</f>
        <v>28</v>
      </c>
      <c r="B38" s="285" t="str">
        <f ca="1">'Hilfstabelle DatendefKB'!P26</f>
        <v>Kombinierte Radiochemotherapie bei SCLC Stad. IIB – IIIC</v>
      </c>
      <c r="C38" s="288" t="str">
        <f ca="1">'Hilfstabelle DatendefKB'!Q26</f>
        <v>&lt; 30%</v>
      </c>
      <c r="D38" s="191" t="str">
        <f ca="1">'Hilfstabelle DatendefKB'!R26</f>
        <v>Derzeit keine Vorgaben</v>
      </c>
      <c r="E38" s="288" t="str">
        <f ca="1">'Hilfstabelle DatendefKB'!S26</f>
        <v>-----</v>
      </c>
      <c r="F38" s="191" t="str">
        <f ca="1">'Hilfstabelle DatendefKB'!T26</f>
        <v>-----</v>
      </c>
      <c r="G38" s="191" t="str">
        <f ca="1">'Hilfstabelle DatendefKB'!U26</f>
        <v>-----</v>
      </c>
      <c r="H38" s="287" t="str">
        <f ca="1">'Hilfstabelle DatendefKB'!V26</f>
        <v>n.d.</v>
      </c>
      <c r="I38" s="191" t="str">
        <f ca="1">'Hilfstabelle DatendefKB'!W26</f>
        <v>Unvollständig</v>
      </c>
      <c r="J38" s="192" t="str">
        <f ca="1">'Hilfstabelle DatendefKB'!X26</f>
        <v>-----</v>
      </c>
      <c r="K38" s="285" t="str">
        <f ca="1">'Hilfstabelle DatendefKB'!Y26</f>
        <v>-----</v>
      </c>
    </row>
    <row r="39" spans="1:11" ht="135" customHeight="1" x14ac:dyDescent="0.25">
      <c r="A39" s="191">
        <f ca="1">'Hilfstabelle DatendefKB'!O27</f>
        <v>31</v>
      </c>
      <c r="B39" s="285" t="str">
        <f ca="1">'Hilfstabelle DatendefKB'!P27</f>
        <v>CTCAE Grad V unter Systemtherapie</v>
      </c>
      <c r="C39" s="288" t="str">
        <f ca="1">'Hilfstabelle DatendefKB'!Q27</f>
        <v>-----</v>
      </c>
      <c r="D39" s="191" t="str">
        <f ca="1">'Hilfstabelle DatendefKB'!R27</f>
        <v>Derzeit keine Vorgaben</v>
      </c>
      <c r="E39" s="288" t="str">
        <f ca="1">'Hilfstabelle DatendefKB'!S27</f>
        <v>&gt; 5%</v>
      </c>
      <c r="F39" s="191" t="str">
        <f ca="1">'Hilfstabelle DatendefKB'!T27</f>
        <v>-----</v>
      </c>
      <c r="G39" s="191" t="str">
        <f ca="1">'Hilfstabelle DatendefKB'!U27</f>
        <v>-----</v>
      </c>
      <c r="H39" s="287" t="str">
        <f ca="1">'Hilfstabelle DatendefKB'!V27</f>
        <v>n.d.</v>
      </c>
      <c r="I39" s="191" t="str">
        <f ca="1">'Hilfstabelle DatendefKB'!W27</f>
        <v>Unvollständig</v>
      </c>
      <c r="J39" s="192" t="str">
        <f ca="1">'Hilfstabelle DatendefKB'!X27</f>
        <v>-----</v>
      </c>
      <c r="K39" s="285" t="str">
        <f ca="1">'Hilfstabelle DatendefKB'!Y27</f>
        <v>-----</v>
      </c>
    </row>
    <row r="40" spans="1:11" ht="135" customHeight="1" x14ac:dyDescent="0.25">
      <c r="A40" s="191">
        <f ca="1">'Hilfstabelle DatendefKB'!O28</f>
        <v>32</v>
      </c>
      <c r="B40" s="285" t="str">
        <f ca="1">'Hilfstabelle DatendefKB'!P28</f>
        <v>Symptomerfassung mittels MIDOS/ IPOS</v>
      </c>
      <c r="C40" s="288" t="str">
        <f ca="1">'Hilfstabelle DatendefKB'!Q28</f>
        <v>&lt; 60%</v>
      </c>
      <c r="D40" s="191" t="str">
        <f ca="1">'Hilfstabelle DatendefKB'!R28</f>
        <v>Derzeit keine Vorgaben</v>
      </c>
      <c r="E40" s="288" t="str">
        <f ca="1">'Hilfstabelle DatendefKB'!S28</f>
        <v>-----</v>
      </c>
      <c r="F40" s="191" t="str">
        <f ca="1">'Hilfstabelle DatendefKB'!T28</f>
        <v>-----</v>
      </c>
      <c r="G40" s="191">
        <f ca="1">'Hilfstabelle DatendefKB'!U28</f>
        <v>0</v>
      </c>
      <c r="H40" s="287" t="str">
        <f ca="1">'Hilfstabelle DatendefKB'!V28</f>
        <v>n.d.</v>
      </c>
      <c r="I40" s="191" t="str">
        <f ca="1">'Hilfstabelle DatendefKB'!W28</f>
        <v>Unvollständig</v>
      </c>
      <c r="J40" s="192" t="str">
        <f ca="1">'Hilfstabelle DatendefKB'!X28</f>
        <v>-----</v>
      </c>
      <c r="K40" s="285" t="str">
        <f ca="1">'Hilfstabelle DatendefKB'!Y28</f>
        <v>-----</v>
      </c>
    </row>
    <row r="41" spans="1:11" ht="135" customHeight="1" x14ac:dyDescent="0.25">
      <c r="A41" s="191">
        <f ca="1">'Hilfstabelle DatendefKB'!O29</f>
        <v>33</v>
      </c>
      <c r="B41" s="285" t="str">
        <f ca="1">'Hilfstabelle DatendefKB'!P29</f>
        <v>PD-L1-Testung bei NSCLC im Stadium III mit Radiochemotherapie</v>
      </c>
      <c r="C41" s="288" t="str">
        <f ca="1">'Hilfstabelle DatendefKB'!Q29</f>
        <v>-----</v>
      </c>
      <c r="D41" s="191" t="str">
        <f ca="1">'Hilfstabelle DatendefKB'!R29</f>
        <v>≥ 75%</v>
      </c>
      <c r="E41" s="288" t="str">
        <f ca="1">'Hilfstabelle DatendefKB'!S29</f>
        <v>-----</v>
      </c>
      <c r="F41" s="191" t="str">
        <f ca="1">'Hilfstabelle DatendefKB'!T29</f>
        <v>-----</v>
      </c>
      <c r="G41" s="191" t="str">
        <f ca="1">'Hilfstabelle DatendefKB'!U29</f>
        <v>-----</v>
      </c>
      <c r="H41" s="287" t="str">
        <f ca="1">'Hilfstabelle DatendefKB'!V29</f>
        <v>n.d.</v>
      </c>
      <c r="I41" s="191" t="str">
        <f ca="1">'Hilfstabelle DatendefKB'!W29</f>
        <v>Unvollständig</v>
      </c>
      <c r="J41" s="192" t="str">
        <f ca="1">'Hilfstabelle DatendefKB'!X29</f>
        <v>-----</v>
      </c>
      <c r="K41" s="285" t="str">
        <f ca="1">'Hilfstabelle DatendefKB'!Y29</f>
        <v>-----</v>
      </c>
    </row>
    <row r="42" spans="1:11" ht="135" customHeight="1" x14ac:dyDescent="0.25">
      <c r="A42" s="191">
        <f ca="1">'Hilfstabelle DatendefKB'!O30</f>
        <v>34</v>
      </c>
      <c r="B42" s="285" t="str">
        <f ca="1">'Hilfstabelle DatendefKB'!P30</f>
        <v>PD-L1-Testung bei NSCLC Stadium IV</v>
      </c>
      <c r="C42" s="288" t="str">
        <f ca="1">'Hilfstabelle DatendefKB'!Q30</f>
        <v>-----</v>
      </c>
      <c r="D42" s="191" t="str">
        <f ca="1">'Hilfstabelle DatendefKB'!R30</f>
        <v>≥ 75%</v>
      </c>
      <c r="E42" s="288" t="str">
        <f ca="1">'Hilfstabelle DatendefKB'!S30</f>
        <v>-----</v>
      </c>
      <c r="F42" s="191" t="str">
        <f ca="1">'Hilfstabelle DatendefKB'!T30</f>
        <v>-----</v>
      </c>
      <c r="G42" s="191" t="str">
        <f ca="1">'Hilfstabelle DatendefKB'!U30</f>
        <v>-----</v>
      </c>
      <c r="H42" s="287" t="str">
        <f ca="1">'Hilfstabelle DatendefKB'!V30</f>
        <v>n.d.</v>
      </c>
      <c r="I42" s="191" t="str">
        <f ca="1">'Hilfstabelle DatendefKB'!W30</f>
        <v>Unvollständig</v>
      </c>
      <c r="J42" s="192" t="str">
        <f ca="1">'Hilfstabelle DatendefKB'!X30</f>
        <v>-----</v>
      </c>
      <c r="K42" s="285" t="str">
        <f ca="1">'Hilfstabelle DatendefKB'!Y30</f>
        <v>-----</v>
      </c>
    </row>
  </sheetData>
  <sheetProtection algorithmName="SHA-512" hashValue="7DK0sB6hUNA5XaDQbzqno5aPhnD70WY94J7wHAeaqxUvkmM2i0phUBOjhtqE8lCm2rDTILkoLBe/GnZZurCZTg==" saltValue="GJDH6+1JGpZGBG31LMQe+A==" spinCount="100000" sheet="1" objects="1" scenarios="1" selectLockedCells="1"/>
  <mergeCells count="7">
    <mergeCell ref="C8:G8"/>
    <mergeCell ref="A12:A13"/>
    <mergeCell ref="C6:J6"/>
    <mergeCell ref="I12:I13"/>
    <mergeCell ref="B12:B13"/>
    <mergeCell ref="C12:E12"/>
    <mergeCell ref="F12:H12"/>
  </mergeCells>
  <phoneticPr fontId="38" type="noConversion"/>
  <conditionalFormatting sqref="A14:H42 J14:K42">
    <cfRule type="notContainsBlanks" dxfId="120" priority="19" stopIfTrue="1">
      <formula>LEN(TRIM(A14))&gt;0</formula>
    </cfRule>
  </conditionalFormatting>
  <conditionalFormatting sqref="A12:K13">
    <cfRule type="expression" dxfId="119" priority="2" stopIfTrue="1">
      <formula>$B$10="Kein Datendefizit vorhanden"</formula>
    </cfRule>
  </conditionalFormatting>
  <conditionalFormatting sqref="I14:I42">
    <cfRule type="expression" dxfId="118" priority="1" stopIfTrue="1">
      <formula>AND($I14&lt;&gt;"",$I14="Sollvorgabe nicht erfüllt")</formula>
    </cfRule>
    <cfRule type="expression" dxfId="117" priority="20" stopIfTrue="1">
      <formula>AND($I14&lt;&gt;"",$I14="I.O. (Plausibilität unklar)")</formula>
    </cfRule>
    <cfRule type="expression" dxfId="116" priority="21" stopIfTrue="1">
      <formula>AND($I14&lt;&gt;"",$I14="Ausnahme (Plausibilität unklar)")</formula>
    </cfRule>
    <cfRule type="expression" dxfId="115"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Y30"/>
  <sheetViews>
    <sheetView showGridLines="0" showRuler="0" showWhiteSpace="0" zoomScaleNormal="100" zoomScaleSheetLayoutView="100" workbookViewId="0">
      <pane ySplit="1" topLeftCell="A2" activePane="bottomLeft" state="frozen"/>
      <selection activeCell="D31" sqref="D31:E33"/>
      <selection pane="bottomLeft" activeCell="F28" sqref="F28"/>
    </sheetView>
  </sheetViews>
  <sheetFormatPr defaultColWidth="11.42578125" defaultRowHeight="11.25" x14ac:dyDescent="0.25"/>
  <cols>
    <col min="1" max="1" width="17" style="159" customWidth="1"/>
    <col min="2" max="2" width="5.42578125" style="159" customWidth="1"/>
    <col min="3" max="3" width="8.85546875" style="159" customWidth="1"/>
    <col min="4" max="4" width="23" style="159" customWidth="1"/>
    <col min="5" max="5" width="6.5703125" style="159" customWidth="1"/>
    <col min="6" max="6" width="10.7109375" style="159" customWidth="1"/>
    <col min="7" max="7" width="6.5703125" style="159" customWidth="1"/>
    <col min="8" max="8" width="7.140625" style="159" customWidth="1"/>
    <col min="9" max="10" width="6.7109375" style="159" customWidth="1"/>
    <col min="11" max="11" width="11.140625" style="159" customWidth="1"/>
    <col min="12" max="12" width="41.42578125" style="159" customWidth="1"/>
    <col min="13" max="13" width="35.140625" style="159" customWidth="1"/>
    <col min="14" max="14" width="14" style="159" customWidth="1"/>
    <col min="15" max="15" width="5.7109375" style="159" customWidth="1"/>
    <col min="16" max="16" width="23.28515625" style="157" customWidth="1"/>
    <col min="17" max="17" width="7.42578125" style="279" customWidth="1"/>
    <col min="18" max="18" width="9.85546875" style="279" customWidth="1"/>
    <col min="19" max="19" width="7.42578125" style="279" customWidth="1"/>
    <col min="20" max="22" width="6.85546875" style="280" customWidth="1"/>
    <col min="23" max="23" width="9.140625" style="280" customWidth="1"/>
    <col min="24" max="25" width="24.85546875" style="159" customWidth="1"/>
    <col min="26" max="256" width="9.140625" style="159" customWidth="1"/>
    <col min="257" max="16384" width="11.42578125" style="159"/>
  </cols>
  <sheetData>
    <row r="1" spans="1:25" ht="34.5" customHeight="1" x14ac:dyDescent="0.25">
      <c r="A1" s="385" t="s">
        <v>112</v>
      </c>
      <c r="B1" s="157" t="s">
        <v>484</v>
      </c>
      <c r="C1" s="316" t="s">
        <v>492</v>
      </c>
      <c r="D1" s="270" t="s">
        <v>253</v>
      </c>
      <c r="E1" s="271" t="s">
        <v>422</v>
      </c>
      <c r="F1" s="270" t="s">
        <v>21</v>
      </c>
      <c r="G1" s="271" t="s">
        <v>422</v>
      </c>
      <c r="H1" s="270" t="s">
        <v>409</v>
      </c>
      <c r="I1" s="270" t="s">
        <v>22</v>
      </c>
      <c r="J1" s="270" t="s">
        <v>45</v>
      </c>
      <c r="K1" s="270" t="s">
        <v>13</v>
      </c>
      <c r="L1" s="270" t="s">
        <v>410</v>
      </c>
      <c r="M1" s="270" t="s">
        <v>411</v>
      </c>
      <c r="O1" s="281" t="s">
        <v>485</v>
      </c>
    </row>
    <row r="2" spans="1:25" ht="60" customHeight="1" x14ac:dyDescent="0.25">
      <c r="A2" s="158" t="str">
        <f>IF(KB_Lunge!P13=0,"",KB_Lunge!P13)</f>
        <v>Unvollständig</v>
      </c>
      <c r="C2" s="30" t="str">
        <f>IF($A2="I.O.","",KB_Lunge!A13)</f>
        <v>1a</v>
      </c>
      <c r="D2" s="277" t="str">
        <f>IF($A2="I.O.","",KB_Lunge!C13)</f>
        <v>Primärfälle</v>
      </c>
      <c r="E2" s="273" t="str">
        <f>IF(AND(KB_Lunge!J13="",$A2&lt;&gt;"I.O."),"-----",IF($A2="I.O.","",KB_Lunge!J13))</f>
        <v>-----</v>
      </c>
      <c r="F2" s="30" t="str">
        <f>IF($A2="I.O.","",KB_Lunge!K13)</f>
        <v>≥ 200</v>
      </c>
      <c r="G2" s="273" t="str">
        <f>IF(AND(KB_Lunge!M13="",$A2&lt;&gt;"I.O."),"-----",IF($A2="I.O.","",KB_Lunge!M13))</f>
        <v>-----</v>
      </c>
      <c r="H2" s="275">
        <f>IF($A2="I.O.","",IF(KB_Lunge!O13="",0,KB_Lunge!O13))</f>
        <v>0</v>
      </c>
      <c r="I2" s="275" t="str">
        <f>IF($A2="I.O.","","-----")</f>
        <v>-----</v>
      </c>
      <c r="J2" s="269" t="str">
        <f>IF($A2="I.O.","","-----")</f>
        <v>-----</v>
      </c>
      <c r="K2" s="274" t="str">
        <f>IF($A2="I.O.","",KB_Lunge!P13)</f>
        <v>Unvollständig</v>
      </c>
      <c r="L2" s="277" t="str">
        <f>IF(AND(KB_Lunge!Q13="",$A2&lt;&gt;"I.O."),"-----",IF($A2="I.O.","",KB_Lunge!Q13))</f>
        <v>-----</v>
      </c>
      <c r="M2" s="277" t="str">
        <f>IF(AND(KB_Lunge!R13="",$A2&lt;&gt;"I.O."),"-----",IF($A2="I.O.","",KB_Lunge!R13))</f>
        <v>-----</v>
      </c>
      <c r="O2" s="136" t="str">
        <f t="array" aca="1" ref="O2" ca="1">IF(ROW()-ROW($D$2:$D$30)+1&gt;ROWS($C$2:$C$30)-COUNTBLANK($C$2:$C$30),"",INDIRECT(ADDRESS(SMALL((IF($C$2:$C$30&lt;&gt;"",ROW($C$2:$C$30),ROW()+ROWS($C$2:$C$30))),ROW()-ROW($D$2:$D$30)+1),COLUMN($C$2:$C$30),4)))</f>
        <v>1a</v>
      </c>
      <c r="P2" s="276" t="str">
        <f t="array" aca="1" ref="P2" ca="1">IF(ROW()-ROW($E$2:$E$30)+1&gt;ROWS($D$2:$D$30)-COUNTBLANK($D$2:$D$30),"",INDIRECT(ADDRESS(SMALL((IF($D$2:$D$30&gt;"",ROW($D$2:$D$30),ROW()+ROWS($D$2:$D$30))),ROW()-ROW($E$2:$E$30)+1),COLUMN($D$2:$D$30),4)))</f>
        <v>Primärfälle</v>
      </c>
      <c r="Q2" s="197" t="str">
        <f t="array" aca="1" ref="Q2" ca="1">IF(ROW()-ROW($F$2:$F$30)+1&gt;ROWS($E$2:$E$30)-COUNTBLANK($E$2:$E$30),"",INDIRECT(ADDRESS(SMALL((IF($E$2:$E$30&gt;"",ROW($E$2:$E$30),ROW()+ROWS($E$2:$E$30))),ROW()-ROW($F$2:$F$30)+1),COLUMN($E$2:$E$30),4)))</f>
        <v>-----</v>
      </c>
      <c r="R2" s="197" t="str">
        <f t="array" aca="1" ref="R2" ca="1">IF(ROW()-ROW($G$2:$G$30)+1&gt;ROWS($F$2:$F$30)-COUNTBLANK($F$2:$F$30),"",INDIRECT(ADDRESS(SMALL((IF($F$2:$F$30&gt;"",ROW($F$2:$F$30),ROW()+ROWS($F$2:$F$30))),ROW()-ROW($G$2:$G$30)+1),COLUMN($F$2:$F$30),4)))</f>
        <v>≥ 200</v>
      </c>
      <c r="S2" s="197" t="str">
        <f t="array" aca="1" ref="S2" ca="1">IF(ROW()-ROW($H$2:$H$30)+1&gt;ROWS($G$2:$G$30)-COUNTBLANK($G$2:$G$30),"",INDIRECT(ADDRESS(SMALL((IF($G$2:$G$30&lt;&gt;"",ROW($G$2:$G$30),ROW()+ROWS($G$2:$G$30))),ROW()-ROW($H$2:$H$30)+1),COLUMN($G$2:$G$30),4)))</f>
        <v>-----</v>
      </c>
      <c r="T2" s="136">
        <f t="array" aca="1" ref="T2" ca="1">IF(ROW()-ROW($I$2:$I$30)+1&gt;ROWS($H$2:$H$30)-COUNTBLANK($H$2:$H$30),"",INDIRECT(ADDRESS(SMALL((IF($H$2:$H$30&lt;&gt;"",ROW($H$2:$H$30),ROW()+ROWS($H$2:$H$30))),ROW()-ROW($I$2:$I$30)+1),COLUMN($H$2:$H$30),4)))</f>
        <v>0</v>
      </c>
      <c r="U2" s="136" t="str">
        <f t="array" aca="1" ref="U2" ca="1">IF(ROW()-ROW($J$2:$J$30)+1&gt;ROWS($I$2:$I$30)-COUNTBLANK($I$2:$I$30),"",INDIRECT(ADDRESS(SMALL((IF($I$2:$I$30&lt;&gt;"",ROW($I$2:$I$30),ROW()+ROWS($I$2:$I$30))),ROW()-ROW($J$2:$J$30)+1),COLUMN($I$2:$I$30),4)))</f>
        <v>-----</v>
      </c>
      <c r="V2" s="136" t="str">
        <f t="array" aca="1" ref="V2" ca="1">IF(ROW()-ROW($K$2:$K$30)+1&gt;ROWS($J$2:$J$30)-COUNTBLANK($J$2:$J$30),"",INDIRECT(ADDRESS(SMALL((IF($J$2:$J$30&lt;&gt;"",ROW($J$2:$J$30),ROW()+ROWS($J$2:$J$30))),ROW()-ROW($K$2:$K$30)+1),COLUMN($J$2:$J$30),4)))</f>
        <v>-----</v>
      </c>
      <c r="W2" s="136" t="str">
        <f t="array" aca="1" ref="W2" ca="1">IF(ROW()-ROW($L$2:$L$30)+1&gt;ROWS($K$2:$K$30)-COUNTBLANK($K$2:$K$30),"",INDIRECT(ADDRESS(SMALL((IF($K$2:$K$30&lt;&gt;"",ROW($K$2:$K$30),ROW()+ROWS($K$2:$K$30))),ROW()-ROW($L$2:$L$30)+1),COLUMN($K$2:$K$30),4)))</f>
        <v>Unvollständig</v>
      </c>
      <c r="X2" s="158" t="str">
        <f t="array" aca="1" ref="X2" ca="1">IF(ROW()-ROW($M$2:$M$30)+1&gt;ROWS($L$2:$L$30)-COUNTBLANK($L$2:$L$30),"",INDIRECT(ADDRESS(SMALL((IF($L$2:$L$30&lt;&gt;"",ROW($L$2:$L$30),ROW()+ROWS($L$2:$L$30))),ROW()-ROW($M$2:$M$30)+1),COLUMN($L$2:$L$30),4)))</f>
        <v>-----</v>
      </c>
      <c r="Y2" s="158" t="str">
        <f t="array" aca="1" ref="Y2" ca="1">IF(ROW()-ROW($N$2:$N$30)+1&gt;ROWS($M$2:$M$30)-COUNTBLANK($M$2:$M$30),"",INDIRECT(ADDRESS(SMALL((IF($M$2:$M$30&lt;&gt;"",ROW($M$2:$M$30),ROW()+ROWS($M$2:$M$30))),ROW()-ROW($N$2:$N$30)+1),COLUMN($M$2:$M$30),4)))</f>
        <v>-----</v>
      </c>
    </row>
    <row r="3" spans="1:25" ht="60" customHeight="1" x14ac:dyDescent="0.25">
      <c r="A3" s="158" t="str">
        <f>IF(KB_Lunge!P16=0,"",KB_Lunge!P16)</f>
        <v>Unvollständig</v>
      </c>
      <c r="C3" s="30" t="str">
        <f>IF($A3="I.O.","",KB_Lunge!A16)</f>
        <v>1b</v>
      </c>
      <c r="D3" s="277" t="str">
        <f>IF($A3="I.O.","",KB_Lunge!C16)</f>
        <v>Pat. mit neuaufgetretenem Rezidiv und/oder Fernmetastasen</v>
      </c>
      <c r="E3" s="273" t="str">
        <f>IF(AND(KB_Lunge!J16="",$A3&lt;&gt;"I.O."),"-----",IF($A3="I.O.","",KB_Lunge!J16))</f>
        <v>-----</v>
      </c>
      <c r="F3" s="30" t="str">
        <f>IF($A3="I.O.","",KB_Lunge!K16)</f>
        <v>Derzeit keine Vorgaben</v>
      </c>
      <c r="G3" s="273" t="str">
        <f>IF(AND(KB_Lunge!M16="",$A3&lt;&gt;"I.O."),"-----",IF($A3="I.O.","",KB_Lunge!M16))</f>
        <v>-----</v>
      </c>
      <c r="H3" s="275">
        <f>IF($A3="I.O.","",IF(KB_Lunge!O16="",0,KB_Lunge!O16))</f>
        <v>0</v>
      </c>
      <c r="I3" s="275" t="str">
        <f t="shared" ref="I3:J3" si="0">IF($A3="I.O.","","-----")</f>
        <v>-----</v>
      </c>
      <c r="J3" s="269" t="str">
        <f t="shared" si="0"/>
        <v>-----</v>
      </c>
      <c r="K3" s="274" t="str">
        <f>IF($A3="I.O.","",KB_Lunge!P16)</f>
        <v>Unvollständig</v>
      </c>
      <c r="L3" s="277" t="str">
        <f>IF(AND(KB_Lunge!Q16="",$A3&lt;&gt;"I.O."),"-----",IF($A3="I.O.","",KB_Lunge!Q16))</f>
        <v>-----</v>
      </c>
      <c r="M3" s="277" t="str">
        <f>IF(AND(KB_Lunge!R16="",$A3&lt;&gt;"I.O."),"-----",IF($A3="I.O.","",KB_Lunge!R16))</f>
        <v>-----</v>
      </c>
      <c r="O3" s="136" t="str">
        <f t="array" aca="1" ref="O3" ca="1">IF(ROW()-ROW($D$2:$D$30)+1&gt;ROWS($C$2:$C$30)-COUNTBLANK($C$2:$C$30),"",INDIRECT(ADDRESS(SMALL((IF($C$2:$C$30&lt;&gt;"",ROW($C$2:$C$30),ROW()+ROWS($C$2:$C$30))),ROW()-ROW($D$2:$D$30)+1),COLUMN($C$2:$C$30),4)))</f>
        <v>1b</v>
      </c>
      <c r="P3" s="276" t="str">
        <f t="array" aca="1" ref="P3" ca="1">IF(ROW()-ROW($E$2:$E$30)+1&gt;ROWS($D$2:$D$30)-COUNTBLANK($D$2:$D$30),"",INDIRECT(ADDRESS(SMALL((IF($D$2:$D$30&gt;"",ROW($D$2:$D$30),ROW()+ROWS($D$2:$D$30))),ROW()-ROW($E$2:$E$30)+1),COLUMN($D$2:$D$30),4)))</f>
        <v>Pat. mit neuaufgetretenem Rezidiv und/oder Fernmetastasen</v>
      </c>
      <c r="Q3" s="197" t="str">
        <f t="array" aca="1" ref="Q3" ca="1">IF(ROW()-ROW($F$2:$F$30)+1&gt;ROWS($E$2:$E$30)-COUNTBLANK($E$2:$E$30),"",INDIRECT(ADDRESS(SMALL((IF($E$2:$E$30&gt;"",ROW($E$2:$E$30),ROW()+ROWS($E$2:$E$30))),ROW()-ROW($F$2:$F$30)+1),COLUMN($E$2:$E$30),4)))</f>
        <v>-----</v>
      </c>
      <c r="R3" s="197" t="str">
        <f t="array" aca="1" ref="R3" ca="1">IF(ROW()-ROW($G$2:$G$30)+1&gt;ROWS($F$2:$F$30)-COUNTBLANK($F$2:$F$30),"",INDIRECT(ADDRESS(SMALL((IF($F$2:$F$30&gt;"",ROW($F$2:$F$30),ROW()+ROWS($F$2:$F$30))),ROW()-ROW($G$2:$G$30)+1),COLUMN($F$2:$F$30),4)))</f>
        <v>Derzeit keine Vorgaben</v>
      </c>
      <c r="S3" s="197" t="str">
        <f t="array" aca="1" ref="S3" ca="1">IF(ROW()-ROW($H$2:$H$30)+1&gt;ROWS($G$2:$G$30)-COUNTBLANK($G$2:$G$30),"",INDIRECT(ADDRESS(SMALL((IF($G$2:$G$30&lt;&gt;"",ROW($G$2:$G$30),ROW()+ROWS($G$2:$G$30))),ROW()-ROW($H$2:$H$30)+1),COLUMN($G$2:$G$30),4)))</f>
        <v>-----</v>
      </c>
      <c r="T3" s="136">
        <f t="array" aca="1" ref="T3" ca="1">IF(ROW()-ROW($I$2:$I$30)+1&gt;ROWS($H$2:$H$30)-COUNTBLANK($H$2:$H$30),"",INDIRECT(ADDRESS(SMALL((IF($H$2:$H$30&lt;&gt;"",ROW($H$2:$H$30),ROW()+ROWS($H$2:$H$30))),ROW()-ROW($I$2:$I$30)+1),COLUMN($H$2:$H$30),4)))</f>
        <v>0</v>
      </c>
      <c r="U3" s="136" t="str">
        <f t="array" aca="1" ref="U3" ca="1">IF(ROW()-ROW($J$2:$J$30)+1&gt;ROWS($I$2:$I$30)-COUNTBLANK($I$2:$I$30),"",INDIRECT(ADDRESS(SMALL((IF($I$2:$I$30&lt;&gt;"",ROW($I$2:$I$30),ROW()+ROWS($I$2:$I$30))),ROW()-ROW($J$2:$J$30)+1),COLUMN($I$2:$I$30),4)))</f>
        <v>-----</v>
      </c>
      <c r="V3" s="136" t="str">
        <f t="array" aca="1" ref="V3" ca="1">IF(ROW()-ROW($K$2:$K$30)+1&gt;ROWS($J$2:$J$30)-COUNTBLANK($J$2:$J$30),"",INDIRECT(ADDRESS(SMALL((IF($J$2:$J$30&lt;&gt;"",ROW($J$2:$J$30),ROW()+ROWS($J$2:$J$30))),ROW()-ROW($K$2:$K$30)+1),COLUMN($J$2:$J$30),4)))</f>
        <v>-----</v>
      </c>
      <c r="W3" s="136" t="str">
        <f t="array" aca="1" ref="W3" ca="1">IF(ROW()-ROW($L$2:$L$30)+1&gt;ROWS($K$2:$K$30)-COUNTBLANK($K$2:$K$30),"",INDIRECT(ADDRESS(SMALL((IF($K$2:$K$30&lt;&gt;"",ROW($K$2:$K$30),ROW()+ROWS($K$2:$K$30))),ROW()-ROW($L$2:$L$30)+1),COLUMN($K$2:$K$30),4)))</f>
        <v>Unvollständig</v>
      </c>
      <c r="X3" s="158" t="str">
        <f t="array" aca="1" ref="X3" ca="1">IF(ROW()-ROW($M$2:$M$30)+1&gt;ROWS($L$2:$L$30)-COUNTBLANK($L$2:$L$30),"",INDIRECT(ADDRESS(SMALL((IF($L$2:$L$30&lt;&gt;"",ROW($L$2:$L$30),ROW()+ROWS($L$2:$L$30))),ROW()-ROW($M$2:$M$30)+1),COLUMN($L$2:$L$30),4)))</f>
        <v>-----</v>
      </c>
      <c r="Y3" s="158" t="str">
        <f t="array" aca="1" ref="Y3" ca="1">IF(ROW()-ROW($N$2:$N$30)+1&gt;ROWS($M$2:$M$30)-COUNTBLANK($M$2:$M$30),"",INDIRECT(ADDRESS(SMALL((IF($M$2:$M$30&lt;&gt;"",ROW($M$2:$M$30),ROW()+ROWS($M$2:$M$30))),ROW()-ROW($N$2:$N$30)+1),COLUMN($M$2:$M$30),4)))</f>
        <v>-----</v>
      </c>
    </row>
    <row r="4" spans="1:25" ht="60" customHeight="1" x14ac:dyDescent="0.25">
      <c r="A4" s="158" t="str">
        <f>IF(KB_Lunge!P19=0,"",KB_Lunge!P19)</f>
        <v>Unvollständig</v>
      </c>
      <c r="C4" s="30" t="str">
        <f>IF($A4="I.O.","",KB_Lunge!A19)</f>
        <v>2a</v>
      </c>
      <c r="D4" s="277" t="str">
        <f>IF($A4="I.O.","",KB_Lunge!C19)</f>
        <v>Prätherapeutische Tumorkonferenz</v>
      </c>
      <c r="E4" s="273" t="str">
        <f>IF(AND(KB_Lunge!J19="",$A4&lt;&gt;"I.O."),"-----",IF($A4="I.O.","",KB_Lunge!J19))</f>
        <v>-----</v>
      </c>
      <c r="F4" s="30" t="str">
        <f>IF($A4="I.O.","",KB_Lunge!K19)</f>
        <v>≥ 90%</v>
      </c>
      <c r="G4" s="273" t="str">
        <f>IF(AND(KB_Lunge!M19="",$A4&lt;&gt;"I.O."),"-----",IF($A4="I.O.","",KB_Lunge!M19))</f>
        <v>-----</v>
      </c>
      <c r="H4" s="275" t="str">
        <f>IF($A4="I.O.","",IF(KB_Lunge!O19="","-----",KB_Lunge!O19))</f>
        <v>-----</v>
      </c>
      <c r="I4" s="275">
        <f>IF($A4="I.O.","",IF(KB_Lunge!O20="","-----",KB_Lunge!O20))</f>
        <v>0</v>
      </c>
      <c r="J4" s="269" t="str">
        <f>IF($A4="I.O.","",IF(KB_Lunge!O21="",0,KB_Lunge!O21))</f>
        <v>n.d.</v>
      </c>
      <c r="K4" s="274" t="str">
        <f>IF($A4="I.O.","",KB_Lunge!P19)</f>
        <v>Unvollständig</v>
      </c>
      <c r="L4" s="277" t="str">
        <f>IF(AND(KB_Lunge!Q19="",$A4&lt;&gt;"I.O."),"-----",IF($A4="I.O.","",KB_Lunge!Q19))</f>
        <v>-----</v>
      </c>
      <c r="M4" s="277" t="str">
        <f>IF(AND(KB_Lunge!R19="",$A4&lt;&gt;"I.O."),"-----",IF($A4="I.O.","",KB_Lunge!R19))</f>
        <v>-----</v>
      </c>
      <c r="O4" s="136" t="str">
        <f t="array" aca="1" ref="O4" ca="1">IF(ROW()-ROW($D$2:$D$30)+1&gt;ROWS($C$2:$C$30)-COUNTBLANK($C$2:$C$30),"",INDIRECT(ADDRESS(SMALL((IF($C$2:$C$30&lt;&gt;"",ROW($C$2:$C$30),ROW()+ROWS($C$2:$C$30))),ROW()-ROW($D$2:$D$30)+1),COLUMN($C$2:$C$30),4)))</f>
        <v>2a</v>
      </c>
      <c r="P4" s="276" t="str">
        <f t="array" aca="1" ref="P4" ca="1">IF(ROW()-ROW($E$2:$E$30)+1&gt;ROWS($D$2:$D$30)-COUNTBLANK($D$2:$D$30),"",INDIRECT(ADDRESS(SMALL((IF($D$2:$D$30&gt;"",ROW($D$2:$D$30),ROW()+ROWS($D$2:$D$30))),ROW()-ROW($E$2:$E$30)+1),COLUMN($D$2:$D$30),4)))</f>
        <v>Prätherapeutische Tumorkonferenz</v>
      </c>
      <c r="Q4" s="197" t="str">
        <f t="array" aca="1" ref="Q4" ca="1">IF(ROW()-ROW($F$2:$F$30)+1&gt;ROWS($E$2:$E$30)-COUNTBLANK($E$2:$E$30),"",INDIRECT(ADDRESS(SMALL((IF($E$2:$E$30&gt;"",ROW($E$2:$E$30),ROW()+ROWS($E$2:$E$30))),ROW()-ROW($F$2:$F$30)+1),COLUMN($E$2:$E$30),4)))</f>
        <v>-----</v>
      </c>
      <c r="R4" s="197" t="str">
        <f t="array" aca="1" ref="R4" ca="1">IF(ROW()-ROW($G$2:$G$30)+1&gt;ROWS($F$2:$F$30)-COUNTBLANK($F$2:$F$30),"",INDIRECT(ADDRESS(SMALL((IF($F$2:$F$30&gt;"",ROW($F$2:$F$30),ROW()+ROWS($F$2:$F$30))),ROW()-ROW($G$2:$G$30)+1),COLUMN($F$2:$F$30),4)))</f>
        <v>≥ 90%</v>
      </c>
      <c r="S4" s="197" t="str">
        <f t="array" aca="1" ref="S4" ca="1">IF(ROW()-ROW($H$2:$H$30)+1&gt;ROWS($G$2:$G$30)-COUNTBLANK($G$2:$G$30),"",INDIRECT(ADDRESS(SMALL((IF($G$2:$G$30&lt;&gt;"",ROW($G$2:$G$30),ROW()+ROWS($G$2:$G$30))),ROW()-ROW($H$2:$H$30)+1),COLUMN($G$2:$G$30),4)))</f>
        <v>-----</v>
      </c>
      <c r="T4" s="136" t="str">
        <f t="array" aca="1" ref="T4" ca="1">IF(ROW()-ROW($I$2:$I$30)+1&gt;ROWS($H$2:$H$30)-COUNTBLANK($H$2:$H$30),"",INDIRECT(ADDRESS(SMALL((IF($H$2:$H$30&lt;&gt;"",ROW($H$2:$H$30),ROW()+ROWS($H$2:$H$30))),ROW()-ROW($I$2:$I$30)+1),COLUMN($H$2:$H$30),4)))</f>
        <v>-----</v>
      </c>
      <c r="U4" s="136">
        <f t="array" aca="1" ref="U4" ca="1">IF(ROW()-ROW($J$2:$J$30)+1&gt;ROWS($I$2:$I$30)-COUNTBLANK($I$2:$I$30),"",INDIRECT(ADDRESS(SMALL((IF($I$2:$I$30&lt;&gt;"",ROW($I$2:$I$30),ROW()+ROWS($I$2:$I$30))),ROW()-ROW($J$2:$J$30)+1),COLUMN($I$2:$I$30),4)))</f>
        <v>0</v>
      </c>
      <c r="V4" s="136" t="str">
        <f t="array" aca="1" ref="V4" ca="1">IF(ROW()-ROW($K$2:$K$30)+1&gt;ROWS($J$2:$J$30)-COUNTBLANK($J$2:$J$30),"",INDIRECT(ADDRESS(SMALL((IF($J$2:$J$30&lt;&gt;"",ROW($J$2:$J$30),ROW()+ROWS($J$2:$J$30))),ROW()-ROW($K$2:$K$30)+1),COLUMN($J$2:$J$30),4)))</f>
        <v>n.d.</v>
      </c>
      <c r="W4" s="136" t="str">
        <f t="array" aca="1" ref="W4" ca="1">IF(ROW()-ROW($L$2:$L$30)+1&gt;ROWS($K$2:$K$30)-COUNTBLANK($K$2:$K$30),"",INDIRECT(ADDRESS(SMALL((IF($K$2:$K$30&lt;&gt;"",ROW($K$2:$K$30),ROW()+ROWS($K$2:$K$30))),ROW()-ROW($L$2:$L$30)+1),COLUMN($K$2:$K$30),4)))</f>
        <v>Unvollständig</v>
      </c>
      <c r="X4" s="158" t="str">
        <f t="array" aca="1" ref="X4" ca="1">IF(ROW()-ROW($M$2:$M$30)+1&gt;ROWS($L$2:$L$30)-COUNTBLANK($L$2:$L$30),"",INDIRECT(ADDRESS(SMALL((IF($L$2:$L$30&lt;&gt;"",ROW($L$2:$L$30),ROW()+ROWS($L$2:$L$30))),ROW()-ROW($M$2:$M$30)+1),COLUMN($L$2:$L$30),4)))</f>
        <v>-----</v>
      </c>
      <c r="Y4" s="158" t="str">
        <f t="array" aca="1" ref="Y4" ca="1">IF(ROW()-ROW($N$2:$N$30)+1&gt;ROWS($M$2:$M$30)-COUNTBLANK($M$2:$M$30),"",INDIRECT(ADDRESS(SMALL((IF($M$2:$M$30&lt;&gt;"",ROW($M$2:$M$30),ROW()+ROWS($M$2:$M$30))),ROW()-ROW($N$2:$N$30)+1),COLUMN($M$2:$M$30),4)))</f>
        <v>-----</v>
      </c>
    </row>
    <row r="5" spans="1:25" ht="60" customHeight="1" x14ac:dyDescent="0.25">
      <c r="A5" s="158" t="str">
        <f>IF(KB_Lunge!P22=0,"",KB_Lunge!P22)</f>
        <v>Unvollständig</v>
      </c>
      <c r="C5" s="30" t="str">
        <f>IF($A5="I.O.","",KB_Lunge!A22)</f>
        <v>2b</v>
      </c>
      <c r="D5" s="277" t="str">
        <f>IF($A5="I.O.","",KB_Lunge!C22)</f>
        <v>Vorstellung neu aufgetretener Rezidive u/o Fernmetastasen nach vorheriger kurativer Behandlung in Tumorkonferenz</v>
      </c>
      <c r="E5" s="273" t="str">
        <f>IF(AND(KB_Lunge!J22="",$A5&lt;&gt;"I.O."),"-----",IF($A5="I.O.","",KB_Lunge!J22))</f>
        <v>-----</v>
      </c>
      <c r="F5" s="30" t="str">
        <f>IF($A5="I.O.","",KB_Lunge!K22)</f>
        <v xml:space="preserve"> ≥ 90%</v>
      </c>
      <c r="G5" s="273" t="str">
        <f>IF(AND(KB_Lunge!M22="",$A5&lt;&gt;"I.O."),"-----",IF($A5="I.O.","",KB_Lunge!M22))</f>
        <v>-----</v>
      </c>
      <c r="H5" s="275" t="str">
        <f>IF($A5="I.O.","",IF(KB_Lunge!O22="","-----",KB_Lunge!O22))</f>
        <v>-----</v>
      </c>
      <c r="I5" s="275" t="str">
        <f>IF($A5="I.O.","",IF(KB_Lunge!O23="","-----",KB_Lunge!O23))</f>
        <v>-----</v>
      </c>
      <c r="J5" s="269" t="str">
        <f>IF($A5="I.O.","",IF(KB_Lunge!O24="",0,KB_Lunge!O24))</f>
        <v>n.d.</v>
      </c>
      <c r="K5" s="274" t="str">
        <f>IF($A5="I.O.","",KB_Lunge!P22)</f>
        <v>Unvollständig</v>
      </c>
      <c r="L5" s="277" t="str">
        <f>IF(AND(KB_Lunge!Q22="",$A5&lt;&gt;"I.O."),"-----",IF($A5="I.O.","",KB_Lunge!Q22))</f>
        <v>-----</v>
      </c>
      <c r="M5" s="277" t="str">
        <f>IF(AND(KB_Lunge!R22="",$A5&lt;&gt;"I.O."),"-----",IF($A5="I.O.","",KB_Lunge!R22))</f>
        <v>-----</v>
      </c>
      <c r="O5" s="136" t="str">
        <f t="array" aca="1" ref="O5" ca="1">IF(ROW()-ROW($D$2:$D$30)+1&gt;ROWS($C$2:$C$30)-COUNTBLANK($C$2:$C$30),"",INDIRECT(ADDRESS(SMALL((IF($C$2:$C$30&lt;&gt;"",ROW($C$2:$C$30),ROW()+ROWS($C$2:$C$30))),ROW()-ROW($D$2:$D$30)+1),COLUMN($C$2:$C$30),4)))</f>
        <v>2b</v>
      </c>
      <c r="P5" s="276" t="str">
        <f t="array" aca="1" ref="P5" ca="1">IF(ROW()-ROW($E$2:$E$30)+1&gt;ROWS($D$2:$D$30)-COUNTBLANK($D$2:$D$30),"",INDIRECT(ADDRESS(SMALL((IF($D$2:$D$30&gt;"",ROW($D$2:$D$30),ROW()+ROWS($D$2:$D$30))),ROW()-ROW($E$2:$E$30)+1),COLUMN($D$2:$D$30),4)))</f>
        <v>Vorstellung neu aufgetretener Rezidive u/o Fernmetastasen nach vorheriger kurativer Behandlung in Tumorkonferenz</v>
      </c>
      <c r="Q5" s="197" t="str">
        <f t="array" aca="1" ref="Q5" ca="1">IF(ROW()-ROW($F$2:$F$30)+1&gt;ROWS($E$2:$E$30)-COUNTBLANK($E$2:$E$30),"",INDIRECT(ADDRESS(SMALL((IF($E$2:$E$30&gt;"",ROW($E$2:$E$30),ROW()+ROWS($E$2:$E$30))),ROW()-ROW($F$2:$F$30)+1),COLUMN($E$2:$E$30),4)))</f>
        <v>-----</v>
      </c>
      <c r="R5" s="197" t="str">
        <f t="array" aca="1" ref="R5" ca="1">IF(ROW()-ROW($G$2:$G$30)+1&gt;ROWS($F$2:$F$30)-COUNTBLANK($F$2:$F$30),"",INDIRECT(ADDRESS(SMALL((IF($F$2:$F$30&gt;"",ROW($F$2:$F$30),ROW()+ROWS($F$2:$F$30))),ROW()-ROW($G$2:$G$30)+1),COLUMN($F$2:$F$30),4)))</f>
        <v xml:space="preserve"> ≥ 90%</v>
      </c>
      <c r="S5" s="197" t="str">
        <f t="array" aca="1" ref="S5" ca="1">IF(ROW()-ROW($H$2:$H$30)+1&gt;ROWS($G$2:$G$30)-COUNTBLANK($G$2:$G$30),"",INDIRECT(ADDRESS(SMALL((IF($G$2:$G$30&lt;&gt;"",ROW($G$2:$G$30),ROW()+ROWS($G$2:$G$30))),ROW()-ROW($H$2:$H$30)+1),COLUMN($G$2:$G$30),4)))</f>
        <v>-----</v>
      </c>
      <c r="T5" s="136" t="str">
        <f t="array" aca="1" ref="T5" ca="1">IF(ROW()-ROW($I$2:$I$30)+1&gt;ROWS($H$2:$H$30)-COUNTBLANK($H$2:$H$30),"",INDIRECT(ADDRESS(SMALL((IF($H$2:$H$30&lt;&gt;"",ROW($H$2:$H$30),ROW()+ROWS($H$2:$H$30))),ROW()-ROW($I$2:$I$30)+1),COLUMN($H$2:$H$30),4)))</f>
        <v>-----</v>
      </c>
      <c r="U5" s="136" t="str">
        <f t="array" aca="1" ref="U5" ca="1">IF(ROW()-ROW($J$2:$J$30)+1&gt;ROWS($I$2:$I$30)-COUNTBLANK($I$2:$I$30),"",INDIRECT(ADDRESS(SMALL((IF($I$2:$I$30&lt;&gt;"",ROW($I$2:$I$30),ROW()+ROWS($I$2:$I$30))),ROW()-ROW($J$2:$J$30)+1),COLUMN($I$2:$I$30),4)))</f>
        <v>-----</v>
      </c>
      <c r="V5" s="136" t="str">
        <f t="array" aca="1" ref="V5" ca="1">IF(ROW()-ROW($K$2:$K$30)+1&gt;ROWS($J$2:$J$30)-COUNTBLANK($J$2:$J$30),"",INDIRECT(ADDRESS(SMALL((IF($J$2:$J$30&lt;&gt;"",ROW($J$2:$J$30),ROW()+ROWS($J$2:$J$30))),ROW()-ROW($K$2:$K$30)+1),COLUMN($J$2:$J$30),4)))</f>
        <v>n.d.</v>
      </c>
      <c r="W5" s="136" t="str">
        <f t="array" aca="1" ref="W5" ca="1">IF(ROW()-ROW($L$2:$L$30)+1&gt;ROWS($K$2:$K$30)-COUNTBLANK($K$2:$K$30),"",INDIRECT(ADDRESS(SMALL((IF($K$2:$K$30&lt;&gt;"",ROW($K$2:$K$30),ROW()+ROWS($K$2:$K$30))),ROW()-ROW($L$2:$L$30)+1),COLUMN($K$2:$K$30),4)))</f>
        <v>Unvollständig</v>
      </c>
      <c r="X5" s="158" t="str">
        <f t="array" aca="1" ref="X5" ca="1">IF(ROW()-ROW($M$2:$M$30)+1&gt;ROWS($L$2:$L$30)-COUNTBLANK($L$2:$L$30),"",INDIRECT(ADDRESS(SMALL((IF($L$2:$L$30&lt;&gt;"",ROW($L$2:$L$30),ROW()+ROWS($L$2:$L$30))),ROW()-ROW($M$2:$M$30)+1),COLUMN($L$2:$L$30),4)))</f>
        <v>-----</v>
      </c>
      <c r="Y5" s="158" t="str">
        <f t="array" aca="1" ref="Y5" ca="1">IF(ROW()-ROW($N$2:$N$30)+1&gt;ROWS($M$2:$M$30)-COUNTBLANK($M$2:$M$30),"",INDIRECT(ADDRESS(SMALL((IF($M$2:$M$30&lt;&gt;"",ROW($M$2:$M$30),ROW()+ROWS($M$2:$M$30))),ROW()-ROW($N$2:$N$30)+1),COLUMN($M$2:$M$30),4)))</f>
        <v>-----</v>
      </c>
    </row>
    <row r="6" spans="1:25" s="234" customFormat="1" ht="60" customHeight="1" x14ac:dyDescent="0.25">
      <c r="A6" s="158" t="str">
        <f>IF(KB_Lunge!P25=0,"",KB_Lunge!P25)</f>
        <v>Unvollständig</v>
      </c>
      <c r="B6" s="159"/>
      <c r="C6" s="30">
        <f>IF($A6="I.O.","",KB_Lunge!A25)</f>
        <v>3</v>
      </c>
      <c r="D6" s="277" t="str">
        <f>IF($A6="I.O.","",KB_Lunge!C25)</f>
        <v>Tumorkonferenz nach operativer Therapie von Primärfällen Stad. IB-IIIB</v>
      </c>
      <c r="E6" s="273" t="str">
        <f>IF(AND(KB_Lunge!J25="",$A6&lt;&gt;"I.O."),"-----",IF($A6="I.O.","",KB_Lunge!J25))</f>
        <v>-----</v>
      </c>
      <c r="F6" s="30" t="str">
        <f>IF($A6="I.O.","",KB_Lunge!K25)</f>
        <v xml:space="preserve"> ≥ 90%</v>
      </c>
      <c r="G6" s="273" t="str">
        <f>IF(AND(KB_Lunge!M25="",$A6&lt;&gt;"I.O."),"-----",IF($A6="I.O.","",KB_Lunge!M25))</f>
        <v>-----</v>
      </c>
      <c r="H6" s="275" t="str">
        <f>IF($A6="I.O.","",IF(KB_Lunge!O25="","-----",KB_Lunge!O25))</f>
        <v>-----</v>
      </c>
      <c r="I6" s="275">
        <f>IF($A6="I.O.","",IF(KB_Lunge!O26="","-----",KB_Lunge!O26))</f>
        <v>0</v>
      </c>
      <c r="J6" s="269" t="str">
        <f>IF($A6="I.O.","",IF(KB_Lunge!O27="",0,KB_Lunge!O27))</f>
        <v>n.d.</v>
      </c>
      <c r="K6" s="274" t="str">
        <f>IF($A6="I.O.","",KB_Lunge!P25)</f>
        <v>Unvollständig</v>
      </c>
      <c r="L6" s="277" t="str">
        <f>IF(AND(KB_Lunge!Q25="",$A6&lt;&gt;"I.O."),"-----",IF($A6="I.O.","",KB_Lunge!Q25))</f>
        <v>-----</v>
      </c>
      <c r="M6" s="277" t="str">
        <f>IF(AND(KB_Lunge!R25="",$A6&lt;&gt;"I.O."),"-----",IF($A6="I.O.","",KB_Lunge!R25))</f>
        <v>-----</v>
      </c>
      <c r="O6" s="136">
        <f t="array" aca="1" ref="O6" ca="1">IF(ROW()-ROW($D$2:$D$30)+1&gt;ROWS($C$2:$C$30)-COUNTBLANK($C$2:$C$30),"",INDIRECT(ADDRESS(SMALL((IF($C$2:$C$30&lt;&gt;"",ROW($C$2:$C$30),ROW()+ROWS($C$2:$C$30))),ROW()-ROW($D$2:$D$30)+1),COLUMN($C$2:$C$30),4)))</f>
        <v>3</v>
      </c>
      <c r="P6" s="276" t="str">
        <f t="array" aca="1" ref="P6" ca="1">IF(ROW()-ROW($E$2:$E$30)+1&gt;ROWS($D$2:$D$30)-COUNTBLANK($D$2:$D$30),"",INDIRECT(ADDRESS(SMALL((IF($D$2:$D$30&gt;"",ROW($D$2:$D$30),ROW()+ROWS($D$2:$D$30))),ROW()-ROW($E$2:$E$30)+1),COLUMN($D$2:$D$30),4)))</f>
        <v>Tumorkonferenz nach operativer Therapie von Primärfällen Stad. IB-IIIB</v>
      </c>
      <c r="Q6" s="197" t="str">
        <f t="array" aca="1" ref="Q6" ca="1">IF(ROW()-ROW($F$2:$F$30)+1&gt;ROWS($E$2:$E$30)-COUNTBLANK($E$2:$E$30),"",INDIRECT(ADDRESS(SMALL((IF($E$2:$E$30&gt;"",ROW($E$2:$E$30),ROW()+ROWS($E$2:$E$30))),ROW()-ROW($F$2:$F$30)+1),COLUMN($E$2:$E$30),4)))</f>
        <v>-----</v>
      </c>
      <c r="R6" s="197" t="str">
        <f t="array" aca="1" ref="R6" ca="1">IF(ROW()-ROW($G$2:$G$30)+1&gt;ROWS($F$2:$F$30)-COUNTBLANK($F$2:$F$30),"",INDIRECT(ADDRESS(SMALL((IF($F$2:$F$30&gt;"",ROW($F$2:$F$30),ROW()+ROWS($F$2:$F$30))),ROW()-ROW($G$2:$G$30)+1),COLUMN($F$2:$F$30),4)))</f>
        <v xml:space="preserve"> ≥ 90%</v>
      </c>
      <c r="S6" s="197" t="str">
        <f t="array" aca="1" ref="S6" ca="1">IF(ROW()-ROW($H$2:$H$30)+1&gt;ROWS($G$2:$G$30)-COUNTBLANK($G$2:$G$30),"",INDIRECT(ADDRESS(SMALL((IF($G$2:$G$30&lt;&gt;"",ROW($G$2:$G$30),ROW()+ROWS($G$2:$G$30))),ROW()-ROW($H$2:$H$30)+1),COLUMN($G$2:$G$30),4)))</f>
        <v>-----</v>
      </c>
      <c r="T6" s="136" t="str">
        <f t="array" aca="1" ref="T6" ca="1">IF(ROW()-ROW($I$2:$I$30)+1&gt;ROWS($H$2:$H$30)-COUNTBLANK($H$2:$H$30),"",INDIRECT(ADDRESS(SMALL((IF($H$2:$H$30&lt;&gt;"",ROW($H$2:$H$30),ROW()+ROWS($H$2:$H$30))),ROW()-ROW($I$2:$I$30)+1),COLUMN($H$2:$H$30),4)))</f>
        <v>-----</v>
      </c>
      <c r="U6" s="136">
        <f t="array" aca="1" ref="U6" ca="1">IF(ROW()-ROW($J$2:$J$30)+1&gt;ROWS($I$2:$I$30)-COUNTBLANK($I$2:$I$30),"",INDIRECT(ADDRESS(SMALL((IF($I$2:$I$30&lt;&gt;"",ROW($I$2:$I$30),ROW()+ROWS($I$2:$I$30))),ROW()-ROW($J$2:$J$30)+1),COLUMN($I$2:$I$30),4)))</f>
        <v>0</v>
      </c>
      <c r="V6" s="136" t="str">
        <f t="array" aca="1" ref="V6" ca="1">IF(ROW()-ROW($K$2:$K$30)+1&gt;ROWS($J$2:$J$30)-COUNTBLANK($J$2:$J$30),"",INDIRECT(ADDRESS(SMALL((IF($J$2:$J$30&lt;&gt;"",ROW($J$2:$J$30),ROW()+ROWS($J$2:$J$30))),ROW()-ROW($K$2:$K$30)+1),COLUMN($J$2:$J$30),4)))</f>
        <v>n.d.</v>
      </c>
      <c r="W6" s="136" t="str">
        <f t="array" aca="1" ref="W6" ca="1">IF(ROW()-ROW($L$2:$L$30)+1&gt;ROWS($K$2:$K$30)-COUNTBLANK($K$2:$K$30),"",INDIRECT(ADDRESS(SMALL((IF($K$2:$K$30&lt;&gt;"",ROW($K$2:$K$30),ROW()+ROWS($K$2:$K$30))),ROW()-ROW($L$2:$L$30)+1),COLUMN($K$2:$K$30),4)))</f>
        <v>Unvollständig</v>
      </c>
      <c r="X6" s="158" t="str">
        <f t="array" aca="1" ref="X6" ca="1">IF(ROW()-ROW($M$2:$M$30)+1&gt;ROWS($L$2:$L$30)-COUNTBLANK($L$2:$L$30),"",INDIRECT(ADDRESS(SMALL((IF($L$2:$L$30&lt;&gt;"",ROW($L$2:$L$30),ROW()+ROWS($L$2:$L$30))),ROW()-ROW($M$2:$M$30)+1),COLUMN($L$2:$L$30),4)))</f>
        <v>-----</v>
      </c>
      <c r="Y6" s="158" t="str">
        <f t="array" aca="1" ref="Y6" ca="1">IF(ROW()-ROW($N$2:$N$30)+1&gt;ROWS($M$2:$M$30)-COUNTBLANK($M$2:$M$30),"",INDIRECT(ADDRESS(SMALL((IF($M$2:$M$30&lt;&gt;"",ROW($M$2:$M$30),ROW()+ROWS($M$2:$M$30))),ROW()-ROW($N$2:$N$30)+1),COLUMN($M$2:$M$30),4)))</f>
        <v>-----</v>
      </c>
    </row>
    <row r="7" spans="1:25" s="234" customFormat="1" ht="60" customHeight="1" x14ac:dyDescent="0.25">
      <c r="A7" s="158" t="str">
        <f>IF(KB_Lunge!P34=0,"",KB_Lunge!P34)</f>
        <v>Unvollständig</v>
      </c>
      <c r="B7" s="159"/>
      <c r="C7" s="30">
        <f>IF($A7="I.O.","",KB_Lunge!A34)</f>
        <v>6</v>
      </c>
      <c r="D7" s="277" t="str">
        <f>IF($A7="I.O.","",KB_Lunge!C34)</f>
        <v>Beratung Sozialdienst</v>
      </c>
      <c r="E7" s="273" t="str">
        <f>IF(AND(KB_Lunge!J34="",$A7&lt;&gt;"I.O."),"-----",IF($A7="I.O.","",KB_Lunge!J34))</f>
        <v>&lt; 50%</v>
      </c>
      <c r="F7" s="30" t="str">
        <f>IF($A7="I.O.","",KB_Lunge!K34)</f>
        <v>Derzeit keine Vorgaben</v>
      </c>
      <c r="G7" s="273" t="str">
        <f>IF(AND(KB_Lunge!M34="",$A7&lt;&gt;"I.O."),"-----",IF($A7="I.O.","",KB_Lunge!M34))</f>
        <v>&gt; 90%</v>
      </c>
      <c r="H7" s="275" t="str">
        <f>IF($A7="I.O.","",IF(KB_Lunge!O34="","-----",KB_Lunge!O34))</f>
        <v>-----</v>
      </c>
      <c r="I7" s="275">
        <f>IF($A7="I.O.","",IF(KB_Lunge!O35="","-----",KB_Lunge!O35))</f>
        <v>0</v>
      </c>
      <c r="J7" s="269" t="str">
        <f>IF($A7="I.O.","",IF(KB_Lunge!O36="",0,KB_Lunge!O36))</f>
        <v>n.d.</v>
      </c>
      <c r="K7" s="274" t="str">
        <f>IF($A7="I.O.","",KB_Lunge!P34)</f>
        <v>Unvollständig</v>
      </c>
      <c r="L7" s="277" t="str">
        <f>IF(AND(KB_Lunge!Q34="",$A7&lt;&gt;"I.O."),"-----",IF($A7="I.O.","",KB_Lunge!Q34))</f>
        <v>-----</v>
      </c>
      <c r="M7" s="277" t="str">
        <f>IF(AND(KB_Lunge!R34="",$A7&lt;&gt;"I.O."),"-----",IF($A7="I.O.","",KB_Lunge!R34))</f>
        <v>-----</v>
      </c>
      <c r="O7" s="136">
        <f t="array" aca="1" ref="O7" ca="1">IF(ROW()-ROW($D$2:$D$30)+1&gt;ROWS($C$2:$C$30)-COUNTBLANK($C$2:$C$30),"",INDIRECT(ADDRESS(SMALL((IF($C$2:$C$30&lt;&gt;"",ROW($C$2:$C$30),ROW()+ROWS($C$2:$C$30))),ROW()-ROW($D$2:$D$30)+1),COLUMN($C$2:$C$30),4)))</f>
        <v>6</v>
      </c>
      <c r="P7" s="276" t="str">
        <f t="array" aca="1" ref="P7" ca="1">IF(ROW()-ROW($E$2:$E$30)+1&gt;ROWS($D$2:$D$30)-COUNTBLANK($D$2:$D$30),"",INDIRECT(ADDRESS(SMALL((IF($D$2:$D$30&gt;"",ROW($D$2:$D$30),ROW()+ROWS($D$2:$D$30))),ROW()-ROW($E$2:$E$30)+1),COLUMN($D$2:$D$30),4)))</f>
        <v>Beratung Sozialdienst</v>
      </c>
      <c r="Q7" s="197" t="str">
        <f t="array" aca="1" ref="Q7" ca="1">IF(ROW()-ROW($F$2:$F$30)+1&gt;ROWS($E$2:$E$30)-COUNTBLANK($E$2:$E$30),"",INDIRECT(ADDRESS(SMALL((IF($E$2:$E$30&gt;"",ROW($E$2:$E$30),ROW()+ROWS($E$2:$E$30))),ROW()-ROW($F$2:$F$30)+1),COLUMN($E$2:$E$30),4)))</f>
        <v>&lt; 50%</v>
      </c>
      <c r="R7" s="197" t="str">
        <f t="array" aca="1" ref="R7" ca="1">IF(ROW()-ROW($G$2:$G$30)+1&gt;ROWS($F$2:$F$30)-COUNTBLANK($F$2:$F$30),"",INDIRECT(ADDRESS(SMALL((IF($F$2:$F$30&gt;"",ROW($F$2:$F$30),ROW()+ROWS($F$2:$F$30))),ROW()-ROW($G$2:$G$30)+1),COLUMN($F$2:$F$30),4)))</f>
        <v>Derzeit keine Vorgaben</v>
      </c>
      <c r="S7" s="197" t="str">
        <f t="array" aca="1" ref="S7" ca="1">IF(ROW()-ROW($H$2:$H$30)+1&gt;ROWS($G$2:$G$30)-COUNTBLANK($G$2:$G$30),"",INDIRECT(ADDRESS(SMALL((IF($G$2:$G$30&lt;&gt;"",ROW($G$2:$G$30),ROW()+ROWS($G$2:$G$30))),ROW()-ROW($H$2:$H$30)+1),COLUMN($G$2:$G$30),4)))</f>
        <v>&gt; 90%</v>
      </c>
      <c r="T7" s="136" t="str">
        <f t="array" aca="1" ref="T7" ca="1">IF(ROW()-ROW($I$2:$I$30)+1&gt;ROWS($H$2:$H$30)-COUNTBLANK($H$2:$H$30),"",INDIRECT(ADDRESS(SMALL((IF($H$2:$H$30&lt;&gt;"",ROW($H$2:$H$30),ROW()+ROWS($H$2:$H$30))),ROW()-ROW($I$2:$I$30)+1),COLUMN($H$2:$H$30),4)))</f>
        <v>-----</v>
      </c>
      <c r="U7" s="136">
        <f t="array" aca="1" ref="U7" ca="1">IF(ROW()-ROW($J$2:$J$30)+1&gt;ROWS($I$2:$I$30)-COUNTBLANK($I$2:$I$30),"",INDIRECT(ADDRESS(SMALL((IF($I$2:$I$30&lt;&gt;"",ROW($I$2:$I$30),ROW()+ROWS($I$2:$I$30))),ROW()-ROW($J$2:$J$30)+1),COLUMN($I$2:$I$30),4)))</f>
        <v>0</v>
      </c>
      <c r="V7" s="136" t="str">
        <f t="array" aca="1" ref="V7" ca="1">IF(ROW()-ROW($K$2:$K$30)+1&gt;ROWS($J$2:$J$30)-COUNTBLANK($J$2:$J$30),"",INDIRECT(ADDRESS(SMALL((IF($J$2:$J$30&lt;&gt;"",ROW($J$2:$J$30),ROW()+ROWS($J$2:$J$30))),ROW()-ROW($K$2:$K$30)+1),COLUMN($J$2:$J$30),4)))</f>
        <v>n.d.</v>
      </c>
      <c r="W7" s="136" t="str">
        <f t="array" aca="1" ref="W7" ca="1">IF(ROW()-ROW($L$2:$L$30)+1&gt;ROWS($K$2:$K$30)-COUNTBLANK($K$2:$K$30),"",INDIRECT(ADDRESS(SMALL((IF($K$2:$K$30&lt;&gt;"",ROW($K$2:$K$30),ROW()+ROWS($K$2:$K$30))),ROW()-ROW($L$2:$L$30)+1),COLUMN($K$2:$K$30),4)))</f>
        <v>Unvollständig</v>
      </c>
      <c r="X7" s="158" t="str">
        <f t="array" aca="1" ref="X7" ca="1">IF(ROW()-ROW($M$2:$M$30)+1&gt;ROWS($L$2:$L$30)-COUNTBLANK($L$2:$L$30),"",INDIRECT(ADDRESS(SMALL((IF($L$2:$L$30&lt;&gt;"",ROW($L$2:$L$30),ROW()+ROWS($L$2:$L$30))),ROW()-ROW($M$2:$M$30)+1),COLUMN($L$2:$L$30),4)))</f>
        <v>-----</v>
      </c>
      <c r="Y7" s="158" t="str">
        <f t="array" aca="1" ref="Y7" ca="1">IF(ROW()-ROW($N$2:$N$30)+1&gt;ROWS($M$2:$M$30)-COUNTBLANK($M$2:$M$30),"",INDIRECT(ADDRESS(SMALL((IF($M$2:$M$30&lt;&gt;"",ROW($M$2:$M$30),ROW()+ROWS($M$2:$M$30))),ROW()-ROW($N$2:$N$30)+1),COLUMN($M$2:$M$30),4)))</f>
        <v>-----</v>
      </c>
    </row>
    <row r="8" spans="1:25" ht="60" customHeight="1" x14ac:dyDescent="0.25">
      <c r="A8" s="158" t="str">
        <f>IF(KB_Lunge!P37=0,"",KB_Lunge!P37)</f>
        <v>Unvollständig</v>
      </c>
      <c r="C8" s="30">
        <f>IF($A8="I.O.","",KB_Lunge!A37)</f>
        <v>7</v>
      </c>
      <c r="D8" s="277" t="str">
        <f>IF($A8="I.O.","",KB_Lunge!C37)</f>
        <v>Anteil Studienpat.</v>
      </c>
      <c r="E8" s="273" t="str">
        <f>IF(AND(KB_Lunge!J37="",$A8&lt;&gt;"I.O."),"-----",IF($A8="I.O.","",KB_Lunge!J37))</f>
        <v>-----</v>
      </c>
      <c r="F8" s="30" t="str">
        <f>IF($A8="I.O.","",KB_Lunge!K37)</f>
        <v xml:space="preserve"> ≥ 5%</v>
      </c>
      <c r="G8" s="273" t="str">
        <f>IF(AND(KB_Lunge!M37="",$A8&lt;&gt;"I.O."),"-----",IF($A8="I.O.","",KB_Lunge!M37))</f>
        <v>-----</v>
      </c>
      <c r="H8" s="275" t="str">
        <f>IF($A8="I.O.","",IF(KB_Lunge!O37="","-----",KB_Lunge!O37))</f>
        <v>-----</v>
      </c>
      <c r="I8" s="275">
        <f>IF($A8="I.O.","",IF(KB_Lunge!O38="","-----",KB_Lunge!O38))</f>
        <v>0</v>
      </c>
      <c r="J8" s="269" t="str">
        <f>IF($A8="I.O.","",IF(KB_Lunge!O39="",0,KB_Lunge!O39))</f>
        <v>n.d.</v>
      </c>
      <c r="K8" s="274" t="str">
        <f>IF($A8="I.O.","",KB_Lunge!P37)</f>
        <v>Unvollständig</v>
      </c>
      <c r="L8" s="277" t="str">
        <f>IF(AND(KB_Lunge!Q37="",$A8&lt;&gt;"I.O."),"-----",IF($A8="I.O.","",KB_Lunge!Q37))</f>
        <v>-----</v>
      </c>
      <c r="M8" s="277" t="str">
        <f>IF(AND(KB_Lunge!R37="",$A8&lt;&gt;"I.O."),"-----",IF($A8="I.O.","",KB_Lunge!R37))</f>
        <v>-----</v>
      </c>
      <c r="O8" s="136">
        <f t="array" aca="1" ref="O8" ca="1">IF(ROW()-ROW($D$2:$D$30)+1&gt;ROWS($C$2:$C$30)-COUNTBLANK($C$2:$C$30),"",INDIRECT(ADDRESS(SMALL((IF($C$2:$C$30&lt;&gt;"",ROW($C$2:$C$30),ROW()+ROWS($C$2:$C$30))),ROW()-ROW($D$2:$D$30)+1),COLUMN($C$2:$C$30),4)))</f>
        <v>7</v>
      </c>
      <c r="P8" s="276" t="str">
        <f t="array" aca="1" ref="P8" ca="1">IF(ROW()-ROW($E$2:$E$30)+1&gt;ROWS($D$2:$D$30)-COUNTBLANK($D$2:$D$30),"",INDIRECT(ADDRESS(SMALL((IF($D$2:$D$30&gt;"",ROW($D$2:$D$30),ROW()+ROWS($D$2:$D$30))),ROW()-ROW($E$2:$E$30)+1),COLUMN($D$2:$D$30),4)))</f>
        <v>Anteil Studienpat.</v>
      </c>
      <c r="Q8" s="197" t="str">
        <f t="array" aca="1" ref="Q8" ca="1">IF(ROW()-ROW($F$2:$F$30)+1&gt;ROWS($E$2:$E$30)-COUNTBLANK($E$2:$E$30),"",INDIRECT(ADDRESS(SMALL((IF($E$2:$E$30&gt;"",ROW($E$2:$E$30),ROW()+ROWS($E$2:$E$30))),ROW()-ROW($F$2:$F$30)+1),COLUMN($E$2:$E$30),4)))</f>
        <v>-----</v>
      </c>
      <c r="R8" s="197" t="str">
        <f t="array" aca="1" ref="R8" ca="1">IF(ROW()-ROW($G$2:$G$30)+1&gt;ROWS($F$2:$F$30)-COUNTBLANK($F$2:$F$30),"",INDIRECT(ADDRESS(SMALL((IF($F$2:$F$30&gt;"",ROW($F$2:$F$30),ROW()+ROWS($F$2:$F$30))),ROW()-ROW($G$2:$G$30)+1),COLUMN($F$2:$F$30),4)))</f>
        <v xml:space="preserve"> ≥ 5%</v>
      </c>
      <c r="S8" s="197" t="str">
        <f t="array" aca="1" ref="S8" ca="1">IF(ROW()-ROW($H$2:$H$30)+1&gt;ROWS($G$2:$G$30)-COUNTBLANK($G$2:$G$30),"",INDIRECT(ADDRESS(SMALL((IF($G$2:$G$30&lt;&gt;"",ROW($G$2:$G$30),ROW()+ROWS($G$2:$G$30))),ROW()-ROW($H$2:$H$30)+1),COLUMN($G$2:$G$30),4)))</f>
        <v>-----</v>
      </c>
      <c r="T8" s="136" t="str">
        <f t="array" aca="1" ref="T8" ca="1">IF(ROW()-ROW($I$2:$I$30)+1&gt;ROWS($H$2:$H$30)-COUNTBLANK($H$2:$H$30),"",INDIRECT(ADDRESS(SMALL((IF($H$2:$H$30&lt;&gt;"",ROW($H$2:$H$30),ROW()+ROWS($H$2:$H$30))),ROW()-ROW($I$2:$I$30)+1),COLUMN($H$2:$H$30),4)))</f>
        <v>-----</v>
      </c>
      <c r="U8" s="136">
        <f t="array" aca="1" ref="U8" ca="1">IF(ROW()-ROW($J$2:$J$30)+1&gt;ROWS($I$2:$I$30)-COUNTBLANK($I$2:$I$30),"",INDIRECT(ADDRESS(SMALL((IF($I$2:$I$30&lt;&gt;"",ROW($I$2:$I$30),ROW()+ROWS($I$2:$I$30))),ROW()-ROW($J$2:$J$30)+1),COLUMN($I$2:$I$30),4)))</f>
        <v>0</v>
      </c>
      <c r="V8" s="136" t="str">
        <f t="array" aca="1" ref="V8" ca="1">IF(ROW()-ROW($K$2:$K$30)+1&gt;ROWS($J$2:$J$30)-COUNTBLANK($J$2:$J$30),"",INDIRECT(ADDRESS(SMALL((IF($J$2:$J$30&lt;&gt;"",ROW($J$2:$J$30),ROW()+ROWS($J$2:$J$30))),ROW()-ROW($K$2:$K$30)+1),COLUMN($J$2:$J$30),4)))</f>
        <v>n.d.</v>
      </c>
      <c r="W8" s="136" t="str">
        <f t="array" aca="1" ref="W8" ca="1">IF(ROW()-ROW($L$2:$L$30)+1&gt;ROWS($K$2:$K$30)-COUNTBLANK($K$2:$K$30),"",INDIRECT(ADDRESS(SMALL((IF($K$2:$K$30&lt;&gt;"",ROW($K$2:$K$30),ROW()+ROWS($K$2:$K$30))),ROW()-ROW($L$2:$L$30)+1),COLUMN($K$2:$K$30),4)))</f>
        <v>Unvollständig</v>
      </c>
      <c r="X8" s="158" t="str">
        <f t="array" aca="1" ref="X8" ca="1">IF(ROW()-ROW($M$2:$M$30)+1&gt;ROWS($L$2:$L$30)-COUNTBLANK($L$2:$L$30),"",INDIRECT(ADDRESS(SMALL((IF($L$2:$L$30&lt;&gt;"",ROW($L$2:$L$30),ROW()+ROWS($L$2:$L$30))),ROW()-ROW($M$2:$M$30)+1),COLUMN($L$2:$L$30),4)))</f>
        <v>-----</v>
      </c>
      <c r="Y8" s="158" t="str">
        <f t="array" aca="1" ref="Y8" ca="1">IF(ROW()-ROW($N$2:$N$30)+1&gt;ROWS($M$2:$M$30)-COUNTBLANK($M$2:$M$30),"",INDIRECT(ADDRESS(SMALL((IF($M$2:$M$30&lt;&gt;"",ROW($M$2:$M$30),ROW()+ROWS($M$2:$M$30))),ROW()-ROW($N$2:$N$30)+1),COLUMN($M$2:$M$30),4)))</f>
        <v>-----</v>
      </c>
    </row>
    <row r="9" spans="1:25" s="234" customFormat="1" ht="60" customHeight="1" x14ac:dyDescent="0.25">
      <c r="A9" s="158" t="str">
        <f>IF(KB_Lunge!P40=0,"",KB_Lunge!P40)</f>
        <v>Unvollständig</v>
      </c>
      <c r="B9" s="159"/>
      <c r="C9" s="30">
        <f>IF($A9="I.O.","",KB_Lunge!A40)</f>
        <v>8</v>
      </c>
      <c r="D9" s="277" t="str">
        <f>IF($A9="I.O.","",KB_Lunge!C40)</f>
        <v xml:space="preserve">Flexible Bronchoskopie </v>
      </c>
      <c r="E9" s="273" t="str">
        <f>IF(AND(KB_Lunge!J40="",$A9&lt;&gt;"I.O."),"-----",IF($A9="I.O.","",KB_Lunge!J40))</f>
        <v>-----</v>
      </c>
      <c r="F9" s="30" t="str">
        <f>IF($A9="I.O.","",KB_Lunge!K40)</f>
        <v>≥ 500</v>
      </c>
      <c r="G9" s="273" t="str">
        <f>IF(AND(KB_Lunge!M40="",$A9&lt;&gt;"I.O."),"-----",IF($A9="I.O.","",KB_Lunge!M40))</f>
        <v>-----</v>
      </c>
      <c r="H9" s="275">
        <f>IF($A9="I.O.","",IF(SUM(Expertise_Lunge!M14:M16)="",0,SUM(Expertise_Lunge!M14:M16)))</f>
        <v>0</v>
      </c>
      <c r="I9" s="275" t="str">
        <f t="shared" ref="I9:J12" si="1">IF($A9="I.O.","","-----")</f>
        <v>-----</v>
      </c>
      <c r="J9" s="269" t="str">
        <f t="shared" si="1"/>
        <v>-----</v>
      </c>
      <c r="K9" s="274" t="str">
        <f>IF($A9="I.O.","",KB_Lunge!P40)</f>
        <v>Unvollständig</v>
      </c>
      <c r="L9" s="277" t="str">
        <f>IF(AND(KB_Lunge!Q40="",$A9&lt;&gt;"I.O."),"-----",IF($A9="I.O.","",KB_Lunge!Q40))</f>
        <v>-----</v>
      </c>
      <c r="M9" s="277" t="str">
        <f>IF(AND(KB_Lunge!R40="",$A9&lt;&gt;"I.O."),"-----",IF($A9="I.O.","",KB_Lunge!R40))</f>
        <v>-----</v>
      </c>
      <c r="O9" s="136">
        <f t="array" aca="1" ref="O9" ca="1">IF(ROW()-ROW($D$2:$D$30)+1&gt;ROWS($C$2:$C$30)-COUNTBLANK($C$2:$C$30),"",INDIRECT(ADDRESS(SMALL((IF($C$2:$C$30&lt;&gt;"",ROW($C$2:$C$30),ROW()+ROWS($C$2:$C$30))),ROW()-ROW($D$2:$D$30)+1),COLUMN($C$2:$C$30),4)))</f>
        <v>8</v>
      </c>
      <c r="P9" s="276" t="str">
        <f t="array" aca="1" ref="P9" ca="1">IF(ROW()-ROW($E$2:$E$30)+1&gt;ROWS($D$2:$D$30)-COUNTBLANK($D$2:$D$30),"",INDIRECT(ADDRESS(SMALL((IF($D$2:$D$30&gt;"",ROW($D$2:$D$30),ROW()+ROWS($D$2:$D$30))),ROW()-ROW($E$2:$E$30)+1),COLUMN($D$2:$D$30),4)))</f>
        <v xml:space="preserve">Flexible Bronchoskopie </v>
      </c>
      <c r="Q9" s="197" t="str">
        <f t="array" aca="1" ref="Q9" ca="1">IF(ROW()-ROW($F$2:$F$30)+1&gt;ROWS($E$2:$E$30)-COUNTBLANK($E$2:$E$30),"",INDIRECT(ADDRESS(SMALL((IF($E$2:$E$30&gt;"",ROW($E$2:$E$30),ROW()+ROWS($E$2:$E$30))),ROW()-ROW($F$2:$F$30)+1),COLUMN($E$2:$E$30),4)))</f>
        <v>-----</v>
      </c>
      <c r="R9" s="197" t="str">
        <f t="array" aca="1" ref="R9" ca="1">IF(ROW()-ROW($G$2:$G$30)+1&gt;ROWS($F$2:$F$30)-COUNTBLANK($F$2:$F$30),"",INDIRECT(ADDRESS(SMALL((IF($F$2:$F$30&gt;"",ROW($F$2:$F$30),ROW()+ROWS($F$2:$F$30))),ROW()-ROW($G$2:$G$30)+1),COLUMN($F$2:$F$30),4)))</f>
        <v>≥ 500</v>
      </c>
      <c r="S9" s="197" t="str">
        <f t="array" aca="1" ref="S9" ca="1">IF(ROW()-ROW($H$2:$H$30)+1&gt;ROWS($G$2:$G$30)-COUNTBLANK($G$2:$G$30),"",INDIRECT(ADDRESS(SMALL((IF($G$2:$G$30&lt;&gt;"",ROW($G$2:$G$30),ROW()+ROWS($G$2:$G$30))),ROW()-ROW($H$2:$H$30)+1),COLUMN($G$2:$G$30),4)))</f>
        <v>-----</v>
      </c>
      <c r="T9" s="136">
        <f t="array" aca="1" ref="T9" ca="1">IF(ROW()-ROW($I$2:$I$30)+1&gt;ROWS($H$2:$H$30)-COUNTBLANK($H$2:$H$30),"",INDIRECT(ADDRESS(SMALL((IF($H$2:$H$30&lt;&gt;"",ROW($H$2:$H$30),ROW()+ROWS($H$2:$H$30))),ROW()-ROW($I$2:$I$30)+1),COLUMN($H$2:$H$30),4)))</f>
        <v>0</v>
      </c>
      <c r="U9" s="136" t="str">
        <f t="array" aca="1" ref="U9" ca="1">IF(ROW()-ROW($J$2:$J$30)+1&gt;ROWS($I$2:$I$30)-COUNTBLANK($I$2:$I$30),"",INDIRECT(ADDRESS(SMALL((IF($I$2:$I$30&lt;&gt;"",ROW($I$2:$I$30),ROW()+ROWS($I$2:$I$30))),ROW()-ROW($J$2:$J$30)+1),COLUMN($I$2:$I$30),4)))</f>
        <v>-----</v>
      </c>
      <c r="V9" s="136" t="str">
        <f t="array" aca="1" ref="V9" ca="1">IF(ROW()-ROW($K$2:$K$30)+1&gt;ROWS($J$2:$J$30)-COUNTBLANK($J$2:$J$30),"",INDIRECT(ADDRESS(SMALL((IF($J$2:$J$30&lt;&gt;"",ROW($J$2:$J$30),ROW()+ROWS($J$2:$J$30))),ROW()-ROW($K$2:$K$30)+1),COLUMN($J$2:$J$30),4)))</f>
        <v>-----</v>
      </c>
      <c r="W9" s="136" t="str">
        <f t="array" aca="1" ref="W9" ca="1">IF(ROW()-ROW($L$2:$L$30)+1&gt;ROWS($K$2:$K$30)-COUNTBLANK($K$2:$K$30),"",INDIRECT(ADDRESS(SMALL((IF($K$2:$K$30&lt;&gt;"",ROW($K$2:$K$30),ROW()+ROWS($K$2:$K$30))),ROW()-ROW($L$2:$L$30)+1),COLUMN($K$2:$K$30),4)))</f>
        <v>Unvollständig</v>
      </c>
      <c r="X9" s="158" t="str">
        <f t="array" aca="1" ref="X9" ca="1">IF(ROW()-ROW($M$2:$M$30)+1&gt;ROWS($L$2:$L$30)-COUNTBLANK($L$2:$L$30),"",INDIRECT(ADDRESS(SMALL((IF($L$2:$L$30&lt;&gt;"",ROW($L$2:$L$30),ROW()+ROWS($L$2:$L$30))),ROW()-ROW($M$2:$M$30)+1),COLUMN($L$2:$L$30),4)))</f>
        <v>-----</v>
      </c>
      <c r="Y9" s="158" t="str">
        <f t="array" aca="1" ref="Y9" ca="1">IF(ROW()-ROW($N$2:$N$30)+1&gt;ROWS($M$2:$M$30)-COUNTBLANK($M$2:$M$30),"",INDIRECT(ADDRESS(SMALL((IF($M$2:$M$30&lt;&gt;"",ROW($M$2:$M$30),ROW()+ROWS($M$2:$M$30))),ROW()-ROW($N$2:$N$30)+1),COLUMN($M$2:$M$30),4)))</f>
        <v>-----</v>
      </c>
    </row>
    <row r="10" spans="1:25" ht="60" customHeight="1" x14ac:dyDescent="0.25">
      <c r="A10" s="158" t="str">
        <f>IF(KB_Lunge!P43=0,"",KB_Lunge!P43)</f>
        <v>Unvollständig</v>
      </c>
      <c r="C10" s="30">
        <f>IF($A10="I.O.","",KB_Lunge!A43)</f>
        <v>9</v>
      </c>
      <c r="D10" s="277" t="str">
        <f>IF($A10="I.O.","",KB_Lunge!C43)</f>
        <v xml:space="preserve">Interventionelle bronchoskopische Eingriffe bei Tumorverschluss oder Stenosen </v>
      </c>
      <c r="E10" s="273" t="str">
        <f>IF(AND(KB_Lunge!J43="",$A10&lt;&gt;"I.O."),"-----",IF($A10="I.O.","",KB_Lunge!J43))</f>
        <v>-----</v>
      </c>
      <c r="F10" s="30" t="str">
        <f>IF($A10="I.O.","",KB_Lunge!K43)</f>
        <v>≥ 10</v>
      </c>
      <c r="G10" s="273" t="str">
        <f>IF(AND(KB_Lunge!M43="",$A10&lt;&gt;"I.O."),"-----",IF($A10="I.O.","",KB_Lunge!M43))</f>
        <v>-----</v>
      </c>
      <c r="H10" s="275">
        <f>IF($A10="I.O.","",IF(SUM(Expertise_Lunge!M17:M19)="",0,SUM(Expertise_Lunge!M17:M19)))</f>
        <v>0</v>
      </c>
      <c r="I10" s="275" t="str">
        <f t="shared" si="1"/>
        <v>-----</v>
      </c>
      <c r="J10" s="269" t="str">
        <f t="shared" si="1"/>
        <v>-----</v>
      </c>
      <c r="K10" s="274" t="str">
        <f>IF($A10="I.O.","",KB_Lunge!P43)</f>
        <v>Unvollständig</v>
      </c>
      <c r="L10" s="277" t="str">
        <f>IF(AND(KB_Lunge!Q43="",$A10&lt;&gt;"I.O."),"-----",IF($A10="I.O.","",KB_Lunge!Q43))</f>
        <v>-----</v>
      </c>
      <c r="M10" s="277" t="str">
        <f>IF(AND(KB_Lunge!R43="",$A10&lt;&gt;"I.O."),"-----",IF($A10="I.O.","",KB_Lunge!R43))</f>
        <v>-----</v>
      </c>
      <c r="O10" s="136">
        <f t="array" aca="1" ref="O10" ca="1">IF(ROW()-ROW($D$2:$D$30)+1&gt;ROWS($C$2:$C$30)-COUNTBLANK($C$2:$C$30),"",INDIRECT(ADDRESS(SMALL((IF($C$2:$C$30&lt;&gt;"",ROW($C$2:$C$30),ROW()+ROWS($C$2:$C$30))),ROW()-ROW($D$2:$D$30)+1),COLUMN($C$2:$C$30),4)))</f>
        <v>9</v>
      </c>
      <c r="P10" s="276" t="str">
        <f t="array" aca="1" ref="P10" ca="1">IF(ROW()-ROW($E$2:$E$30)+1&gt;ROWS($D$2:$D$30)-COUNTBLANK($D$2:$D$30),"",INDIRECT(ADDRESS(SMALL((IF($D$2:$D$30&gt;"",ROW($D$2:$D$30),ROW()+ROWS($D$2:$D$30))),ROW()-ROW($E$2:$E$30)+1),COLUMN($D$2:$D$30),4)))</f>
        <v xml:space="preserve">Interventionelle bronchoskopische Eingriffe bei Tumorverschluss oder Stenosen </v>
      </c>
      <c r="Q10" s="197" t="str">
        <f t="array" aca="1" ref="Q10" ca="1">IF(ROW()-ROW($F$2:$F$30)+1&gt;ROWS($E$2:$E$30)-COUNTBLANK($E$2:$E$30),"",INDIRECT(ADDRESS(SMALL((IF($E$2:$E$30&gt;"",ROW($E$2:$E$30),ROW()+ROWS($E$2:$E$30))),ROW()-ROW($F$2:$F$30)+1),COLUMN($E$2:$E$30),4)))</f>
        <v>-----</v>
      </c>
      <c r="R10" s="197" t="str">
        <f t="array" aca="1" ref="R10" ca="1">IF(ROW()-ROW($G$2:$G$30)+1&gt;ROWS($F$2:$F$30)-COUNTBLANK($F$2:$F$30),"",INDIRECT(ADDRESS(SMALL((IF($F$2:$F$30&gt;"",ROW($F$2:$F$30),ROW()+ROWS($F$2:$F$30))),ROW()-ROW($G$2:$G$30)+1),COLUMN($F$2:$F$30),4)))</f>
        <v>≥ 10</v>
      </c>
      <c r="S10" s="197" t="str">
        <f t="array" aca="1" ref="S10" ca="1">IF(ROW()-ROW($H$2:$H$30)+1&gt;ROWS($G$2:$G$30)-COUNTBLANK($G$2:$G$30),"",INDIRECT(ADDRESS(SMALL((IF($G$2:$G$30&lt;&gt;"",ROW($G$2:$G$30),ROW()+ROWS($G$2:$G$30))),ROW()-ROW($H$2:$H$30)+1),COLUMN($G$2:$G$30),4)))</f>
        <v>-----</v>
      </c>
      <c r="T10" s="136">
        <f t="array" aca="1" ref="T10" ca="1">IF(ROW()-ROW($I$2:$I$30)+1&gt;ROWS($H$2:$H$30)-COUNTBLANK($H$2:$H$30),"",INDIRECT(ADDRESS(SMALL((IF($H$2:$H$30&lt;&gt;"",ROW($H$2:$H$30),ROW()+ROWS($H$2:$H$30))),ROW()-ROW($I$2:$I$30)+1),COLUMN($H$2:$H$30),4)))</f>
        <v>0</v>
      </c>
      <c r="U10" s="136" t="str">
        <f t="array" aca="1" ref="U10" ca="1">IF(ROW()-ROW($J$2:$J$30)+1&gt;ROWS($I$2:$I$30)-COUNTBLANK($I$2:$I$30),"",INDIRECT(ADDRESS(SMALL((IF($I$2:$I$30&lt;&gt;"",ROW($I$2:$I$30),ROW()+ROWS($I$2:$I$30))),ROW()-ROW($J$2:$J$30)+1),COLUMN($I$2:$I$30),4)))</f>
        <v>-----</v>
      </c>
      <c r="V10" s="136" t="str">
        <f t="array" aca="1" ref="V10" ca="1">IF(ROW()-ROW($K$2:$K$30)+1&gt;ROWS($J$2:$J$30)-COUNTBLANK($J$2:$J$30),"",INDIRECT(ADDRESS(SMALL((IF($J$2:$J$30&lt;&gt;"",ROW($J$2:$J$30),ROW()+ROWS($J$2:$J$30))),ROW()-ROW($K$2:$K$30)+1),COLUMN($J$2:$J$30),4)))</f>
        <v>-----</v>
      </c>
      <c r="W10" s="136" t="str">
        <f t="array" aca="1" ref="W10" ca="1">IF(ROW()-ROW($L$2:$L$30)+1&gt;ROWS($K$2:$K$30)-COUNTBLANK($K$2:$K$30),"",INDIRECT(ADDRESS(SMALL((IF($K$2:$K$30&lt;&gt;"",ROW($K$2:$K$30),ROW()+ROWS($K$2:$K$30))),ROW()-ROW($L$2:$L$30)+1),COLUMN($K$2:$K$30),4)))</f>
        <v>Unvollständig</v>
      </c>
      <c r="X10" s="158" t="str">
        <f t="array" aca="1" ref="X10" ca="1">IF(ROW()-ROW($M$2:$M$30)+1&gt;ROWS($L$2:$L$30)-COUNTBLANK($L$2:$L$30),"",INDIRECT(ADDRESS(SMALL((IF($L$2:$L$30&lt;&gt;"",ROW($L$2:$L$30),ROW()+ROWS($L$2:$L$30))),ROW()-ROW($M$2:$M$30)+1),COLUMN($L$2:$L$30),4)))</f>
        <v>-----</v>
      </c>
      <c r="Y10" s="158" t="str">
        <f t="array" aca="1" ref="Y10" ca="1">IF(ROW()-ROW($N$2:$N$30)+1&gt;ROWS($M$2:$M$30)-COUNTBLANK($M$2:$M$30),"",INDIRECT(ADDRESS(SMALL((IF($M$2:$M$30&lt;&gt;"",ROW($M$2:$M$30),ROW()+ROWS($M$2:$M$30))),ROW()-ROW($N$2:$N$30)+1),COLUMN($M$2:$M$30),4)))</f>
        <v>-----</v>
      </c>
    </row>
    <row r="11" spans="1:25" s="234" customFormat="1" ht="60" customHeight="1" x14ac:dyDescent="0.25">
      <c r="A11" s="158" t="str">
        <f>IF(KB_Lunge!P49=0,"",KB_Lunge!P49)</f>
        <v>Unvollständig</v>
      </c>
      <c r="B11" s="159"/>
      <c r="C11" s="30" t="str">
        <f>IF($A11="I.O.","",KB_Lunge!A49)</f>
        <v>11a</v>
      </c>
      <c r="D11" s="277" t="str">
        <f>IF($A11="I.O.","",KB_Lunge!C49)</f>
        <v>Lungenresektionen</v>
      </c>
      <c r="E11" s="273" t="str">
        <f>IF(AND(KB_Lunge!J49="",$A11&lt;&gt;"I.O."),"-----",IF($A11="I.O.","",KB_Lunge!J49))</f>
        <v>-----</v>
      </c>
      <c r="F11" s="30" t="str">
        <f>IF($A11="I.O.","",KB_Lunge!K49)</f>
        <v>Derzeit keine Vorgaben</v>
      </c>
      <c r="G11" s="273" t="str">
        <f>IF(AND(KB_Lunge!M49="",$A11&lt;&gt;"I.O."),"-----",IF($A11="I.O.","",KB_Lunge!M49))</f>
        <v>-----</v>
      </c>
      <c r="H11" s="275">
        <f>IF($A11="I.O.","",IF(KB_Lunge!O49="",0,KB_Lunge!O49))</f>
        <v>0</v>
      </c>
      <c r="I11" s="275" t="str">
        <f t="shared" si="1"/>
        <v>-----</v>
      </c>
      <c r="J11" s="269" t="str">
        <f t="shared" si="1"/>
        <v>-----</v>
      </c>
      <c r="K11" s="274" t="str">
        <f>IF($A11="I.O.","",KB_Lunge!P49)</f>
        <v>Unvollständig</v>
      </c>
      <c r="L11" s="277" t="str">
        <f>IF(AND(KB_Lunge!Q49="",$A11&lt;&gt;"I.O."),"-----",IF($A11="I.O.","",KB_Lunge!Q49))</f>
        <v>-----</v>
      </c>
      <c r="M11" s="277" t="str">
        <f>IF(AND(KB_Lunge!R49="",$A11&lt;&gt;"I.O."),"-----",IF($A11="I.O.","",KB_Lunge!R49))</f>
        <v>-----</v>
      </c>
      <c r="O11" s="136" t="str">
        <f t="array" aca="1" ref="O11" ca="1">IF(ROW()-ROW($D$2:$D$30)+1&gt;ROWS($C$2:$C$30)-COUNTBLANK($C$2:$C$30),"",INDIRECT(ADDRESS(SMALL((IF($C$2:$C$30&lt;&gt;"",ROW($C$2:$C$30),ROW()+ROWS($C$2:$C$30))),ROW()-ROW($D$2:$D$30)+1),COLUMN($C$2:$C$30),4)))</f>
        <v>11a</v>
      </c>
      <c r="P11" s="276" t="str">
        <f t="array" aca="1" ref="P11" ca="1">IF(ROW()-ROW($E$2:$E$30)+1&gt;ROWS($D$2:$D$30)-COUNTBLANK($D$2:$D$30),"",INDIRECT(ADDRESS(SMALL((IF($D$2:$D$30&gt;"",ROW($D$2:$D$30),ROW()+ROWS($D$2:$D$30))),ROW()-ROW($E$2:$E$30)+1),COLUMN($D$2:$D$30),4)))</f>
        <v>Lungenresektionen</v>
      </c>
      <c r="Q11" s="197" t="str">
        <f t="array" aca="1" ref="Q11" ca="1">IF(ROW()-ROW($F$2:$F$30)+1&gt;ROWS($E$2:$E$30)-COUNTBLANK($E$2:$E$30),"",INDIRECT(ADDRESS(SMALL((IF($E$2:$E$30&gt;"",ROW($E$2:$E$30),ROW()+ROWS($E$2:$E$30))),ROW()-ROW($F$2:$F$30)+1),COLUMN($E$2:$E$30),4)))</f>
        <v>-----</v>
      </c>
      <c r="R11" s="197" t="str">
        <f t="array" aca="1" ref="R11" ca="1">IF(ROW()-ROW($G$2:$G$30)+1&gt;ROWS($F$2:$F$30)-COUNTBLANK($F$2:$F$30),"",INDIRECT(ADDRESS(SMALL((IF($F$2:$F$30&gt;"",ROW($F$2:$F$30),ROW()+ROWS($F$2:$F$30))),ROW()-ROW($G$2:$G$30)+1),COLUMN($F$2:$F$30),4)))</f>
        <v>Derzeit keine Vorgaben</v>
      </c>
      <c r="S11" s="197" t="str">
        <f t="array" aca="1" ref="S11" ca="1">IF(ROW()-ROW($H$2:$H$30)+1&gt;ROWS($G$2:$G$30)-COUNTBLANK($G$2:$G$30),"",INDIRECT(ADDRESS(SMALL((IF($G$2:$G$30&lt;&gt;"",ROW($G$2:$G$30),ROW()+ROWS($G$2:$G$30))),ROW()-ROW($H$2:$H$30)+1),COLUMN($G$2:$G$30),4)))</f>
        <v>-----</v>
      </c>
      <c r="T11" s="136">
        <f t="array" aca="1" ref="T11" ca="1">IF(ROW()-ROW($I$2:$I$30)+1&gt;ROWS($H$2:$H$30)-COUNTBLANK($H$2:$H$30),"",INDIRECT(ADDRESS(SMALL((IF($H$2:$H$30&lt;&gt;"",ROW($H$2:$H$30),ROW()+ROWS($H$2:$H$30))),ROW()-ROW($I$2:$I$30)+1),COLUMN($H$2:$H$30),4)))</f>
        <v>0</v>
      </c>
      <c r="U11" s="136" t="str">
        <f t="array" aca="1" ref="U11" ca="1">IF(ROW()-ROW($J$2:$J$30)+1&gt;ROWS($I$2:$I$30)-COUNTBLANK($I$2:$I$30),"",INDIRECT(ADDRESS(SMALL((IF($I$2:$I$30&lt;&gt;"",ROW($I$2:$I$30),ROW()+ROWS($I$2:$I$30))),ROW()-ROW($J$2:$J$30)+1),COLUMN($I$2:$I$30),4)))</f>
        <v>-----</v>
      </c>
      <c r="V11" s="136" t="str">
        <f t="array" aca="1" ref="V11" ca="1">IF(ROW()-ROW($K$2:$K$30)+1&gt;ROWS($J$2:$J$30)-COUNTBLANK($J$2:$J$30),"",INDIRECT(ADDRESS(SMALL((IF($J$2:$J$30&lt;&gt;"",ROW($J$2:$J$30),ROW()+ROWS($J$2:$J$30))),ROW()-ROW($K$2:$K$30)+1),COLUMN($J$2:$J$30),4)))</f>
        <v>-----</v>
      </c>
      <c r="W11" s="136" t="str">
        <f t="array" aca="1" ref="W11" ca="1">IF(ROW()-ROW($L$2:$L$30)+1&gt;ROWS($K$2:$K$30)-COUNTBLANK($K$2:$K$30),"",INDIRECT(ADDRESS(SMALL((IF($K$2:$K$30&lt;&gt;"",ROW($K$2:$K$30),ROW()+ROWS($K$2:$K$30))),ROW()-ROW($L$2:$L$30)+1),COLUMN($K$2:$K$30),4)))</f>
        <v>Unvollständig</v>
      </c>
      <c r="X11" s="158" t="str">
        <f t="array" aca="1" ref="X11" ca="1">IF(ROW()-ROW($M$2:$M$30)+1&gt;ROWS($L$2:$L$30)-COUNTBLANK($L$2:$L$30),"",INDIRECT(ADDRESS(SMALL((IF($L$2:$L$30&lt;&gt;"",ROW($L$2:$L$30),ROW()+ROWS($L$2:$L$30))),ROW()-ROW($M$2:$M$30)+1),COLUMN($L$2:$L$30),4)))</f>
        <v>-----</v>
      </c>
      <c r="Y11" s="158" t="str">
        <f t="array" aca="1" ref="Y11" ca="1">IF(ROW()-ROW($N$2:$N$30)+1&gt;ROWS($M$2:$M$30)-COUNTBLANK($M$2:$M$30),"",INDIRECT(ADDRESS(SMALL((IF($M$2:$M$30&lt;&gt;"",ROW($M$2:$M$30),ROW()+ROWS($M$2:$M$30))),ROW()-ROW($N$2:$N$30)+1),COLUMN($M$2:$M$30),4)))</f>
        <v>-----</v>
      </c>
    </row>
    <row r="12" spans="1:25" s="234" customFormat="1" ht="60" customHeight="1" x14ac:dyDescent="0.25">
      <c r="A12" s="158" t="str">
        <f>IF(KB_Lunge!P52=0,"",KB_Lunge!P52)</f>
        <v>Unvollständig</v>
      </c>
      <c r="B12" s="159"/>
      <c r="C12" s="30" t="str">
        <f>IF($A12="I.O.","",KB_Lunge!A52)</f>
        <v>11b</v>
      </c>
      <c r="D12" s="277" t="str">
        <f>IF($A12="I.O.","",KB_Lunge!C49)</f>
        <v>Lungenresektionen</v>
      </c>
      <c r="E12" s="273" t="str">
        <f>IF(AND(KB_Lunge!J52="",$A12&lt;&gt;"I.O."),"-----",IF($A12="I.O.","",KB_Lunge!J52))</f>
        <v>-----</v>
      </c>
      <c r="F12" s="30" t="str">
        <f>IF($A12="I.O.","",KB_Lunge!K52)</f>
        <v>≥ 75</v>
      </c>
      <c r="G12" s="273" t="str">
        <f>IF(AND(KB_Lunge!M52="",$A12&lt;&gt;"I.O."),"-----",IF($A12="I.O.","",KB_Lunge!M52))</f>
        <v>-----</v>
      </c>
      <c r="H12" s="275">
        <f>IF($A12="I.O.","",IF(KB_Lunge!O52="",0,KB_Lunge!O52))</f>
        <v>0</v>
      </c>
      <c r="I12" s="275" t="str">
        <f t="shared" si="1"/>
        <v>-----</v>
      </c>
      <c r="J12" s="269" t="str">
        <f t="shared" si="1"/>
        <v>-----</v>
      </c>
      <c r="K12" s="274" t="str">
        <f>IF($A12="I.O.","",KB_Lunge!P52)</f>
        <v>Unvollständig</v>
      </c>
      <c r="L12" s="277" t="str">
        <f>IF(AND(KB_Lunge!Q52="",$A12&lt;&gt;"I.O."),"-----",IF($A12="I.O.","",KB_Lunge!Q52))</f>
        <v>-----</v>
      </c>
      <c r="M12" s="277" t="str">
        <f>IF(AND(KB_Lunge!R52="",$A12&lt;&gt;"I.O."),"-----",IF($A12="I.O.","",KB_Lunge!R52))</f>
        <v>-----</v>
      </c>
      <c r="O12" s="136" t="str">
        <f t="array" aca="1" ref="O12" ca="1">IF(ROW()-ROW($D$2:$D$30)+1&gt;ROWS($C$2:$C$30)-COUNTBLANK($C$2:$C$30),"",INDIRECT(ADDRESS(SMALL((IF($C$2:$C$30&lt;&gt;"",ROW($C$2:$C$30),ROW()+ROWS($C$2:$C$30))),ROW()-ROW($D$2:$D$30)+1),COLUMN($C$2:$C$30),4)))</f>
        <v>11b</v>
      </c>
      <c r="P12" s="276" t="str">
        <f t="array" aca="1" ref="P12" ca="1">IF(ROW()-ROW($E$2:$E$30)+1&gt;ROWS($D$2:$D$30)-COUNTBLANK($D$2:$D$30),"",INDIRECT(ADDRESS(SMALL((IF($D$2:$D$30&gt;"",ROW($D$2:$D$30),ROW()+ROWS($D$2:$D$30))),ROW()-ROW($E$2:$E$30)+1),COLUMN($D$2:$D$30),4)))</f>
        <v>Lungenresektionen</v>
      </c>
      <c r="Q12" s="197" t="str">
        <f t="array" aca="1" ref="Q12" ca="1">IF(ROW()-ROW($F$2:$F$30)+1&gt;ROWS($E$2:$E$30)-COUNTBLANK($E$2:$E$30),"",INDIRECT(ADDRESS(SMALL((IF($E$2:$E$30&gt;"",ROW($E$2:$E$30),ROW()+ROWS($E$2:$E$30))),ROW()-ROW($F$2:$F$30)+1),COLUMN($E$2:$E$30),4)))</f>
        <v>-----</v>
      </c>
      <c r="R12" s="197" t="str">
        <f t="array" aca="1" ref="R12" ca="1">IF(ROW()-ROW($G$2:$G$30)+1&gt;ROWS($F$2:$F$30)-COUNTBLANK($F$2:$F$30),"",INDIRECT(ADDRESS(SMALL((IF($F$2:$F$30&gt;"",ROW($F$2:$F$30),ROW()+ROWS($F$2:$F$30))),ROW()-ROW($G$2:$G$30)+1),COLUMN($F$2:$F$30),4)))</f>
        <v>≥ 75</v>
      </c>
      <c r="S12" s="197" t="str">
        <f t="array" aca="1" ref="S12" ca="1">IF(ROW()-ROW($H$2:$H$30)+1&gt;ROWS($G$2:$G$30)-COUNTBLANK($G$2:$G$30),"",INDIRECT(ADDRESS(SMALL((IF($G$2:$G$30&lt;&gt;"",ROW($G$2:$G$30),ROW()+ROWS($G$2:$G$30))),ROW()-ROW($H$2:$H$30)+1),COLUMN($G$2:$G$30),4)))</f>
        <v>-----</v>
      </c>
      <c r="T12" s="136">
        <f t="array" aca="1" ref="T12" ca="1">IF(ROW()-ROW($I$2:$I$30)+1&gt;ROWS($H$2:$H$30)-COUNTBLANK($H$2:$H$30),"",INDIRECT(ADDRESS(SMALL((IF($H$2:$H$30&lt;&gt;"",ROW($H$2:$H$30),ROW()+ROWS($H$2:$H$30))),ROW()-ROW($I$2:$I$30)+1),COLUMN($H$2:$H$30),4)))</f>
        <v>0</v>
      </c>
      <c r="U12" s="136" t="str">
        <f t="array" aca="1" ref="U12" ca="1">IF(ROW()-ROW($J$2:$J$30)+1&gt;ROWS($I$2:$I$30)-COUNTBLANK($I$2:$I$30),"",INDIRECT(ADDRESS(SMALL((IF($I$2:$I$30&lt;&gt;"",ROW($I$2:$I$30),ROW()+ROWS($I$2:$I$30))),ROW()-ROW($J$2:$J$30)+1),COLUMN($I$2:$I$30),4)))</f>
        <v>-----</v>
      </c>
      <c r="V12" s="136" t="str">
        <f t="array" aca="1" ref="V12" ca="1">IF(ROW()-ROW($K$2:$K$30)+1&gt;ROWS($J$2:$J$30)-COUNTBLANK($J$2:$J$30),"",INDIRECT(ADDRESS(SMALL((IF($J$2:$J$30&lt;&gt;"",ROW($J$2:$J$30),ROW()+ROWS($J$2:$J$30))),ROW()-ROW($K$2:$K$30)+1),COLUMN($J$2:$J$30),4)))</f>
        <v>-----</v>
      </c>
      <c r="W12" s="136" t="str">
        <f t="array" aca="1" ref="W12" ca="1">IF(ROW()-ROW($L$2:$L$30)+1&gt;ROWS($K$2:$K$30)-COUNTBLANK($K$2:$K$30),"",INDIRECT(ADDRESS(SMALL((IF($K$2:$K$30&lt;&gt;"",ROW($K$2:$K$30),ROW()+ROWS($K$2:$K$30))),ROW()-ROW($L$2:$L$30)+1),COLUMN($K$2:$K$30),4)))</f>
        <v>Unvollständig</v>
      </c>
      <c r="X12" s="158" t="str">
        <f t="array" aca="1" ref="X12" ca="1">IF(ROW()-ROW($M$2:$M$30)+1&gt;ROWS($L$2:$L$30)-COUNTBLANK($L$2:$L$30),"",INDIRECT(ADDRESS(SMALL((IF($L$2:$L$30&lt;&gt;"",ROW($L$2:$L$30),ROW()+ROWS($L$2:$L$30))),ROW()-ROW($M$2:$M$30)+1),COLUMN($L$2:$L$30),4)))</f>
        <v>-----</v>
      </c>
      <c r="Y12" s="158" t="str">
        <f t="array" aca="1" ref="Y12" ca="1">IF(ROW()-ROW($N$2:$N$30)+1&gt;ROWS($M$2:$M$30)-COUNTBLANK($M$2:$M$30),"",INDIRECT(ADDRESS(SMALL((IF($M$2:$M$30&lt;&gt;"",ROW($M$2:$M$30),ROW()+ROWS($M$2:$M$30))),ROW()-ROW($N$2:$N$30)+1),COLUMN($M$2:$M$30),4)))</f>
        <v>-----</v>
      </c>
    </row>
    <row r="13" spans="1:25" ht="60" customHeight="1" x14ac:dyDescent="0.25">
      <c r="A13" s="158" t="str">
        <f>IF(KB_Lunge!P55=0,"",KB_Lunge!P55)</f>
        <v>Unvollständig</v>
      </c>
      <c r="C13" s="30">
        <f>IF($A13="I.O.","",KB_Lunge!A55)</f>
        <v>12</v>
      </c>
      <c r="D13" s="277" t="str">
        <f>IF($A13="I.O.","",KB_Lunge!C55)</f>
        <v>Verhältnis Broncho-/Angioplastischen Operationen zu Pneumonektomien</v>
      </c>
      <c r="E13" s="273" t="str">
        <f>IF(AND(KB_Lunge!J55="",$A13&lt;&gt;"I.O."),"-----",IF($A13="I.O.","",KB_Lunge!J55))</f>
        <v>&lt; 50%</v>
      </c>
      <c r="F13" s="30" t="str">
        <f>IF($A13="I.O.","",KB_Lunge!K55)</f>
        <v>Derzeit keine Vorgaben</v>
      </c>
      <c r="G13" s="273" t="str">
        <f>IF(AND(KB_Lunge!M55="",$A13&lt;&gt;"I.O."),"-----",IF($A13="I.O.","",KB_Lunge!M55))</f>
        <v>-----</v>
      </c>
      <c r="H13" s="275" t="str">
        <f>IF($A13="I.O.","",IF(KB_Lunge!O55="","-----",KB_Lunge!O55))</f>
        <v>-----</v>
      </c>
      <c r="I13" s="275" t="str">
        <f>IF($A13="I.O.","",IF(KB_Lunge!O56="","-----",KB_Lunge!O56))</f>
        <v>-----</v>
      </c>
      <c r="J13" s="269" t="str">
        <f>IF($A13="I.O.","",IF(KB_Lunge!O57="",0,KB_Lunge!O57))</f>
        <v>n.d.</v>
      </c>
      <c r="K13" s="274" t="str">
        <f>IF($A13="I.O.","",KB_Lunge!P55)</f>
        <v>Unvollständig</v>
      </c>
      <c r="L13" s="277" t="str">
        <f>IF(AND(KB_Lunge!Q55="",$A13&lt;&gt;"I.O."),"-----",IF($A13="I.O.","",KB_Lunge!Q55))</f>
        <v>-----</v>
      </c>
      <c r="M13" s="277" t="str">
        <f>IF(AND(KB_Lunge!R55="",$A13&lt;&gt;"I.O."),"-----",IF($A13="I.O.","",KB_Lunge!R55))</f>
        <v>-----</v>
      </c>
      <c r="O13" s="136">
        <f t="array" aca="1" ref="O13" ca="1">IF(ROW()-ROW($D$2:$D$30)+1&gt;ROWS($C$2:$C$30)-COUNTBLANK($C$2:$C$30),"",INDIRECT(ADDRESS(SMALL((IF($C$2:$C$30&lt;&gt;"",ROW($C$2:$C$30),ROW()+ROWS($C$2:$C$30))),ROW()-ROW($D$2:$D$30)+1),COLUMN($C$2:$C$30),4)))</f>
        <v>12</v>
      </c>
      <c r="P13" s="276" t="str">
        <f t="array" aca="1" ref="P13" ca="1">IF(ROW()-ROW($E$2:$E$30)+1&gt;ROWS($D$2:$D$30)-COUNTBLANK($D$2:$D$30),"",INDIRECT(ADDRESS(SMALL((IF($D$2:$D$30&gt;"",ROW($D$2:$D$30),ROW()+ROWS($D$2:$D$30))),ROW()-ROW($E$2:$E$30)+1),COLUMN($D$2:$D$30),4)))</f>
        <v>Verhältnis Broncho-/Angioplastischen Operationen zu Pneumonektomien</v>
      </c>
      <c r="Q13" s="197" t="str">
        <f t="array" aca="1" ref="Q13" ca="1">IF(ROW()-ROW($F$2:$F$30)+1&gt;ROWS($E$2:$E$30)-COUNTBLANK($E$2:$E$30),"",INDIRECT(ADDRESS(SMALL((IF($E$2:$E$30&gt;"",ROW($E$2:$E$30),ROW()+ROWS($E$2:$E$30))),ROW()-ROW($F$2:$F$30)+1),COLUMN($E$2:$E$30),4)))</f>
        <v>&lt; 50%</v>
      </c>
      <c r="R13" s="197" t="str">
        <f t="array" aca="1" ref="R13" ca="1">IF(ROW()-ROW($G$2:$G$30)+1&gt;ROWS($F$2:$F$30)-COUNTBLANK($F$2:$F$30),"",INDIRECT(ADDRESS(SMALL((IF($F$2:$F$30&gt;"",ROW($F$2:$F$30),ROW()+ROWS($F$2:$F$30))),ROW()-ROW($G$2:$G$30)+1),COLUMN($F$2:$F$30),4)))</f>
        <v>Derzeit keine Vorgaben</v>
      </c>
      <c r="S13" s="197" t="str">
        <f t="array" aca="1" ref="S13" ca="1">IF(ROW()-ROW($H$2:$H$30)+1&gt;ROWS($G$2:$G$30)-COUNTBLANK($G$2:$G$30),"",INDIRECT(ADDRESS(SMALL((IF($G$2:$G$30&lt;&gt;"",ROW($G$2:$G$30),ROW()+ROWS($G$2:$G$30))),ROW()-ROW($H$2:$H$30)+1),COLUMN($G$2:$G$30),4)))</f>
        <v>-----</v>
      </c>
      <c r="T13" s="136" t="str">
        <f t="array" aca="1" ref="T13" ca="1">IF(ROW()-ROW($I$2:$I$30)+1&gt;ROWS($H$2:$H$30)-COUNTBLANK($H$2:$H$30),"",INDIRECT(ADDRESS(SMALL((IF($H$2:$H$30&lt;&gt;"",ROW($H$2:$H$30),ROW()+ROWS($H$2:$H$30))),ROW()-ROW($I$2:$I$30)+1),COLUMN($H$2:$H$30),4)))</f>
        <v>-----</v>
      </c>
      <c r="U13" s="136" t="str">
        <f t="array" aca="1" ref="U13" ca="1">IF(ROW()-ROW($J$2:$J$30)+1&gt;ROWS($I$2:$I$30)-COUNTBLANK($I$2:$I$30),"",INDIRECT(ADDRESS(SMALL((IF($I$2:$I$30&lt;&gt;"",ROW($I$2:$I$30),ROW()+ROWS($I$2:$I$30))),ROW()-ROW($J$2:$J$30)+1),COLUMN($I$2:$I$30),4)))</f>
        <v>-----</v>
      </c>
      <c r="V13" s="136" t="str">
        <f t="array" aca="1" ref="V13" ca="1">IF(ROW()-ROW($K$2:$K$30)+1&gt;ROWS($J$2:$J$30)-COUNTBLANK($J$2:$J$30),"",INDIRECT(ADDRESS(SMALL((IF($J$2:$J$30&lt;&gt;"",ROW($J$2:$J$30),ROW()+ROWS($J$2:$J$30))),ROW()-ROW($K$2:$K$30)+1),COLUMN($J$2:$J$30),4)))</f>
        <v>n.d.</v>
      </c>
      <c r="W13" s="136" t="str">
        <f t="array" aca="1" ref="W13" ca="1">IF(ROW()-ROW($L$2:$L$30)+1&gt;ROWS($K$2:$K$30)-COUNTBLANK($K$2:$K$30),"",INDIRECT(ADDRESS(SMALL((IF($K$2:$K$30&lt;&gt;"",ROW($K$2:$K$30),ROW()+ROWS($K$2:$K$30))),ROW()-ROW($L$2:$L$30)+1),COLUMN($K$2:$K$30),4)))</f>
        <v>Unvollständig</v>
      </c>
      <c r="X13" s="158" t="str">
        <f t="array" aca="1" ref="X13" ca="1">IF(ROW()-ROW($M$2:$M$30)+1&gt;ROWS($L$2:$L$30)-COUNTBLANK($L$2:$L$30),"",INDIRECT(ADDRESS(SMALL((IF($L$2:$L$30&lt;&gt;"",ROW($L$2:$L$30),ROW()+ROWS($L$2:$L$30))),ROW()-ROW($M$2:$M$30)+1),COLUMN($L$2:$L$30),4)))</f>
        <v>-----</v>
      </c>
      <c r="Y13" s="158" t="str">
        <f t="array" aca="1" ref="Y13" ca="1">IF(ROW()-ROW($N$2:$N$30)+1&gt;ROWS($M$2:$M$30)-COUNTBLANK($M$2:$M$30),"",INDIRECT(ADDRESS(SMALL((IF($M$2:$M$30&lt;&gt;"",ROW($M$2:$M$30),ROW()+ROWS($M$2:$M$30))),ROW()-ROW($N$2:$N$30)+1),COLUMN($M$2:$M$30),4)))</f>
        <v>-----</v>
      </c>
    </row>
    <row r="14" spans="1:25" s="234" customFormat="1" ht="60" customHeight="1" x14ac:dyDescent="0.25">
      <c r="A14" s="158" t="str">
        <f>IF(KB_Lunge!P58=0,"",KB_Lunge!P58)</f>
        <v>Unvollständig</v>
      </c>
      <c r="B14" s="159"/>
      <c r="C14" s="30">
        <f>IF($A14="I.O.","",KB_Lunge!A58)</f>
        <v>13</v>
      </c>
      <c r="D14" s="277" t="str">
        <f>IF($A14="I.O.","",KB_Lunge!C58)</f>
        <v>Videothorakoskopische (VATS) und Roboter-assistierte (RATS) anatomische Resektionen</v>
      </c>
      <c r="E14" s="273" t="str">
        <f>IF(AND(KB_Lunge!J58="",$A14&lt;&gt;"I.O."),"-----",IF($A14="I.O.","",KB_Lunge!J58))</f>
        <v>-----</v>
      </c>
      <c r="F14" s="30" t="str">
        <f>IF($A14="I.O.","",KB_Lunge!K58)</f>
        <v>Derzeit keine Vorgaben</v>
      </c>
      <c r="G14" s="273" t="str">
        <f>IF(AND(KB_Lunge!M58="",$A14&lt;&gt;"I.O."),"-----",IF($A14="I.O.","",KB_Lunge!M58))</f>
        <v>-----</v>
      </c>
      <c r="H14" s="275" t="str">
        <f>IF($A14="I.O.","",IF(KB_Lunge!O58="","-----",KB_Lunge!O58))</f>
        <v>-----</v>
      </c>
      <c r="I14" s="275">
        <f>IF($A14="I.O.","",IF(KB_Lunge!O59="","-----",KB_Lunge!O59))</f>
        <v>0</v>
      </c>
      <c r="J14" s="269" t="str">
        <f>IF($A14="I.O.","",IF(KB_Lunge!O60="",0,KB_Lunge!O60))</f>
        <v>n.d.</v>
      </c>
      <c r="K14" s="274" t="str">
        <f>IF($A14="I.O.","",KB_Lunge!P58)</f>
        <v>Unvollständig</v>
      </c>
      <c r="L14" s="277" t="str">
        <f>IF(AND(KB_Lunge!Q58="",$A14&lt;&gt;"I.O."),"-----",IF($A14="I.O.","",KB_Lunge!Q58))</f>
        <v>-----</v>
      </c>
      <c r="M14" s="277" t="str">
        <f>IF(AND(KB_Lunge!R58="",$A14&lt;&gt;"I.O."),"-----",IF($A14="I.O.","",KB_Lunge!R58))</f>
        <v>-----</v>
      </c>
      <c r="O14" s="136">
        <f t="array" aca="1" ref="O14" ca="1">IF(ROW()-ROW($D$2:$D$30)+1&gt;ROWS($C$2:$C$30)-COUNTBLANK($C$2:$C$30),"",INDIRECT(ADDRESS(SMALL((IF($C$2:$C$30&lt;&gt;"",ROW($C$2:$C$30),ROW()+ROWS($C$2:$C$30))),ROW()-ROW($D$2:$D$30)+1),COLUMN($C$2:$C$30),4)))</f>
        <v>13</v>
      </c>
      <c r="P14" s="276" t="str">
        <f t="array" aca="1" ref="P14" ca="1">IF(ROW()-ROW($E$2:$E$30)+1&gt;ROWS($D$2:$D$30)-COUNTBLANK($D$2:$D$30),"",INDIRECT(ADDRESS(SMALL((IF($D$2:$D$30&gt;"",ROW($D$2:$D$30),ROW()+ROWS($D$2:$D$30))),ROW()-ROW($E$2:$E$30)+1),COLUMN($D$2:$D$30),4)))</f>
        <v>Videothorakoskopische (VATS) und Roboter-assistierte (RATS) anatomische Resektionen</v>
      </c>
      <c r="Q14" s="197" t="str">
        <f t="array" aca="1" ref="Q14" ca="1">IF(ROW()-ROW($F$2:$F$30)+1&gt;ROWS($E$2:$E$30)-COUNTBLANK($E$2:$E$30),"",INDIRECT(ADDRESS(SMALL((IF($E$2:$E$30&gt;"",ROW($E$2:$E$30),ROW()+ROWS($E$2:$E$30))),ROW()-ROW($F$2:$F$30)+1),COLUMN($E$2:$E$30),4)))</f>
        <v>-----</v>
      </c>
      <c r="R14" s="197" t="str">
        <f t="array" aca="1" ref="R14" ca="1">IF(ROW()-ROW($G$2:$G$30)+1&gt;ROWS($F$2:$F$30)-COUNTBLANK($F$2:$F$30),"",INDIRECT(ADDRESS(SMALL((IF($F$2:$F$30&gt;"",ROW($F$2:$F$30),ROW()+ROWS($F$2:$F$30))),ROW()-ROW($G$2:$G$30)+1),COLUMN($F$2:$F$30),4)))</f>
        <v>Derzeit keine Vorgaben</v>
      </c>
      <c r="S14" s="197" t="str">
        <f t="array" aca="1" ref="S14" ca="1">IF(ROW()-ROW($H$2:$H$30)+1&gt;ROWS($G$2:$G$30)-COUNTBLANK($G$2:$G$30),"",INDIRECT(ADDRESS(SMALL((IF($G$2:$G$30&lt;&gt;"",ROW($G$2:$G$30),ROW()+ROWS($G$2:$G$30))),ROW()-ROW($H$2:$H$30)+1),COLUMN($G$2:$G$30),4)))</f>
        <v>-----</v>
      </c>
      <c r="T14" s="136" t="str">
        <f t="array" aca="1" ref="T14" ca="1">IF(ROW()-ROW($I$2:$I$30)+1&gt;ROWS($H$2:$H$30)-COUNTBLANK($H$2:$H$30),"",INDIRECT(ADDRESS(SMALL((IF($H$2:$H$30&lt;&gt;"",ROW($H$2:$H$30),ROW()+ROWS($H$2:$H$30))),ROW()-ROW($I$2:$I$30)+1),COLUMN($H$2:$H$30),4)))</f>
        <v>-----</v>
      </c>
      <c r="U14" s="136">
        <f t="array" aca="1" ref="U14" ca="1">IF(ROW()-ROW($J$2:$J$30)+1&gt;ROWS($I$2:$I$30)-COUNTBLANK($I$2:$I$30),"",INDIRECT(ADDRESS(SMALL((IF($I$2:$I$30&lt;&gt;"",ROW($I$2:$I$30),ROW()+ROWS($I$2:$I$30))),ROW()-ROW($J$2:$J$30)+1),COLUMN($I$2:$I$30),4)))</f>
        <v>0</v>
      </c>
      <c r="V14" s="136" t="str">
        <f t="array" aca="1" ref="V14" ca="1">IF(ROW()-ROW($K$2:$K$30)+1&gt;ROWS($J$2:$J$30)-COUNTBLANK($J$2:$J$30),"",INDIRECT(ADDRESS(SMALL((IF($J$2:$J$30&lt;&gt;"",ROW($J$2:$J$30),ROW()+ROWS($J$2:$J$30))),ROW()-ROW($K$2:$K$30)+1),COLUMN($J$2:$J$30),4)))</f>
        <v>n.d.</v>
      </c>
      <c r="W14" s="136" t="str">
        <f t="array" aca="1" ref="W14" ca="1">IF(ROW()-ROW($L$2:$L$30)+1&gt;ROWS($K$2:$K$30)-COUNTBLANK($K$2:$K$30),"",INDIRECT(ADDRESS(SMALL((IF($K$2:$K$30&lt;&gt;"",ROW($K$2:$K$30),ROW()+ROWS($K$2:$K$30))),ROW()-ROW($L$2:$L$30)+1),COLUMN($K$2:$K$30),4)))</f>
        <v>Unvollständig</v>
      </c>
      <c r="X14" s="158" t="str">
        <f t="array" aca="1" ref="X14" ca="1">IF(ROW()-ROW($M$2:$M$30)+1&gt;ROWS($L$2:$L$30)-COUNTBLANK($L$2:$L$30),"",INDIRECT(ADDRESS(SMALL((IF($L$2:$L$30&lt;&gt;"",ROW($L$2:$L$30),ROW()+ROWS($L$2:$L$30))),ROW()-ROW($M$2:$M$30)+1),COLUMN($L$2:$L$30),4)))</f>
        <v>-----</v>
      </c>
      <c r="Y14" s="158" t="str">
        <f t="array" aca="1" ref="Y14" ca="1">IF(ROW()-ROW($N$2:$N$30)+1&gt;ROWS($M$2:$M$30)-COUNTBLANK($M$2:$M$30),"",INDIRECT(ADDRESS(SMALL((IF($M$2:$M$30&lt;&gt;"",ROW($M$2:$M$30),ROW()+ROWS($M$2:$M$30))),ROW()-ROW($N$2:$N$30)+1),COLUMN($M$2:$M$30),4)))</f>
        <v>-----</v>
      </c>
    </row>
    <row r="15" spans="1:25" ht="60" customHeight="1" x14ac:dyDescent="0.25">
      <c r="A15" s="158" t="str">
        <f>IF(KB_Lunge!P61=0,"",KB_Lunge!P61)</f>
        <v>Unvollständig</v>
      </c>
      <c r="C15" s="30">
        <f>IF($A15="I.O.","",KB_Lunge!A61)</f>
        <v>14</v>
      </c>
      <c r="D15" s="277" t="str">
        <f>IF($A15="I.O.","",KB_Lunge!C61)</f>
        <v>30d-Letalität nach Resektionen</v>
      </c>
      <c r="E15" s="273" t="str">
        <f>IF(AND(KB_Lunge!J61="",$A15&lt;&gt;"I.O."),"-----",IF($A15="I.O.","",KB_Lunge!J61))</f>
        <v>&lt; 0,01%</v>
      </c>
      <c r="F15" s="30" t="str">
        <f>IF($A15="I.O.","",KB_Lunge!K61)</f>
        <v>≤ 5%</v>
      </c>
      <c r="G15" s="273" t="str">
        <f>IF(AND(KB_Lunge!M61="",$A15&lt;&gt;"I.O."),"-----",IF($A15="I.O.","",KB_Lunge!M61))</f>
        <v>-----</v>
      </c>
      <c r="H15" s="275" t="str">
        <f>IF($A15="I.O.","",IF(KB_Lunge!O61="","-----",KB_Lunge!O61))</f>
        <v>-----</v>
      </c>
      <c r="I15" s="275">
        <f>IF($A15="I.O.","",IF(KB_Lunge!O62="","-----",KB_Lunge!O62))</f>
        <v>0</v>
      </c>
      <c r="J15" s="269" t="str">
        <f>IF($A15="I.O.","",IF(KB_Lunge!O63="",0,KB_Lunge!O63))</f>
        <v>n.d.</v>
      </c>
      <c r="K15" s="274" t="str">
        <f>IF($A15="I.O.","",KB_Lunge!P61)</f>
        <v>Unvollständig</v>
      </c>
      <c r="L15" s="277" t="str">
        <f>IF(AND(KB_Lunge!Q61="",$A15&lt;&gt;"I.O."),"-----",IF($A15="I.O.","",KB_Lunge!Q61))</f>
        <v>-----</v>
      </c>
      <c r="M15" s="277" t="str">
        <f>IF(AND(KB_Lunge!R61="",$A15&lt;&gt;"I.O."),"-----",IF($A15="I.O.","",KB_Lunge!R61))</f>
        <v>-----</v>
      </c>
      <c r="O15" s="136">
        <f t="array" aca="1" ref="O15" ca="1">IF(ROW()-ROW($D$2:$D$30)+1&gt;ROWS($C$2:$C$30)-COUNTBLANK($C$2:$C$30),"",INDIRECT(ADDRESS(SMALL((IF($C$2:$C$30&lt;&gt;"",ROW($C$2:$C$30),ROW()+ROWS($C$2:$C$30))),ROW()-ROW($D$2:$D$30)+1),COLUMN($C$2:$C$30),4)))</f>
        <v>14</v>
      </c>
      <c r="P15" s="276" t="str">
        <f t="array" aca="1" ref="P15" ca="1">IF(ROW()-ROW($E$2:$E$30)+1&gt;ROWS($D$2:$D$30)-COUNTBLANK($D$2:$D$30),"",INDIRECT(ADDRESS(SMALL((IF($D$2:$D$30&gt;"",ROW($D$2:$D$30),ROW()+ROWS($D$2:$D$30))),ROW()-ROW($E$2:$E$30)+1),COLUMN($D$2:$D$30),4)))</f>
        <v>30d-Letalität nach Resektionen</v>
      </c>
      <c r="Q15" s="197" t="str">
        <f t="array" aca="1" ref="Q15" ca="1">IF(ROW()-ROW($F$2:$F$30)+1&gt;ROWS($E$2:$E$30)-COUNTBLANK($E$2:$E$30),"",INDIRECT(ADDRESS(SMALL((IF($E$2:$E$30&gt;"",ROW($E$2:$E$30),ROW()+ROWS($E$2:$E$30))),ROW()-ROW($F$2:$F$30)+1),COLUMN($E$2:$E$30),4)))</f>
        <v>&lt; 0,01%</v>
      </c>
      <c r="R15" s="197" t="str">
        <f t="array" aca="1" ref="R15" ca="1">IF(ROW()-ROW($G$2:$G$30)+1&gt;ROWS($F$2:$F$30)-COUNTBLANK($F$2:$F$30),"",INDIRECT(ADDRESS(SMALL((IF($F$2:$F$30&gt;"",ROW($F$2:$F$30),ROW()+ROWS($F$2:$F$30))),ROW()-ROW($G$2:$G$30)+1),COLUMN($F$2:$F$30),4)))</f>
        <v>≤ 5%</v>
      </c>
      <c r="S15" s="197" t="str">
        <f t="array" aca="1" ref="S15" ca="1">IF(ROW()-ROW($H$2:$H$30)+1&gt;ROWS($G$2:$G$30)-COUNTBLANK($G$2:$G$30),"",INDIRECT(ADDRESS(SMALL((IF($G$2:$G$30&lt;&gt;"",ROW($G$2:$G$30),ROW()+ROWS($G$2:$G$30))),ROW()-ROW($H$2:$H$30)+1),COLUMN($G$2:$G$30),4)))</f>
        <v>-----</v>
      </c>
      <c r="T15" s="136" t="str">
        <f t="array" aca="1" ref="T15" ca="1">IF(ROW()-ROW($I$2:$I$30)+1&gt;ROWS($H$2:$H$30)-COUNTBLANK($H$2:$H$30),"",INDIRECT(ADDRESS(SMALL((IF($H$2:$H$30&lt;&gt;"",ROW($H$2:$H$30),ROW()+ROWS($H$2:$H$30))),ROW()-ROW($I$2:$I$30)+1),COLUMN($H$2:$H$30),4)))</f>
        <v>-----</v>
      </c>
      <c r="U15" s="136">
        <f t="array" aca="1" ref="U15" ca="1">IF(ROW()-ROW($J$2:$J$30)+1&gt;ROWS($I$2:$I$30)-COUNTBLANK($I$2:$I$30),"",INDIRECT(ADDRESS(SMALL((IF($I$2:$I$30&lt;&gt;"",ROW($I$2:$I$30),ROW()+ROWS($I$2:$I$30))),ROW()-ROW($J$2:$J$30)+1),COLUMN($I$2:$I$30),4)))</f>
        <v>0</v>
      </c>
      <c r="V15" s="136" t="str">
        <f t="array" aca="1" ref="V15" ca="1">IF(ROW()-ROW($K$2:$K$30)+1&gt;ROWS($J$2:$J$30)-COUNTBLANK($J$2:$J$30),"",INDIRECT(ADDRESS(SMALL((IF($J$2:$J$30&lt;&gt;"",ROW($J$2:$J$30),ROW()+ROWS($J$2:$J$30))),ROW()-ROW($K$2:$K$30)+1),COLUMN($J$2:$J$30),4)))</f>
        <v>n.d.</v>
      </c>
      <c r="W15" s="136" t="str">
        <f t="array" aca="1" ref="W15" ca="1">IF(ROW()-ROW($L$2:$L$30)+1&gt;ROWS($K$2:$K$30)-COUNTBLANK($K$2:$K$30),"",INDIRECT(ADDRESS(SMALL((IF($K$2:$K$30&lt;&gt;"",ROW($K$2:$K$30),ROW()+ROWS($K$2:$K$30))),ROW()-ROW($L$2:$L$30)+1),COLUMN($K$2:$K$30),4)))</f>
        <v>Unvollständig</v>
      </c>
      <c r="X15" s="158" t="str">
        <f t="array" aca="1" ref="X15" ca="1">IF(ROW()-ROW($M$2:$M$30)+1&gt;ROWS($L$2:$L$30)-COUNTBLANK($L$2:$L$30),"",INDIRECT(ADDRESS(SMALL((IF($L$2:$L$30&lt;&gt;"",ROW($L$2:$L$30),ROW()+ROWS($L$2:$L$30))),ROW()-ROW($M$2:$M$30)+1),COLUMN($L$2:$L$30),4)))</f>
        <v>-----</v>
      </c>
      <c r="Y15" s="158" t="str">
        <f t="array" aca="1" ref="Y15" ca="1">IF(ROW()-ROW($N$2:$N$30)+1&gt;ROWS($M$2:$M$30)-COUNTBLANK($M$2:$M$30),"",INDIRECT(ADDRESS(SMALL((IF($M$2:$M$30&lt;&gt;"",ROW($M$2:$M$30),ROW()+ROWS($M$2:$M$30))),ROW()-ROW($N$2:$N$30)+1),COLUMN($M$2:$M$30),4)))</f>
        <v>-----</v>
      </c>
    </row>
    <row r="16" spans="1:25" ht="60" customHeight="1" x14ac:dyDescent="0.25">
      <c r="A16" s="158" t="str">
        <f>IF(KB_Lunge!P64=0,"",KB_Lunge!P64)</f>
        <v>Unvollständig</v>
      </c>
      <c r="C16" s="30">
        <f>IF($A16="I.O.","",KB_Lunge!A64)</f>
        <v>15</v>
      </c>
      <c r="D16" s="277" t="str">
        <f>IF($A16="I.O.","",KB_Lunge!C64)</f>
        <v>Postoperative Bronchusstumpf-/Anastomoseninsuffizienz</v>
      </c>
      <c r="E16" s="273" t="str">
        <f>IF(AND(KB_Lunge!J64="",$A16&lt;&gt;"I.O."),"-----",IF($A16="I.O.","",KB_Lunge!J64))</f>
        <v>&lt; 0,01%</v>
      </c>
      <c r="F16" s="30" t="str">
        <f>IF($A16="I.O.","",KB_Lunge!K64)</f>
        <v>≤ 5%</v>
      </c>
      <c r="G16" s="273" t="str">
        <f>IF(AND(KB_Lunge!M64="",$A16&lt;&gt;"I.O."),"-----",IF($A16="I.O.","",KB_Lunge!M64))</f>
        <v>-----</v>
      </c>
      <c r="H16" s="275" t="str">
        <f>IF($A16="I.O.","",IF(KB_Lunge!O64="","-----",KB_Lunge!O64))</f>
        <v>-----</v>
      </c>
      <c r="I16" s="275">
        <f>IF($A16="I.O.","",IF(KB_Lunge!O65="","-----",KB_Lunge!O65))</f>
        <v>0</v>
      </c>
      <c r="J16" s="269" t="str">
        <f>IF($A16="I.O.","",IF(KB_Lunge!O66="",0,KB_Lunge!O66))</f>
        <v>n.d.</v>
      </c>
      <c r="K16" s="274" t="str">
        <f>IF($A16="I.O.","",KB_Lunge!P64)</f>
        <v>Unvollständig</v>
      </c>
      <c r="L16" s="277" t="str">
        <f>IF(AND(KB_Lunge!Q64="",$A16&lt;&gt;"I.O."),"-----",IF($A16="I.O.","",KB_Lunge!Q64))</f>
        <v>-----</v>
      </c>
      <c r="M16" s="277" t="str">
        <f>IF(AND(KB_Lunge!R64="",$A16&lt;&gt;"I.O."),"-----",IF($A16="I.O.","",KB_Lunge!R64))</f>
        <v>-----</v>
      </c>
      <c r="O16" s="136">
        <f t="array" aca="1" ref="O16" ca="1">IF(ROW()-ROW($D$2:$D$30)+1&gt;ROWS($C$2:$C$30)-COUNTBLANK($C$2:$C$30),"",INDIRECT(ADDRESS(SMALL((IF($C$2:$C$30&lt;&gt;"",ROW($C$2:$C$30),ROW()+ROWS($C$2:$C$30))),ROW()-ROW($D$2:$D$30)+1),COLUMN($C$2:$C$30),4)))</f>
        <v>15</v>
      </c>
      <c r="P16" s="276" t="str">
        <f t="array" aca="1" ref="P16" ca="1">IF(ROW()-ROW($E$2:$E$30)+1&gt;ROWS($D$2:$D$30)-COUNTBLANK($D$2:$D$30),"",INDIRECT(ADDRESS(SMALL((IF($D$2:$D$30&gt;"",ROW($D$2:$D$30),ROW()+ROWS($D$2:$D$30))),ROW()-ROW($E$2:$E$30)+1),COLUMN($D$2:$D$30),4)))</f>
        <v>Postoperative Bronchusstumpf-/Anastomoseninsuffizienz</v>
      </c>
      <c r="Q16" s="197" t="str">
        <f t="array" aca="1" ref="Q16" ca="1">IF(ROW()-ROW($F$2:$F$30)+1&gt;ROWS($E$2:$E$30)-COUNTBLANK($E$2:$E$30),"",INDIRECT(ADDRESS(SMALL((IF($E$2:$E$30&gt;"",ROW($E$2:$E$30),ROW()+ROWS($E$2:$E$30))),ROW()-ROW($F$2:$F$30)+1),COLUMN($E$2:$E$30),4)))</f>
        <v>&lt; 0,01%</v>
      </c>
      <c r="R16" s="197" t="str">
        <f t="array" aca="1" ref="R16" ca="1">IF(ROW()-ROW($G$2:$G$30)+1&gt;ROWS($F$2:$F$30)-COUNTBLANK($F$2:$F$30),"",INDIRECT(ADDRESS(SMALL((IF($F$2:$F$30&gt;"",ROW($F$2:$F$30),ROW()+ROWS($F$2:$F$30))),ROW()-ROW($G$2:$G$30)+1),COLUMN($F$2:$F$30),4)))</f>
        <v>≤ 5%</v>
      </c>
      <c r="S16" s="197" t="str">
        <f t="array" aca="1" ref="S16" ca="1">IF(ROW()-ROW($H$2:$H$30)+1&gt;ROWS($G$2:$G$30)-COUNTBLANK($G$2:$G$30),"",INDIRECT(ADDRESS(SMALL((IF($G$2:$G$30&lt;&gt;"",ROW($G$2:$G$30),ROW()+ROWS($G$2:$G$30))),ROW()-ROW($H$2:$H$30)+1),COLUMN($G$2:$G$30),4)))</f>
        <v>-----</v>
      </c>
      <c r="T16" s="136" t="str">
        <f t="array" aca="1" ref="T16" ca="1">IF(ROW()-ROW($I$2:$I$30)+1&gt;ROWS($H$2:$H$30)-COUNTBLANK($H$2:$H$30),"",INDIRECT(ADDRESS(SMALL((IF($H$2:$H$30&lt;&gt;"",ROW($H$2:$H$30),ROW()+ROWS($H$2:$H$30))),ROW()-ROW($I$2:$I$30)+1),COLUMN($H$2:$H$30),4)))</f>
        <v>-----</v>
      </c>
      <c r="U16" s="136">
        <f t="array" aca="1" ref="U16" ca="1">IF(ROW()-ROW($J$2:$J$30)+1&gt;ROWS($I$2:$I$30)-COUNTBLANK($I$2:$I$30),"",INDIRECT(ADDRESS(SMALL((IF($I$2:$I$30&lt;&gt;"",ROW($I$2:$I$30),ROW()+ROWS($I$2:$I$30))),ROW()-ROW($J$2:$J$30)+1),COLUMN($I$2:$I$30),4)))</f>
        <v>0</v>
      </c>
      <c r="V16" s="136" t="str">
        <f t="array" aca="1" ref="V16" ca="1">IF(ROW()-ROW($K$2:$K$30)+1&gt;ROWS($J$2:$J$30)-COUNTBLANK($J$2:$J$30),"",INDIRECT(ADDRESS(SMALL((IF($J$2:$J$30&lt;&gt;"",ROW($J$2:$J$30),ROW()+ROWS($J$2:$J$30))),ROW()-ROW($K$2:$K$30)+1),COLUMN($J$2:$J$30),4)))</f>
        <v>n.d.</v>
      </c>
      <c r="W16" s="136" t="str">
        <f t="array" aca="1" ref="W16" ca="1">IF(ROW()-ROW($L$2:$L$30)+1&gt;ROWS($K$2:$K$30)-COUNTBLANK($K$2:$K$30),"",INDIRECT(ADDRESS(SMALL((IF($K$2:$K$30&lt;&gt;"",ROW($K$2:$K$30),ROW()+ROWS($K$2:$K$30))),ROW()-ROW($L$2:$L$30)+1),COLUMN($K$2:$K$30),4)))</f>
        <v>Unvollständig</v>
      </c>
      <c r="X16" s="158" t="str">
        <f t="array" aca="1" ref="X16" ca="1">IF(ROW()-ROW($M$2:$M$30)+1&gt;ROWS($L$2:$L$30)-COUNTBLANK($L$2:$L$30),"",INDIRECT(ADDRESS(SMALL((IF($L$2:$L$30&lt;&gt;"",ROW($L$2:$L$30),ROW()+ROWS($L$2:$L$30))),ROW()-ROW($M$2:$M$30)+1),COLUMN($L$2:$L$30),4)))</f>
        <v>-----</v>
      </c>
      <c r="Y16" s="158" t="str">
        <f t="array" aca="1" ref="Y16" ca="1">IF(ROW()-ROW($N$2:$N$30)+1&gt;ROWS($M$2:$M$30)-COUNTBLANK($M$2:$M$30),"",INDIRECT(ADDRESS(SMALL((IF($M$2:$M$30&lt;&gt;"",ROW($M$2:$M$30),ROW()+ROWS($M$2:$M$30))),ROW()-ROW($N$2:$N$30)+1),COLUMN($M$2:$M$30),4)))</f>
        <v>-----</v>
      </c>
    </row>
    <row r="17" spans="1:25" s="234" customFormat="1" ht="60" customHeight="1" x14ac:dyDescent="0.25">
      <c r="A17" s="158" t="str">
        <f>IF(KB_Lunge!P67=0,"",KB_Lunge!P67)</f>
        <v>Unvollständig</v>
      </c>
      <c r="B17" s="159"/>
      <c r="C17" s="30">
        <f>IF($A17="I.O.","",KB_Lunge!A67)</f>
        <v>16</v>
      </c>
      <c r="D17" s="277" t="str">
        <f>IF($A17="I.O.","",KB_Lunge!C67)</f>
        <v>Lokale R0-Resektionen im Stadium IA/B u. IIA/B</v>
      </c>
      <c r="E17" s="273" t="str">
        <f>IF(AND(KB_Lunge!J67="",$A17&lt;&gt;"I.O."),"-----",IF($A17="I.O.","",KB_Lunge!J67))</f>
        <v>-----</v>
      </c>
      <c r="F17" s="30" t="str">
        <f>IF($A17="I.O.","",KB_Lunge!K67)</f>
        <v>≥ 95%</v>
      </c>
      <c r="G17" s="273" t="str">
        <f>IF(AND(KB_Lunge!M67="",$A17&lt;&gt;"I.O."),"-----",IF($A17="I.O.","",KB_Lunge!M67))</f>
        <v>-----</v>
      </c>
      <c r="H17" s="275" t="str">
        <f>IF($A17="I.O.","",IF(KB_Lunge!O67="","-----",KB_Lunge!O67))</f>
        <v>-----</v>
      </c>
      <c r="I17" s="275">
        <f>IF($A17="I.O.","",IF(KB_Lunge!O68="","-----",KB_Lunge!O68))</f>
        <v>0</v>
      </c>
      <c r="J17" s="269" t="str">
        <f>IF($A17="I.O.","",IF(KB_Lunge!O69="",0,KB_Lunge!O69))</f>
        <v>n.d.</v>
      </c>
      <c r="K17" s="274" t="str">
        <f>IF($A17="I.O.","",KB_Lunge!P67)</f>
        <v>Unvollständig</v>
      </c>
      <c r="L17" s="277" t="str">
        <f>IF(AND(KB_Lunge!Q67="",$A17&lt;&gt;"I.O."),"-----",IF($A17="I.O.","",KB_Lunge!Q67))</f>
        <v>-----</v>
      </c>
      <c r="M17" s="277" t="str">
        <f>IF(AND(KB_Lunge!R67="",$A17&lt;&gt;"I.O."),"-----",IF($A17="I.O.","",KB_Lunge!R67))</f>
        <v>-----</v>
      </c>
      <c r="O17" s="136">
        <f t="array" aca="1" ref="O17" ca="1">IF(ROW()-ROW($D$2:$D$30)+1&gt;ROWS($C$2:$C$30)-COUNTBLANK($C$2:$C$30),"",INDIRECT(ADDRESS(SMALL((IF($C$2:$C$30&lt;&gt;"",ROW($C$2:$C$30),ROW()+ROWS($C$2:$C$30))),ROW()-ROW($D$2:$D$30)+1),COLUMN($C$2:$C$30),4)))</f>
        <v>16</v>
      </c>
      <c r="P17" s="276" t="str">
        <f t="array" aca="1" ref="P17" ca="1">IF(ROW()-ROW($E$2:$E$30)+1&gt;ROWS($D$2:$D$30)-COUNTBLANK($D$2:$D$30),"",INDIRECT(ADDRESS(SMALL((IF($D$2:$D$30&gt;"",ROW($D$2:$D$30),ROW()+ROWS($D$2:$D$30))),ROW()-ROW($E$2:$E$30)+1),COLUMN($D$2:$D$30),4)))</f>
        <v>Lokale R0-Resektionen im Stadium IA/B u. IIA/B</v>
      </c>
      <c r="Q17" s="197" t="str">
        <f t="array" aca="1" ref="Q17" ca="1">IF(ROW()-ROW($F$2:$F$30)+1&gt;ROWS($E$2:$E$30)-COUNTBLANK($E$2:$E$30),"",INDIRECT(ADDRESS(SMALL((IF($E$2:$E$30&gt;"",ROW($E$2:$E$30),ROW()+ROWS($E$2:$E$30))),ROW()-ROW($F$2:$F$30)+1),COLUMN($E$2:$E$30),4)))</f>
        <v>-----</v>
      </c>
      <c r="R17" s="197" t="str">
        <f t="array" aca="1" ref="R17" ca="1">IF(ROW()-ROW($G$2:$G$30)+1&gt;ROWS($F$2:$F$30)-COUNTBLANK($F$2:$F$30),"",INDIRECT(ADDRESS(SMALL((IF($F$2:$F$30&gt;"",ROW($F$2:$F$30),ROW()+ROWS($F$2:$F$30))),ROW()-ROW($G$2:$G$30)+1),COLUMN($F$2:$F$30),4)))</f>
        <v>≥ 95%</v>
      </c>
      <c r="S17" s="197" t="str">
        <f t="array" aca="1" ref="S17" ca="1">IF(ROW()-ROW($H$2:$H$30)+1&gt;ROWS($G$2:$G$30)-COUNTBLANK($G$2:$G$30),"",INDIRECT(ADDRESS(SMALL((IF($G$2:$G$30&lt;&gt;"",ROW($G$2:$G$30),ROW()+ROWS($G$2:$G$30))),ROW()-ROW($H$2:$H$30)+1),COLUMN($G$2:$G$30),4)))</f>
        <v>-----</v>
      </c>
      <c r="T17" s="136" t="str">
        <f t="array" aca="1" ref="T17" ca="1">IF(ROW()-ROW($I$2:$I$30)+1&gt;ROWS($H$2:$H$30)-COUNTBLANK($H$2:$H$30),"",INDIRECT(ADDRESS(SMALL((IF($H$2:$H$30&lt;&gt;"",ROW($H$2:$H$30),ROW()+ROWS($H$2:$H$30))),ROW()-ROW($I$2:$I$30)+1),COLUMN($H$2:$H$30),4)))</f>
        <v>-----</v>
      </c>
      <c r="U17" s="136">
        <f t="array" aca="1" ref="U17" ca="1">IF(ROW()-ROW($J$2:$J$30)+1&gt;ROWS($I$2:$I$30)-COUNTBLANK($I$2:$I$30),"",INDIRECT(ADDRESS(SMALL((IF($I$2:$I$30&lt;&gt;"",ROW($I$2:$I$30),ROW()+ROWS($I$2:$I$30))),ROW()-ROW($J$2:$J$30)+1),COLUMN($I$2:$I$30),4)))</f>
        <v>0</v>
      </c>
      <c r="V17" s="136" t="str">
        <f t="array" aca="1" ref="V17" ca="1">IF(ROW()-ROW($K$2:$K$30)+1&gt;ROWS($J$2:$J$30)-COUNTBLANK($J$2:$J$30),"",INDIRECT(ADDRESS(SMALL((IF($J$2:$J$30&lt;&gt;"",ROW($J$2:$J$30),ROW()+ROWS($J$2:$J$30))),ROW()-ROW($K$2:$K$30)+1),COLUMN($J$2:$J$30),4)))</f>
        <v>n.d.</v>
      </c>
      <c r="W17" s="136" t="str">
        <f t="array" aca="1" ref="W17" ca="1">IF(ROW()-ROW($L$2:$L$30)+1&gt;ROWS($K$2:$K$30)-COUNTBLANK($K$2:$K$30),"",INDIRECT(ADDRESS(SMALL((IF($K$2:$K$30&lt;&gt;"",ROW($K$2:$K$30),ROW()+ROWS($K$2:$K$30))),ROW()-ROW($L$2:$L$30)+1),COLUMN($K$2:$K$30),4)))</f>
        <v>Unvollständig</v>
      </c>
      <c r="X17" s="158" t="str">
        <f t="array" aca="1" ref="X17" ca="1">IF(ROW()-ROW($M$2:$M$30)+1&gt;ROWS($L$2:$L$30)-COUNTBLANK($L$2:$L$30),"",INDIRECT(ADDRESS(SMALL((IF($L$2:$L$30&lt;&gt;"",ROW($L$2:$L$30),ROW()+ROWS($L$2:$L$30))),ROW()-ROW($M$2:$M$30)+1),COLUMN($L$2:$L$30),4)))</f>
        <v>-----</v>
      </c>
      <c r="Y17" s="158" t="str">
        <f t="array" aca="1" ref="Y17" ca="1">IF(ROW()-ROW($N$2:$N$30)+1&gt;ROWS($M$2:$M$30)-COUNTBLANK($M$2:$M$30),"",INDIRECT(ADDRESS(SMALL((IF($M$2:$M$30&lt;&gt;"",ROW($M$2:$M$30),ROW()+ROWS($M$2:$M$30))),ROW()-ROW($N$2:$N$30)+1),COLUMN($M$2:$M$30),4)))</f>
        <v>-----</v>
      </c>
    </row>
    <row r="18" spans="1:25" ht="60" customHeight="1" x14ac:dyDescent="0.25">
      <c r="A18" s="158" t="str">
        <f>IF(KB_Lunge!P70=0,"",KB_Lunge!P70)</f>
        <v>Unvollständig</v>
      </c>
      <c r="C18" s="30">
        <f>IF($A18="I.O.","",KB_Lunge!A70)</f>
        <v>17</v>
      </c>
      <c r="D18" s="277" t="str">
        <f>IF($A18="I.O.","",KB_Lunge!C70)</f>
        <v xml:space="preserve">Lokale R0-Resektionen im Stadium IIIA/B </v>
      </c>
      <c r="E18" s="273" t="str">
        <f>IF(AND(KB_Lunge!J70="",$A18&lt;&gt;"I.O."),"-----",IF($A18="I.O.","",KB_Lunge!J70))</f>
        <v>-----</v>
      </c>
      <c r="F18" s="30" t="str">
        <f>IF($A18="I.O.","",KB_Lunge!K70)</f>
        <v>≥ 85%</v>
      </c>
      <c r="G18" s="273" t="str">
        <f>IF(AND(KB_Lunge!M70="",$A18&lt;&gt;"I.O."),"-----",IF($A18="I.O.","",KB_Lunge!M70))</f>
        <v>-----</v>
      </c>
      <c r="H18" s="275" t="str">
        <f>IF($A18="I.O.","",IF(KB_Lunge!O70="","-----",KB_Lunge!O70))</f>
        <v>-----</v>
      </c>
      <c r="I18" s="275">
        <f>IF($A18="I.O.","",IF(KB_Lunge!O71="","-----",KB_Lunge!O71))</f>
        <v>0</v>
      </c>
      <c r="J18" s="269" t="str">
        <f>IF($A18="I.O.","",IF(KB_Lunge!O72="",0,KB_Lunge!O72))</f>
        <v>n.d.</v>
      </c>
      <c r="K18" s="274" t="str">
        <f>IF($A18="I.O.","",KB_Lunge!P70)</f>
        <v>Unvollständig</v>
      </c>
      <c r="L18" s="277" t="str">
        <f>IF(AND(KB_Lunge!Q70="",$A18&lt;&gt;"I.O."),"-----",IF($A18="I.O.","",KB_Lunge!Q70))</f>
        <v>-----</v>
      </c>
      <c r="M18" s="277" t="str">
        <f>IF(AND(KB_Lunge!R70="",$A18&lt;&gt;"I.O."),"-----",IF($A18="I.O.","",KB_Lunge!R70))</f>
        <v>-----</v>
      </c>
      <c r="O18" s="136">
        <f t="array" aca="1" ref="O18" ca="1">IF(ROW()-ROW($D$2:$D$30)+1&gt;ROWS($C$2:$C$30)-COUNTBLANK($C$2:$C$30),"",INDIRECT(ADDRESS(SMALL((IF($C$2:$C$30&lt;&gt;"",ROW($C$2:$C$30),ROW()+ROWS($C$2:$C$30))),ROW()-ROW($D$2:$D$30)+1),COLUMN($C$2:$C$30),4)))</f>
        <v>17</v>
      </c>
      <c r="P18" s="276" t="str">
        <f t="array" aca="1" ref="P18" ca="1">IF(ROW()-ROW($E$2:$E$30)+1&gt;ROWS($D$2:$D$30)-COUNTBLANK($D$2:$D$30),"",INDIRECT(ADDRESS(SMALL((IF($D$2:$D$30&gt;"",ROW($D$2:$D$30),ROW()+ROWS($D$2:$D$30))),ROW()-ROW($E$2:$E$30)+1),COLUMN($D$2:$D$30),4)))</f>
        <v xml:space="preserve">Lokale R0-Resektionen im Stadium IIIA/B </v>
      </c>
      <c r="Q18" s="197" t="str">
        <f t="array" aca="1" ref="Q18" ca="1">IF(ROW()-ROW($F$2:$F$30)+1&gt;ROWS($E$2:$E$30)-COUNTBLANK($E$2:$E$30),"",INDIRECT(ADDRESS(SMALL((IF($E$2:$E$30&gt;"",ROW($E$2:$E$30),ROW()+ROWS($E$2:$E$30))),ROW()-ROW($F$2:$F$30)+1),COLUMN($E$2:$E$30),4)))</f>
        <v>-----</v>
      </c>
      <c r="R18" s="197" t="str">
        <f t="array" aca="1" ref="R18" ca="1">IF(ROW()-ROW($G$2:$G$30)+1&gt;ROWS($F$2:$F$30)-COUNTBLANK($F$2:$F$30),"",INDIRECT(ADDRESS(SMALL((IF($F$2:$F$30&gt;"",ROW($F$2:$F$30),ROW()+ROWS($F$2:$F$30))),ROW()-ROW($G$2:$G$30)+1),COLUMN($F$2:$F$30),4)))</f>
        <v>≥ 85%</v>
      </c>
      <c r="S18" s="197" t="str">
        <f t="array" aca="1" ref="S18" ca="1">IF(ROW()-ROW($H$2:$H$30)+1&gt;ROWS($G$2:$G$30)-COUNTBLANK($G$2:$G$30),"",INDIRECT(ADDRESS(SMALL((IF($G$2:$G$30&lt;&gt;"",ROW($G$2:$G$30),ROW()+ROWS($G$2:$G$30))),ROW()-ROW($H$2:$H$30)+1),COLUMN($G$2:$G$30),4)))</f>
        <v>-----</v>
      </c>
      <c r="T18" s="136" t="str">
        <f t="array" aca="1" ref="T18" ca="1">IF(ROW()-ROW($I$2:$I$30)+1&gt;ROWS($H$2:$H$30)-COUNTBLANK($H$2:$H$30),"",INDIRECT(ADDRESS(SMALL((IF($H$2:$H$30&lt;&gt;"",ROW($H$2:$H$30),ROW()+ROWS($H$2:$H$30))),ROW()-ROW($I$2:$I$30)+1),COLUMN($H$2:$H$30),4)))</f>
        <v>-----</v>
      </c>
      <c r="U18" s="136">
        <f t="array" aca="1" ref="U18" ca="1">IF(ROW()-ROW($J$2:$J$30)+1&gt;ROWS($I$2:$I$30)-COUNTBLANK($I$2:$I$30),"",INDIRECT(ADDRESS(SMALL((IF($I$2:$I$30&lt;&gt;"",ROW($I$2:$I$30),ROW()+ROWS($I$2:$I$30))),ROW()-ROW($J$2:$J$30)+1),COLUMN($I$2:$I$30),4)))</f>
        <v>0</v>
      </c>
      <c r="V18" s="136" t="str">
        <f t="array" aca="1" ref="V18" ca="1">IF(ROW()-ROW($K$2:$K$30)+1&gt;ROWS($J$2:$J$30)-COUNTBLANK($J$2:$J$30),"",INDIRECT(ADDRESS(SMALL((IF($J$2:$J$30&lt;&gt;"",ROW($J$2:$J$30),ROW()+ROWS($J$2:$J$30))),ROW()-ROW($K$2:$K$30)+1),COLUMN($J$2:$J$30),4)))</f>
        <v>n.d.</v>
      </c>
      <c r="W18" s="136" t="str">
        <f t="array" aca="1" ref="W18" ca="1">IF(ROW()-ROW($L$2:$L$30)+1&gt;ROWS($K$2:$K$30)-COUNTBLANK($K$2:$K$30),"",INDIRECT(ADDRESS(SMALL((IF($K$2:$K$30&lt;&gt;"",ROW($K$2:$K$30),ROW()+ROWS($K$2:$K$30))),ROW()-ROW($L$2:$L$30)+1),COLUMN($K$2:$K$30),4)))</f>
        <v>Unvollständig</v>
      </c>
      <c r="X18" s="158" t="str">
        <f t="array" aca="1" ref="X18" ca="1">IF(ROW()-ROW($M$2:$M$30)+1&gt;ROWS($L$2:$L$30)-COUNTBLANK($L$2:$L$30),"",INDIRECT(ADDRESS(SMALL((IF($L$2:$L$30&lt;&gt;"",ROW($L$2:$L$30),ROW()+ROWS($L$2:$L$30))),ROW()-ROW($M$2:$M$30)+1),COLUMN($L$2:$L$30),4)))</f>
        <v>-----</v>
      </c>
      <c r="Y18" s="158" t="str">
        <f t="array" aca="1" ref="Y18" ca="1">IF(ROW()-ROW($N$2:$N$30)+1&gt;ROWS($M$2:$M$30)-COUNTBLANK($M$2:$M$30),"",INDIRECT(ADDRESS(SMALL((IF($M$2:$M$30&lt;&gt;"",ROW($M$2:$M$30),ROW()+ROWS($M$2:$M$30))),ROW()-ROW($N$2:$N$30)+1),COLUMN($M$2:$M$30),4)))</f>
        <v>-----</v>
      </c>
    </row>
    <row r="19" spans="1:25" ht="60" customHeight="1" x14ac:dyDescent="0.25">
      <c r="A19" s="158" t="str">
        <f>IF(KB_Lunge!P73=0,"",KB_Lunge!P73)</f>
        <v>Unvollständig</v>
      </c>
      <c r="C19" s="30">
        <f>IF($A19="I.O.","",KB_Lunge!A73)</f>
        <v>18</v>
      </c>
      <c r="D19" s="277" t="str">
        <f>IF($A19="I.O.","",KB_Lunge!C73)</f>
        <v>Thorakale Bestrahlungen</v>
      </c>
      <c r="E19" s="273" t="str">
        <f>IF(AND(KB_Lunge!J73="",$A19&lt;&gt;"I.O."),"-----",IF($A19="I.O.","",KB_Lunge!J73))</f>
        <v>-----</v>
      </c>
      <c r="F19" s="30" t="str">
        <f>IF($A19="I.O.","",KB_Lunge!K73)</f>
        <v>≥ 50</v>
      </c>
      <c r="G19" s="273" t="str">
        <f>IF(AND(KB_Lunge!M73="",$A19&lt;&gt;"I.O."),"-----",IF($A19="I.O.","",KB_Lunge!M73))</f>
        <v>-----</v>
      </c>
      <c r="H19" s="275">
        <f>IF($A19="I.O.","",IF(SUM(Expertise_Lunge!M20:M23)="",0,SUM(Expertise_Lunge!M20:M23)))</f>
        <v>0</v>
      </c>
      <c r="I19" s="275" t="str">
        <f>IF($A19="I.O.","","-----")</f>
        <v>-----</v>
      </c>
      <c r="J19" s="269" t="str">
        <f>IF($A19="I.O.","","-----")</f>
        <v>-----</v>
      </c>
      <c r="K19" s="274" t="str">
        <f>IF($A19="I.O.","",KB_Lunge!P73)</f>
        <v>Unvollständig</v>
      </c>
      <c r="L19" s="277" t="str">
        <f>IF(AND(KB_Lunge!Q73="",$A19&lt;&gt;"I.O."),"-----",IF($A19="I.O.","",KB_Lunge!Q73))</f>
        <v>-----</v>
      </c>
      <c r="M19" s="277" t="str">
        <f>IF(AND(KB_Lunge!R73="",$A19&lt;&gt;"I.O."),"-----",IF($A19="I.O.","",KB_Lunge!R73))</f>
        <v>-----</v>
      </c>
      <c r="O19" s="136">
        <f t="array" aca="1" ref="O19" ca="1">IF(ROW()-ROW($D$2:$D$30)+1&gt;ROWS($C$2:$C$30)-COUNTBLANK($C$2:$C$30),"",INDIRECT(ADDRESS(SMALL((IF($C$2:$C$30&lt;&gt;"",ROW($C$2:$C$30),ROW()+ROWS($C$2:$C$30))),ROW()-ROW($D$2:$D$30)+1),COLUMN($C$2:$C$30),4)))</f>
        <v>18</v>
      </c>
      <c r="P19" s="276" t="str">
        <f t="array" aca="1" ref="P19" ca="1">IF(ROW()-ROW($E$2:$E$30)+1&gt;ROWS($D$2:$D$30)-COUNTBLANK($D$2:$D$30),"",INDIRECT(ADDRESS(SMALL((IF($D$2:$D$30&gt;"",ROW($D$2:$D$30),ROW()+ROWS($D$2:$D$30))),ROW()-ROW($E$2:$E$30)+1),COLUMN($D$2:$D$30),4)))</f>
        <v>Thorakale Bestrahlungen</v>
      </c>
      <c r="Q19" s="197" t="str">
        <f t="array" aca="1" ref="Q19" ca="1">IF(ROW()-ROW($F$2:$F$30)+1&gt;ROWS($E$2:$E$30)-COUNTBLANK($E$2:$E$30),"",INDIRECT(ADDRESS(SMALL((IF($E$2:$E$30&gt;"",ROW($E$2:$E$30),ROW()+ROWS($E$2:$E$30))),ROW()-ROW($F$2:$F$30)+1),COLUMN($E$2:$E$30),4)))</f>
        <v>-----</v>
      </c>
      <c r="R19" s="197" t="str">
        <f t="array" aca="1" ref="R19" ca="1">IF(ROW()-ROW($G$2:$G$30)+1&gt;ROWS($F$2:$F$30)-COUNTBLANK($F$2:$F$30),"",INDIRECT(ADDRESS(SMALL((IF($F$2:$F$30&gt;"",ROW($F$2:$F$30),ROW()+ROWS($F$2:$F$30))),ROW()-ROW($G$2:$G$30)+1),COLUMN($F$2:$F$30),4)))</f>
        <v>≥ 50</v>
      </c>
      <c r="S19" s="197" t="str">
        <f t="array" aca="1" ref="S19" ca="1">IF(ROW()-ROW($H$2:$H$30)+1&gt;ROWS($G$2:$G$30)-COUNTBLANK($G$2:$G$30),"",INDIRECT(ADDRESS(SMALL((IF($G$2:$G$30&lt;&gt;"",ROW($G$2:$G$30),ROW()+ROWS($G$2:$G$30))),ROW()-ROW($H$2:$H$30)+1),COLUMN($G$2:$G$30),4)))</f>
        <v>-----</v>
      </c>
      <c r="T19" s="136">
        <f t="array" aca="1" ref="T19" ca="1">IF(ROW()-ROW($I$2:$I$30)+1&gt;ROWS($H$2:$H$30)-COUNTBLANK($H$2:$H$30),"",INDIRECT(ADDRESS(SMALL((IF($H$2:$H$30&lt;&gt;"",ROW($H$2:$H$30),ROW()+ROWS($H$2:$H$30))),ROW()-ROW($I$2:$I$30)+1),COLUMN($H$2:$H$30),4)))</f>
        <v>0</v>
      </c>
      <c r="U19" s="136" t="str">
        <f t="array" aca="1" ref="U19" ca="1">IF(ROW()-ROW($J$2:$J$30)+1&gt;ROWS($I$2:$I$30)-COUNTBLANK($I$2:$I$30),"",INDIRECT(ADDRESS(SMALL((IF($I$2:$I$30&lt;&gt;"",ROW($I$2:$I$30),ROW()+ROWS($I$2:$I$30))),ROW()-ROW($J$2:$J$30)+1),COLUMN($I$2:$I$30),4)))</f>
        <v>-----</v>
      </c>
      <c r="V19" s="136" t="str">
        <f t="array" aca="1" ref="V19" ca="1">IF(ROW()-ROW($K$2:$K$30)+1&gt;ROWS($J$2:$J$30)-COUNTBLANK($J$2:$J$30),"",INDIRECT(ADDRESS(SMALL((IF($J$2:$J$30&lt;&gt;"",ROW($J$2:$J$30),ROW()+ROWS($J$2:$J$30))),ROW()-ROW($K$2:$K$30)+1),COLUMN($J$2:$J$30),4)))</f>
        <v>-----</v>
      </c>
      <c r="W19" s="136" t="str">
        <f t="array" aca="1" ref="W19" ca="1">IF(ROW()-ROW($L$2:$L$30)+1&gt;ROWS($K$2:$K$30)-COUNTBLANK($K$2:$K$30),"",INDIRECT(ADDRESS(SMALL((IF($K$2:$K$30&lt;&gt;"",ROW($K$2:$K$30),ROW()+ROWS($K$2:$K$30))),ROW()-ROW($L$2:$L$30)+1),COLUMN($K$2:$K$30),4)))</f>
        <v>Unvollständig</v>
      </c>
      <c r="X19" s="158" t="str">
        <f t="array" aca="1" ref="X19" ca="1">IF(ROW()-ROW($M$2:$M$30)+1&gt;ROWS($L$2:$L$30)-COUNTBLANK($L$2:$L$30),"",INDIRECT(ADDRESS(SMALL((IF($L$2:$L$30&lt;&gt;"",ROW($L$2:$L$30),ROW()+ROWS($L$2:$L$30))),ROW()-ROW($M$2:$M$30)+1),COLUMN($L$2:$L$30),4)))</f>
        <v>-----</v>
      </c>
      <c r="Y19" s="158" t="str">
        <f t="array" aca="1" ref="Y19" ca="1">IF(ROW()-ROW($N$2:$N$30)+1&gt;ROWS($M$2:$M$30)-COUNTBLANK($M$2:$M$30),"",INDIRECT(ADDRESS(SMALL((IF($M$2:$M$30&lt;&gt;"",ROW($M$2:$M$30),ROW()+ROWS($M$2:$M$30))),ROW()-ROW($N$2:$N$30)+1),COLUMN($M$2:$M$30),4)))</f>
        <v>-----</v>
      </c>
    </row>
    <row r="20" spans="1:25" s="234" customFormat="1" ht="60" customHeight="1" x14ac:dyDescent="0.25">
      <c r="A20" s="158" t="str">
        <f>IF(KB_Lunge!P79=0,"",KB_Lunge!P79)</f>
        <v>Unvollständig</v>
      </c>
      <c r="B20" s="159"/>
      <c r="C20" s="30">
        <f>IF($A20="I.O.","",KB_Lunge!A79)</f>
        <v>20</v>
      </c>
      <c r="D20" s="277" t="str">
        <f>IF($A20="I.O.","",KB_Lunge!C79)</f>
        <v>Pathologische Begutachtungen</v>
      </c>
      <c r="E20" s="273" t="str">
        <f>IF(AND(KB_Lunge!J79="",$A20&lt;&gt;"I.O."),"-----",IF($A20="I.O.","",KB_Lunge!J79))</f>
        <v>-----</v>
      </c>
      <c r="F20" s="30" t="str">
        <f>IF($A20="I.O.","",KB_Lunge!K79)</f>
        <v>≥ 200 maligne Lungenfälle 
(je Facharzt 100 L.)</v>
      </c>
      <c r="G20" s="273" t="str">
        <f>IF(AND(KB_Lunge!M79="",$A20&lt;&gt;"I.O."),"-----",IF($A20="I.O.","",KB_Lunge!M79))</f>
        <v>-----</v>
      </c>
      <c r="H20" s="275">
        <f>IF($A20="I.O.","",IF(SUM(Expertise_Lunge!M24:M27)="",0,SUM(Expertise_Lunge!M24:M27)))</f>
        <v>0</v>
      </c>
      <c r="I20" s="275" t="str">
        <f>IF($A20="I.O.","","-----")</f>
        <v>-----</v>
      </c>
      <c r="J20" s="269" t="str">
        <f>IF($A20="I.O.","","-----")</f>
        <v>-----</v>
      </c>
      <c r="K20" s="274" t="str">
        <f>IF($A20="I.O.","",KB_Lunge!P79)</f>
        <v>Unvollständig</v>
      </c>
      <c r="L20" s="277" t="str">
        <f>IF(AND(KB_Lunge!Q79="",$A20&lt;&gt;"I.O."),"-----",IF($A20="I.O.","",KB_Lunge!Q79))</f>
        <v>-----</v>
      </c>
      <c r="M20" s="277" t="str">
        <f>IF(AND(KB_Lunge!R79="",$A20&lt;&gt;"I.O."),"-----",IF($A20="I.O.","",KB_Lunge!R79))</f>
        <v>-----</v>
      </c>
      <c r="O20" s="136">
        <f t="array" aca="1" ref="O20" ca="1">IF(ROW()-ROW($D$2:$D$30)+1&gt;ROWS($C$2:$C$30)-COUNTBLANK($C$2:$C$30),"",INDIRECT(ADDRESS(SMALL((IF($C$2:$C$30&lt;&gt;"",ROW($C$2:$C$30),ROW()+ROWS($C$2:$C$30))),ROW()-ROW($D$2:$D$30)+1),COLUMN($C$2:$C$30),4)))</f>
        <v>20</v>
      </c>
      <c r="P20" s="276" t="str">
        <f t="array" aca="1" ref="P20" ca="1">IF(ROW()-ROW($E$2:$E$30)+1&gt;ROWS($D$2:$D$30)-COUNTBLANK($D$2:$D$30),"",INDIRECT(ADDRESS(SMALL((IF($D$2:$D$30&gt;"",ROW($D$2:$D$30),ROW()+ROWS($D$2:$D$30))),ROW()-ROW($E$2:$E$30)+1),COLUMN($D$2:$D$30),4)))</f>
        <v>Pathologische Begutachtungen</v>
      </c>
      <c r="Q20" s="197" t="str">
        <f t="array" aca="1" ref="Q20" ca="1">IF(ROW()-ROW($F$2:$F$30)+1&gt;ROWS($E$2:$E$30)-COUNTBLANK($E$2:$E$30),"",INDIRECT(ADDRESS(SMALL((IF($E$2:$E$30&gt;"",ROW($E$2:$E$30),ROW()+ROWS($E$2:$E$30))),ROW()-ROW($F$2:$F$30)+1),COLUMN($E$2:$E$30),4)))</f>
        <v>-----</v>
      </c>
      <c r="R20" s="197" t="str">
        <f t="array" aca="1" ref="R20" ca="1">IF(ROW()-ROW($G$2:$G$30)+1&gt;ROWS($F$2:$F$30)-COUNTBLANK($F$2:$F$30),"",INDIRECT(ADDRESS(SMALL((IF($F$2:$F$30&gt;"",ROW($F$2:$F$30),ROW()+ROWS($F$2:$F$30))),ROW()-ROW($G$2:$G$30)+1),COLUMN($F$2:$F$30),4)))</f>
        <v>≥ 200 maligne Lungenfälle 
(je Facharzt 100 L.)</v>
      </c>
      <c r="S20" s="197" t="str">
        <f t="array" aca="1" ref="S20" ca="1">IF(ROW()-ROW($H$2:$H$30)+1&gt;ROWS($G$2:$G$30)-COUNTBLANK($G$2:$G$30),"",INDIRECT(ADDRESS(SMALL((IF($G$2:$G$30&lt;&gt;"",ROW($G$2:$G$30),ROW()+ROWS($G$2:$G$30))),ROW()-ROW($H$2:$H$30)+1),COLUMN($G$2:$G$30),4)))</f>
        <v>-----</v>
      </c>
      <c r="T20" s="136">
        <f t="array" aca="1" ref="T20" ca="1">IF(ROW()-ROW($I$2:$I$30)+1&gt;ROWS($H$2:$H$30)-COUNTBLANK($H$2:$H$30),"",INDIRECT(ADDRESS(SMALL((IF($H$2:$H$30&lt;&gt;"",ROW($H$2:$H$30),ROW()+ROWS($H$2:$H$30))),ROW()-ROW($I$2:$I$30)+1),COLUMN($H$2:$H$30),4)))</f>
        <v>0</v>
      </c>
      <c r="U20" s="136" t="str">
        <f t="array" aca="1" ref="U20" ca="1">IF(ROW()-ROW($J$2:$J$30)+1&gt;ROWS($I$2:$I$30)-COUNTBLANK($I$2:$I$30),"",INDIRECT(ADDRESS(SMALL((IF($I$2:$I$30&lt;&gt;"",ROW($I$2:$I$30),ROW()+ROWS($I$2:$I$30))),ROW()-ROW($J$2:$J$30)+1),COLUMN($I$2:$I$30),4)))</f>
        <v>-----</v>
      </c>
      <c r="V20" s="136" t="str">
        <f t="array" aca="1" ref="V20" ca="1">IF(ROW()-ROW($K$2:$K$30)+1&gt;ROWS($J$2:$J$30)-COUNTBLANK($J$2:$J$30),"",INDIRECT(ADDRESS(SMALL((IF($J$2:$J$30&lt;&gt;"",ROW($J$2:$J$30),ROW()+ROWS($J$2:$J$30))),ROW()-ROW($K$2:$K$30)+1),COLUMN($J$2:$J$30),4)))</f>
        <v>-----</v>
      </c>
      <c r="W20" s="136" t="str">
        <f t="array" aca="1" ref="W20" ca="1">IF(ROW()-ROW($L$2:$L$30)+1&gt;ROWS($K$2:$K$30)-COUNTBLANK($K$2:$K$30),"",INDIRECT(ADDRESS(SMALL((IF($K$2:$K$30&lt;&gt;"",ROW($K$2:$K$30),ROW()+ROWS($K$2:$K$30))),ROW()-ROW($L$2:$L$30)+1),COLUMN($K$2:$K$30),4)))</f>
        <v>Unvollständig</v>
      </c>
      <c r="X20" s="158" t="str">
        <f t="array" aca="1" ref="X20" ca="1">IF(ROW()-ROW($M$2:$M$30)+1&gt;ROWS($L$2:$L$30)-COUNTBLANK($L$2:$L$30),"",INDIRECT(ADDRESS(SMALL((IF($L$2:$L$30&lt;&gt;"",ROW($L$2:$L$30),ROW()+ROWS($L$2:$L$30))),ROW()-ROW($M$2:$M$30)+1),COLUMN($L$2:$L$30),4)))</f>
        <v>-----</v>
      </c>
      <c r="Y20" s="158" t="str">
        <f t="array" aca="1" ref="Y20" ca="1">IF(ROW()-ROW($N$2:$N$30)+1&gt;ROWS($M$2:$M$30)-COUNTBLANK($M$2:$M$30),"",INDIRECT(ADDRESS(SMALL((IF($M$2:$M$30&lt;&gt;"",ROW($M$2:$M$30),ROW()+ROWS($M$2:$M$30))),ROW()-ROW($N$2:$N$30)+1),COLUMN($M$2:$M$30),4)))</f>
        <v>-----</v>
      </c>
    </row>
    <row r="21" spans="1:25" ht="60" customHeight="1" x14ac:dyDescent="0.25">
      <c r="A21" s="158" t="str">
        <f>IF(KB_Lunge!P82=0,"",KB_Lunge!P82)</f>
        <v>Unvollständig</v>
      </c>
      <c r="C21" s="30">
        <f>IF($A21="I.O.","",KB_Lunge!A82)</f>
        <v>21</v>
      </c>
      <c r="D21" s="277" t="str">
        <f>IF($A21="I.O.","",KB_Lunge!C82)</f>
        <v xml:space="preserve">Adjuvante cisplatinhaltige Chemotherapie Stad. II-IIIA1/2 </v>
      </c>
      <c r="E21" s="273" t="str">
        <f>IF(AND(KB_Lunge!J82="",$A21&lt;&gt;"I.O."),"-----",IF($A21="I.O.","",KB_Lunge!J82))</f>
        <v>&lt; 15%</v>
      </c>
      <c r="F21" s="30" t="str">
        <f>IF($A21="I.O.","",KB_Lunge!K82)</f>
        <v>Derzeit keine Vorgaben</v>
      </c>
      <c r="G21" s="273" t="str">
        <f>IF(AND(KB_Lunge!M82="",$A21&lt;&gt;"I.O."),"-----",IF($A21="I.O.","",KB_Lunge!M82))</f>
        <v>&gt; 70%</v>
      </c>
      <c r="H21" s="275" t="str">
        <f>IF($A21="I.O.","",IF(KB_Lunge!O82="","-----",KB_Lunge!O82))</f>
        <v>-----</v>
      </c>
      <c r="I21" s="275" t="str">
        <f>IF($A21="I.O.","",IF(KB_Lunge!O83="","-----",KB_Lunge!O83))</f>
        <v>-----</v>
      </c>
      <c r="J21" s="269" t="str">
        <f>IF($A21="I.O.","",IF(KB_Lunge!O84="",0,KB_Lunge!O84))</f>
        <v>n.d.</v>
      </c>
      <c r="K21" s="274" t="str">
        <f>IF($A21="I.O.","",KB_Lunge!P82)</f>
        <v>Unvollständig</v>
      </c>
      <c r="L21" s="277" t="str">
        <f>IF(AND(KB_Lunge!Q82="",$A21&lt;&gt;"I.O."),"-----",IF($A21="I.O.","",KB_Lunge!Q82))</f>
        <v>-----</v>
      </c>
      <c r="M21" s="277" t="str">
        <f>IF(AND(KB_Lunge!R82="",$A21&lt;&gt;"I.O."),"-----",IF($A21="I.O.","",KB_Lunge!R82))</f>
        <v>-----</v>
      </c>
      <c r="O21" s="136">
        <f t="array" aca="1" ref="O21" ca="1">IF(ROW()-ROW($D$2:$D$30)+1&gt;ROWS($C$2:$C$30)-COUNTBLANK($C$2:$C$30),"",INDIRECT(ADDRESS(SMALL((IF($C$2:$C$30&lt;&gt;"",ROW($C$2:$C$30),ROW()+ROWS($C$2:$C$30))),ROW()-ROW($D$2:$D$30)+1),COLUMN($C$2:$C$30),4)))</f>
        <v>21</v>
      </c>
      <c r="P21" s="276" t="str">
        <f t="array" aca="1" ref="P21" ca="1">IF(ROW()-ROW($E$2:$E$30)+1&gt;ROWS($D$2:$D$30)-COUNTBLANK($D$2:$D$30),"",INDIRECT(ADDRESS(SMALL((IF($D$2:$D$30&gt;"",ROW($D$2:$D$30),ROW()+ROWS($D$2:$D$30))),ROW()-ROW($E$2:$E$30)+1),COLUMN($D$2:$D$30),4)))</f>
        <v xml:space="preserve">Adjuvante cisplatinhaltige Chemotherapie Stad. II-IIIA1/2 </v>
      </c>
      <c r="Q21" s="197" t="str">
        <f t="array" aca="1" ref="Q21" ca="1">IF(ROW()-ROW($F$2:$F$30)+1&gt;ROWS($E$2:$E$30)-COUNTBLANK($E$2:$E$30),"",INDIRECT(ADDRESS(SMALL((IF($E$2:$E$30&gt;"",ROW($E$2:$E$30),ROW()+ROWS($E$2:$E$30))),ROW()-ROW($F$2:$F$30)+1),COLUMN($E$2:$E$30),4)))</f>
        <v>&lt; 15%</v>
      </c>
      <c r="R21" s="197" t="str">
        <f t="array" aca="1" ref="R21" ca="1">IF(ROW()-ROW($G$2:$G$30)+1&gt;ROWS($F$2:$F$30)-COUNTBLANK($F$2:$F$30),"",INDIRECT(ADDRESS(SMALL((IF($F$2:$F$30&gt;"",ROW($F$2:$F$30),ROW()+ROWS($F$2:$F$30))),ROW()-ROW($G$2:$G$30)+1),COLUMN($F$2:$F$30),4)))</f>
        <v>Derzeit keine Vorgaben</v>
      </c>
      <c r="S21" s="197" t="str">
        <f t="array" aca="1" ref="S21" ca="1">IF(ROW()-ROW($H$2:$H$30)+1&gt;ROWS($G$2:$G$30)-COUNTBLANK($G$2:$G$30),"",INDIRECT(ADDRESS(SMALL((IF($G$2:$G$30&lt;&gt;"",ROW($G$2:$G$30),ROW()+ROWS($G$2:$G$30))),ROW()-ROW($H$2:$H$30)+1),COLUMN($G$2:$G$30),4)))</f>
        <v>&gt; 70%</v>
      </c>
      <c r="T21" s="136" t="str">
        <f t="array" aca="1" ref="T21" ca="1">IF(ROW()-ROW($I$2:$I$30)+1&gt;ROWS($H$2:$H$30)-COUNTBLANK($H$2:$H$30),"",INDIRECT(ADDRESS(SMALL((IF($H$2:$H$30&lt;&gt;"",ROW($H$2:$H$30),ROW()+ROWS($H$2:$H$30))),ROW()-ROW($I$2:$I$30)+1),COLUMN($H$2:$H$30),4)))</f>
        <v>-----</v>
      </c>
      <c r="U21" s="136" t="str">
        <f t="array" aca="1" ref="U21" ca="1">IF(ROW()-ROW($J$2:$J$30)+1&gt;ROWS($I$2:$I$30)-COUNTBLANK($I$2:$I$30),"",INDIRECT(ADDRESS(SMALL((IF($I$2:$I$30&lt;&gt;"",ROW($I$2:$I$30),ROW()+ROWS($I$2:$I$30))),ROW()-ROW($J$2:$J$30)+1),COLUMN($I$2:$I$30),4)))</f>
        <v>-----</v>
      </c>
      <c r="V21" s="136" t="str">
        <f t="array" aca="1" ref="V21" ca="1">IF(ROW()-ROW($K$2:$K$30)+1&gt;ROWS($J$2:$J$30)-COUNTBLANK($J$2:$J$30),"",INDIRECT(ADDRESS(SMALL((IF($J$2:$J$30&lt;&gt;"",ROW($J$2:$J$30),ROW()+ROWS($J$2:$J$30))),ROW()-ROW($K$2:$K$30)+1),COLUMN($J$2:$J$30),4)))</f>
        <v>n.d.</v>
      </c>
      <c r="W21" s="136" t="str">
        <f t="array" aca="1" ref="W21" ca="1">IF(ROW()-ROW($L$2:$L$30)+1&gt;ROWS($K$2:$K$30)-COUNTBLANK($K$2:$K$30),"",INDIRECT(ADDRESS(SMALL((IF($K$2:$K$30&lt;&gt;"",ROW($K$2:$K$30),ROW()+ROWS($K$2:$K$30))),ROW()-ROW($L$2:$L$30)+1),COLUMN($K$2:$K$30),4)))</f>
        <v>Unvollständig</v>
      </c>
      <c r="X21" s="158" t="str">
        <f t="array" aca="1" ref="X21" ca="1">IF(ROW()-ROW($M$2:$M$30)+1&gt;ROWS($L$2:$L$30)-COUNTBLANK($L$2:$L$30),"",INDIRECT(ADDRESS(SMALL((IF($L$2:$L$30&lt;&gt;"",ROW($L$2:$L$30),ROW()+ROWS($L$2:$L$30))),ROW()-ROW($M$2:$M$30)+1),COLUMN($L$2:$L$30),4)))</f>
        <v>-----</v>
      </c>
      <c r="Y21" s="158" t="str">
        <f t="array" aca="1" ref="Y21" ca="1">IF(ROW()-ROW($N$2:$N$30)+1&gt;ROWS($M$2:$M$30)-COUNTBLANK($M$2:$M$30),"",INDIRECT(ADDRESS(SMALL((IF($M$2:$M$30&lt;&gt;"",ROW($M$2:$M$30),ROW()+ROWS($M$2:$M$30))),ROW()-ROW($N$2:$N$30)+1),COLUMN($M$2:$M$30),4)))</f>
        <v>-----</v>
      </c>
    </row>
    <row r="22" spans="1:25" ht="60" customHeight="1" x14ac:dyDescent="0.25">
      <c r="A22" s="158" t="str">
        <f>IF(KB_Lunge!P85=0,"",KB_Lunge!P85)</f>
        <v>Unvollständig</v>
      </c>
      <c r="C22" s="30">
        <f>IF($A22="I.O.","",KB_Lunge!A85)</f>
        <v>22</v>
      </c>
      <c r="D22" s="277" t="str">
        <f>IF($A22="I.O.","",KB_Lunge!C85)</f>
        <v>Kombinierte Radiochemotherapie im Stad. IIIA4/IIIB/IIIC</v>
      </c>
      <c r="E22" s="273" t="str">
        <f>IF(AND(KB_Lunge!J85="",$A22&lt;&gt;"I.O."),"-----",IF($A22="I.O.","",KB_Lunge!J85))</f>
        <v>-----</v>
      </c>
      <c r="F22" s="30" t="str">
        <f>IF($A22="I.O.","",KB_Lunge!K85)</f>
        <v>≥ 25%</v>
      </c>
      <c r="G22" s="273" t="str">
        <f>IF(AND(KB_Lunge!M85="",$A22&lt;&gt;"I.O."),"-----",IF($A22="I.O.","",KB_Lunge!M85))</f>
        <v>-----</v>
      </c>
      <c r="H22" s="275" t="str">
        <f>IF($A22="I.O.","",IF(KB_Lunge!O85="","-----",KB_Lunge!O85))</f>
        <v>-----</v>
      </c>
      <c r="I22" s="275" t="str">
        <f>IF($A22="I.O.","",IF(KB_Lunge!O86="","-----",KB_Lunge!O86))</f>
        <v>-----</v>
      </c>
      <c r="J22" s="269" t="str">
        <f>IF($A22="I.O.","",IF(KB_Lunge!O87="",0,KB_Lunge!O87))</f>
        <v>n.d.</v>
      </c>
      <c r="K22" s="274" t="str">
        <f>IF($A22="I.O.","",KB_Lunge!P85)</f>
        <v>Unvollständig</v>
      </c>
      <c r="L22" s="277" t="str">
        <f>IF(AND(KB_Lunge!Q85="",$A22&lt;&gt;"I.O."),"-----",IF($A22="I.O.","",KB_Lunge!Q85))</f>
        <v>-----</v>
      </c>
      <c r="M22" s="277" t="str">
        <f>IF(AND(KB_Lunge!R85="",$A22&lt;&gt;"I.O."),"-----",IF($A22="I.O.","",KB_Lunge!R85))</f>
        <v>-----</v>
      </c>
      <c r="O22" s="136">
        <f t="array" aca="1" ref="O22" ca="1">IF(ROW()-ROW($D$2:$D$30)+1&gt;ROWS($C$2:$C$30)-COUNTBLANK($C$2:$C$30),"",INDIRECT(ADDRESS(SMALL((IF($C$2:$C$30&lt;&gt;"",ROW($C$2:$C$30),ROW()+ROWS($C$2:$C$30))),ROW()-ROW($D$2:$D$30)+1),COLUMN($C$2:$C$30),4)))</f>
        <v>22</v>
      </c>
      <c r="P22" s="276" t="str">
        <f t="array" aca="1" ref="P22" ca="1">IF(ROW()-ROW($E$2:$E$30)+1&gt;ROWS($D$2:$D$30)-COUNTBLANK($D$2:$D$30),"",INDIRECT(ADDRESS(SMALL((IF($D$2:$D$30&gt;"",ROW($D$2:$D$30),ROW()+ROWS($D$2:$D$30))),ROW()-ROW($E$2:$E$30)+1),COLUMN($D$2:$D$30),4)))</f>
        <v>Kombinierte Radiochemotherapie im Stad. IIIA4/IIIB/IIIC</v>
      </c>
      <c r="Q22" s="197" t="str">
        <f t="array" aca="1" ref="Q22" ca="1">IF(ROW()-ROW($F$2:$F$30)+1&gt;ROWS($E$2:$E$30)-COUNTBLANK($E$2:$E$30),"",INDIRECT(ADDRESS(SMALL((IF($E$2:$E$30&gt;"",ROW($E$2:$E$30),ROW()+ROWS($E$2:$E$30))),ROW()-ROW($F$2:$F$30)+1),COLUMN($E$2:$E$30),4)))</f>
        <v>-----</v>
      </c>
      <c r="R22" s="197" t="str">
        <f t="array" aca="1" ref="R22" ca="1">IF(ROW()-ROW($G$2:$G$30)+1&gt;ROWS($F$2:$F$30)-COUNTBLANK($F$2:$F$30),"",INDIRECT(ADDRESS(SMALL((IF($F$2:$F$30&gt;"",ROW($F$2:$F$30),ROW()+ROWS($F$2:$F$30))),ROW()-ROW($G$2:$G$30)+1),COLUMN($F$2:$F$30),4)))</f>
        <v>≥ 25%</v>
      </c>
      <c r="S22" s="197" t="str">
        <f t="array" aca="1" ref="S22" ca="1">IF(ROW()-ROW($H$2:$H$30)+1&gt;ROWS($G$2:$G$30)-COUNTBLANK($G$2:$G$30),"",INDIRECT(ADDRESS(SMALL((IF($G$2:$G$30&lt;&gt;"",ROW($G$2:$G$30),ROW()+ROWS($G$2:$G$30))),ROW()-ROW($H$2:$H$30)+1),COLUMN($G$2:$G$30),4)))</f>
        <v>-----</v>
      </c>
      <c r="T22" s="136" t="str">
        <f t="array" aca="1" ref="T22" ca="1">IF(ROW()-ROW($I$2:$I$30)+1&gt;ROWS($H$2:$H$30)-COUNTBLANK($H$2:$H$30),"",INDIRECT(ADDRESS(SMALL((IF($H$2:$H$30&lt;&gt;"",ROW($H$2:$H$30),ROW()+ROWS($H$2:$H$30))),ROW()-ROW($I$2:$I$30)+1),COLUMN($H$2:$H$30),4)))</f>
        <v>-----</v>
      </c>
      <c r="U22" s="136" t="str">
        <f t="array" aca="1" ref="U22" ca="1">IF(ROW()-ROW($J$2:$J$30)+1&gt;ROWS($I$2:$I$30)-COUNTBLANK($I$2:$I$30),"",INDIRECT(ADDRESS(SMALL((IF($I$2:$I$30&lt;&gt;"",ROW($I$2:$I$30),ROW()+ROWS($I$2:$I$30))),ROW()-ROW($J$2:$J$30)+1),COLUMN($I$2:$I$30),4)))</f>
        <v>-----</v>
      </c>
      <c r="V22" s="136" t="str">
        <f t="array" aca="1" ref="V22" ca="1">IF(ROW()-ROW($K$2:$K$30)+1&gt;ROWS($J$2:$J$30)-COUNTBLANK($J$2:$J$30),"",INDIRECT(ADDRESS(SMALL((IF($J$2:$J$30&lt;&gt;"",ROW($J$2:$J$30),ROW()+ROWS($J$2:$J$30))),ROW()-ROW($K$2:$K$30)+1),COLUMN($J$2:$J$30),4)))</f>
        <v>n.d.</v>
      </c>
      <c r="W22" s="136" t="str">
        <f t="array" aca="1" ref="W22" ca="1">IF(ROW()-ROW($L$2:$L$30)+1&gt;ROWS($K$2:$K$30)-COUNTBLANK($K$2:$K$30),"",INDIRECT(ADDRESS(SMALL((IF($K$2:$K$30&lt;&gt;"",ROW($K$2:$K$30),ROW()+ROWS($K$2:$K$30))),ROW()-ROW($L$2:$L$30)+1),COLUMN($K$2:$K$30),4)))</f>
        <v>Unvollständig</v>
      </c>
      <c r="X22" s="158" t="str">
        <f t="array" aca="1" ref="X22" ca="1">IF(ROW()-ROW($M$2:$M$30)+1&gt;ROWS($L$2:$L$30)-COUNTBLANK($L$2:$L$30),"",INDIRECT(ADDRESS(SMALL((IF($L$2:$L$30&lt;&gt;"",ROW($L$2:$L$30),ROW()+ROWS($L$2:$L$30))),ROW()-ROW($M$2:$M$30)+1),COLUMN($L$2:$L$30),4)))</f>
        <v>-----</v>
      </c>
      <c r="Y22" s="158" t="str">
        <f t="array" aca="1" ref="Y22" ca="1">IF(ROW()-ROW($N$2:$N$30)+1&gt;ROWS($M$2:$M$30)-COUNTBLANK($M$2:$M$30),"",INDIRECT(ADDRESS(SMALL((IF($M$2:$M$30&lt;&gt;"",ROW($M$2:$M$30),ROW()+ROWS($M$2:$M$30))),ROW()-ROW($N$2:$N$30)+1),COLUMN($M$2:$M$30),4)))</f>
        <v>-----</v>
      </c>
    </row>
    <row r="23" spans="1:25" ht="60" customHeight="1" x14ac:dyDescent="0.25">
      <c r="A23" s="158" t="str">
        <f>IF(KB_Lunge!P91=0,"",KB_Lunge!P91)</f>
        <v>Unvollständig</v>
      </c>
      <c r="C23" s="30">
        <f>IF($A23="I.O.","",KB_Lunge!A91)</f>
        <v>24</v>
      </c>
      <c r="D23" s="277" t="str">
        <f>IF($A23="I.O.","",KB_Lunge!C91)</f>
        <v>Molekularpathologische Untersuchung bei Pat. NSCLC Stadium IV</v>
      </c>
      <c r="E23" s="273" t="str">
        <f>IF(AND(KB_Lunge!J91="",$A23&lt;&gt;"I.O."),"-----",IF($A23="I.O.","",KB_Lunge!J91))</f>
        <v>-----</v>
      </c>
      <c r="F23" s="30" t="str">
        <f>IF($A23="I.O.","",KB_Lunge!K91)</f>
        <v>≥ 75%</v>
      </c>
      <c r="G23" s="273" t="str">
        <f>IF(AND(KB_Lunge!M91="",$A23&lt;&gt;"I.O."),"-----",IF($A23="I.O.","",KB_Lunge!M91))</f>
        <v>-----</v>
      </c>
      <c r="H23" s="275" t="str">
        <f>IF($A23="I.O.","",IF(KB_Lunge!O91="","-----",KB_Lunge!O91))</f>
        <v>-----</v>
      </c>
      <c r="I23" s="275" t="str">
        <f>IF($A23="I.O.","",IF(KB_Lunge!O92="","-----",KB_Lunge!O92))</f>
        <v>-----</v>
      </c>
      <c r="J23" s="269" t="str">
        <f>IF($A23="I.O.","",IF(KB_Lunge!O93="","-----",KB_Lunge!O93))</f>
        <v>n.d.</v>
      </c>
      <c r="K23" s="274" t="str">
        <f>IF($A23="I.O.","",KB_Lunge!P91)</f>
        <v>Unvollständig</v>
      </c>
      <c r="L23" s="277" t="str">
        <f>IF(AND(KB_Lunge!Q91="",$A23&lt;&gt;"I.O."),"-----",IF($A23="I.O.","",KB_Lunge!Q91))</f>
        <v>-----</v>
      </c>
      <c r="M23" s="277" t="str">
        <f>IF(AND(KB_Lunge!R91="",$A23&lt;&gt;"I.O."),"-----",IF($A23="I.O.","",KB_Lunge!R91))</f>
        <v>-----</v>
      </c>
      <c r="O23" s="136">
        <f t="array" aca="1" ref="O23" ca="1">IF(ROW()-ROW($D$2:$D$30)+1&gt;ROWS($C$2:$C$30)-COUNTBLANK($C$2:$C$30),"",INDIRECT(ADDRESS(SMALL((IF($C$2:$C$30&lt;&gt;"",ROW($C$2:$C$30),ROW()+ROWS($C$2:$C$30))),ROW()-ROW($D$2:$D$30)+1),COLUMN($C$2:$C$30),4)))</f>
        <v>24</v>
      </c>
      <c r="P23" s="276" t="str">
        <f t="array" aca="1" ref="P23" ca="1">IF(ROW()-ROW($E$2:$E$30)+1&gt;ROWS($D$2:$D$30)-COUNTBLANK($D$2:$D$30),"",INDIRECT(ADDRESS(SMALL((IF($D$2:$D$30&gt;"",ROW($D$2:$D$30),ROW()+ROWS($D$2:$D$30))),ROW()-ROW($E$2:$E$30)+1),COLUMN($D$2:$D$30),4)))</f>
        <v>Molekularpathologische Untersuchung bei Pat. NSCLC Stadium IV</v>
      </c>
      <c r="Q23" s="197" t="str">
        <f t="array" aca="1" ref="Q23" ca="1">IF(ROW()-ROW($F$2:$F$30)+1&gt;ROWS($E$2:$E$30)-COUNTBLANK($E$2:$E$30),"",INDIRECT(ADDRESS(SMALL((IF($E$2:$E$30&gt;"",ROW($E$2:$E$30),ROW()+ROWS($E$2:$E$30))),ROW()-ROW($F$2:$F$30)+1),COLUMN($E$2:$E$30),4)))</f>
        <v>-----</v>
      </c>
      <c r="R23" s="197" t="str">
        <f t="array" aca="1" ref="R23" ca="1">IF(ROW()-ROW($G$2:$G$30)+1&gt;ROWS($F$2:$F$30)-COUNTBLANK($F$2:$F$30),"",INDIRECT(ADDRESS(SMALL((IF($F$2:$F$30&gt;"",ROW($F$2:$F$30),ROW()+ROWS($F$2:$F$30))),ROW()-ROW($G$2:$G$30)+1),COLUMN($F$2:$F$30),4)))</f>
        <v>≥ 75%</v>
      </c>
      <c r="S23" s="197" t="str">
        <f t="array" aca="1" ref="S23" ca="1">IF(ROW()-ROW($H$2:$H$30)+1&gt;ROWS($G$2:$G$30)-COUNTBLANK($G$2:$G$30),"",INDIRECT(ADDRESS(SMALL((IF($G$2:$G$30&lt;&gt;"",ROW($G$2:$G$30),ROW()+ROWS($G$2:$G$30))),ROW()-ROW($H$2:$H$30)+1),COLUMN($G$2:$G$30),4)))</f>
        <v>-----</v>
      </c>
      <c r="T23" s="136" t="str">
        <f t="array" aca="1" ref="T23" ca="1">IF(ROW()-ROW($I$2:$I$30)+1&gt;ROWS($H$2:$H$30)-COUNTBLANK($H$2:$H$30),"",INDIRECT(ADDRESS(SMALL((IF($H$2:$H$30&lt;&gt;"",ROW($H$2:$H$30),ROW()+ROWS($H$2:$H$30))),ROW()-ROW($I$2:$I$30)+1),COLUMN($H$2:$H$30),4)))</f>
        <v>-----</v>
      </c>
      <c r="U23" s="136" t="str">
        <f t="array" aca="1" ref="U23" ca="1">IF(ROW()-ROW($J$2:$J$30)+1&gt;ROWS($I$2:$I$30)-COUNTBLANK($I$2:$I$30),"",INDIRECT(ADDRESS(SMALL((IF($I$2:$I$30&lt;&gt;"",ROW($I$2:$I$30),ROW()+ROWS($I$2:$I$30))),ROW()-ROW($J$2:$J$30)+1),COLUMN($I$2:$I$30),4)))</f>
        <v>-----</v>
      </c>
      <c r="V23" s="136" t="str">
        <f t="array" aca="1" ref="V23" ca="1">IF(ROW()-ROW($K$2:$K$30)+1&gt;ROWS($J$2:$J$30)-COUNTBLANK($J$2:$J$30),"",INDIRECT(ADDRESS(SMALL((IF($J$2:$J$30&lt;&gt;"",ROW($J$2:$J$30),ROW()+ROWS($J$2:$J$30))),ROW()-ROW($K$2:$K$30)+1),COLUMN($J$2:$J$30),4)))</f>
        <v>n.d.</v>
      </c>
      <c r="W23" s="136" t="str">
        <f t="array" aca="1" ref="W23" ca="1">IF(ROW()-ROW($L$2:$L$30)+1&gt;ROWS($K$2:$K$30)-COUNTBLANK($K$2:$K$30),"",INDIRECT(ADDRESS(SMALL((IF($K$2:$K$30&lt;&gt;"",ROW($K$2:$K$30),ROW()+ROWS($K$2:$K$30))),ROW()-ROW($L$2:$L$30)+1),COLUMN($K$2:$K$30),4)))</f>
        <v>Unvollständig</v>
      </c>
      <c r="X23" s="158" t="str">
        <f t="array" aca="1" ref="X23" ca="1">IF(ROW()-ROW($M$2:$M$30)+1&gt;ROWS($L$2:$L$30)-COUNTBLANK($L$2:$L$30),"",INDIRECT(ADDRESS(SMALL((IF($L$2:$L$30&lt;&gt;"",ROW($L$2:$L$30),ROW()+ROWS($L$2:$L$30))),ROW()-ROW($M$2:$M$30)+1),COLUMN($L$2:$L$30),4)))</f>
        <v>-----</v>
      </c>
      <c r="Y23" s="158" t="str">
        <f t="array" aca="1" ref="Y23" ca="1">IF(ROW()-ROW($N$2:$N$30)+1&gt;ROWS($M$2:$M$30)-COUNTBLANK($M$2:$M$30),"",INDIRECT(ADDRESS(SMALL((IF($M$2:$M$30&lt;&gt;"",ROW($M$2:$M$30),ROW()+ROWS($M$2:$M$30))),ROW()-ROW($N$2:$N$30)+1),COLUMN($M$2:$M$30),4)))</f>
        <v>-----</v>
      </c>
    </row>
    <row r="24" spans="1:25" ht="60" customHeight="1" x14ac:dyDescent="0.25">
      <c r="A24" s="158" t="str">
        <f>IF(KB_Lunge!P97=0,"",KB_Lunge!P97)</f>
        <v>Unvollständig</v>
      </c>
      <c r="C24" s="30">
        <f>IF($A24="I.O.","",KB_Lunge!A97)</f>
        <v>26</v>
      </c>
      <c r="D24" s="277" t="str">
        <f>IF($A24="I.O.","",KB_Lunge!C97)</f>
        <v>Erstlinientherapie mit EGFR-TKI bei Pat. NSCLC Stadium IV mit typischer aktivierender EGFR-Mutation (del 19, L858R) und ECOG 0-2</v>
      </c>
      <c r="E24" s="273" t="str">
        <f>IF(AND(KB_Lunge!J97="",$A24&lt;&gt;"I.O."),"-----",IF($A24="I.O.","",KB_Lunge!J97))</f>
        <v>&lt; 30%</v>
      </c>
      <c r="F24" s="30" t="str">
        <f>IF($A24="I.O.","",KB_Lunge!K97)</f>
        <v>Derzeit keine Vorgaben</v>
      </c>
      <c r="G24" s="273" t="str">
        <f>IF(AND(KB_Lunge!M97="",$A24&lt;&gt;"I.O."),"-----",IF($A24="I.O.","",KB_Lunge!M97))</f>
        <v>-----</v>
      </c>
      <c r="H24" s="275" t="str">
        <f>IF($A24="I.O.","",IF(KB_Lunge!O97="","-----",KB_Lunge!O97))</f>
        <v>-----</v>
      </c>
      <c r="I24" s="275" t="str">
        <f>IF($A24="I.O.","",IF(KB_Lunge!O98="","-----",KB_Lunge!O98))</f>
        <v>-----</v>
      </c>
      <c r="J24" s="269" t="str">
        <f>IF($A24="I.O.","",IF(KB_Lunge!O99="","-----",KB_Lunge!O99))</f>
        <v>n.d.</v>
      </c>
      <c r="K24" s="274" t="str">
        <f>IF($A24="I.O.","",KB_Lunge!P97)</f>
        <v>Unvollständig</v>
      </c>
      <c r="L24" s="277" t="str">
        <f>IF(AND(KB_Lunge!Q97="",$A24&lt;&gt;"I.O."),"-----",IF($A24="I.O.","",KB_Lunge!Q97))</f>
        <v>-----</v>
      </c>
      <c r="M24" s="277" t="str">
        <f>IF(AND(KB_Lunge!R97="",$A24&lt;&gt;"I.O."),"-----",IF($A24="I.O.","",KB_Lunge!R97))</f>
        <v>-----</v>
      </c>
      <c r="O24" s="136">
        <f t="array" aca="1" ref="O24" ca="1">IF(ROW()-ROW($D$2:$D$30)+1&gt;ROWS($C$2:$C$30)-COUNTBLANK($C$2:$C$30),"",INDIRECT(ADDRESS(SMALL((IF($C$2:$C$30&lt;&gt;"",ROW($C$2:$C$30),ROW()+ROWS($C$2:$C$30))),ROW()-ROW($D$2:$D$30)+1),COLUMN($C$2:$C$30),4)))</f>
        <v>26</v>
      </c>
      <c r="P24" s="276" t="str">
        <f t="array" aca="1" ref="P24" ca="1">IF(ROW()-ROW($E$2:$E$30)+1&gt;ROWS($D$2:$D$30)-COUNTBLANK($D$2:$D$30),"",INDIRECT(ADDRESS(SMALL((IF($D$2:$D$30&gt;"",ROW($D$2:$D$30),ROW()+ROWS($D$2:$D$30))),ROW()-ROW($E$2:$E$30)+1),COLUMN($D$2:$D$30),4)))</f>
        <v>Erstlinientherapie mit EGFR-TKI bei Pat. NSCLC Stadium IV mit typischer aktivierender EGFR-Mutation (del 19, L858R) und ECOG 0-2</v>
      </c>
      <c r="Q24" s="197" t="str">
        <f t="array" aca="1" ref="Q24" ca="1">IF(ROW()-ROW($F$2:$F$30)+1&gt;ROWS($E$2:$E$30)-COUNTBLANK($E$2:$E$30),"",INDIRECT(ADDRESS(SMALL((IF($E$2:$E$30&gt;"",ROW($E$2:$E$30),ROW()+ROWS($E$2:$E$30))),ROW()-ROW($F$2:$F$30)+1),COLUMN($E$2:$E$30),4)))</f>
        <v>&lt; 30%</v>
      </c>
      <c r="R24" s="197" t="str">
        <f t="array" aca="1" ref="R24" ca="1">IF(ROW()-ROW($G$2:$G$30)+1&gt;ROWS($F$2:$F$30)-COUNTBLANK($F$2:$F$30),"",INDIRECT(ADDRESS(SMALL((IF($F$2:$F$30&gt;"",ROW($F$2:$F$30),ROW()+ROWS($F$2:$F$30))),ROW()-ROW($G$2:$G$30)+1),COLUMN($F$2:$F$30),4)))</f>
        <v>Derzeit keine Vorgaben</v>
      </c>
      <c r="S24" s="197" t="str">
        <f t="array" aca="1" ref="S24" ca="1">IF(ROW()-ROW($H$2:$H$30)+1&gt;ROWS($G$2:$G$30)-COUNTBLANK($G$2:$G$30),"",INDIRECT(ADDRESS(SMALL((IF($G$2:$G$30&lt;&gt;"",ROW($G$2:$G$30),ROW()+ROWS($G$2:$G$30))),ROW()-ROW($H$2:$H$30)+1),COLUMN($G$2:$G$30),4)))</f>
        <v>-----</v>
      </c>
      <c r="T24" s="136" t="str">
        <f t="array" aca="1" ref="T24" ca="1">IF(ROW()-ROW($I$2:$I$30)+1&gt;ROWS($H$2:$H$30)-COUNTBLANK($H$2:$H$30),"",INDIRECT(ADDRESS(SMALL((IF($H$2:$H$30&lt;&gt;"",ROW($H$2:$H$30),ROW()+ROWS($H$2:$H$30))),ROW()-ROW($I$2:$I$30)+1),COLUMN($H$2:$H$30),4)))</f>
        <v>-----</v>
      </c>
      <c r="U24" s="136" t="str">
        <f t="array" aca="1" ref="U24" ca="1">IF(ROW()-ROW($J$2:$J$30)+1&gt;ROWS($I$2:$I$30)-COUNTBLANK($I$2:$I$30),"",INDIRECT(ADDRESS(SMALL((IF($I$2:$I$30&lt;&gt;"",ROW($I$2:$I$30),ROW()+ROWS($I$2:$I$30))),ROW()-ROW($J$2:$J$30)+1),COLUMN($I$2:$I$30),4)))</f>
        <v>-----</v>
      </c>
      <c r="V24" s="136" t="str">
        <f t="array" aca="1" ref="V24" ca="1">IF(ROW()-ROW($K$2:$K$30)+1&gt;ROWS($J$2:$J$30)-COUNTBLANK($J$2:$J$30),"",INDIRECT(ADDRESS(SMALL((IF($J$2:$J$30&lt;&gt;"",ROW($J$2:$J$30),ROW()+ROWS($J$2:$J$30))),ROW()-ROW($K$2:$K$30)+1),COLUMN($J$2:$J$30),4)))</f>
        <v>n.d.</v>
      </c>
      <c r="W24" s="136" t="str">
        <f t="array" aca="1" ref="W24" ca="1">IF(ROW()-ROW($L$2:$L$30)+1&gt;ROWS($K$2:$K$30)-COUNTBLANK($K$2:$K$30),"",INDIRECT(ADDRESS(SMALL((IF($K$2:$K$30&lt;&gt;"",ROW($K$2:$K$30),ROW()+ROWS($K$2:$K$30))),ROW()-ROW($L$2:$L$30)+1),COLUMN($K$2:$K$30),4)))</f>
        <v>Unvollständig</v>
      </c>
      <c r="X24" s="158" t="str">
        <f t="array" aca="1" ref="X24" ca="1">IF(ROW()-ROW($M$2:$M$30)+1&gt;ROWS($L$2:$L$30)-COUNTBLANK($L$2:$L$30),"",INDIRECT(ADDRESS(SMALL((IF($L$2:$L$30&lt;&gt;"",ROW($L$2:$L$30),ROW()+ROWS($L$2:$L$30))),ROW()-ROW($M$2:$M$30)+1),COLUMN($L$2:$L$30),4)))</f>
        <v>-----</v>
      </c>
      <c r="Y24" s="158" t="str">
        <f t="array" aca="1" ref="Y24" ca="1">IF(ROW()-ROW($N$2:$N$30)+1&gt;ROWS($M$2:$M$30)-COUNTBLANK($M$2:$M$30),"",INDIRECT(ADDRESS(SMALL((IF($M$2:$M$30&lt;&gt;"",ROW($M$2:$M$30),ROW()+ROWS($M$2:$M$30))),ROW()-ROW($N$2:$N$30)+1),COLUMN($M$2:$M$30),4)))</f>
        <v>-----</v>
      </c>
    </row>
    <row r="25" spans="1:25" ht="60" customHeight="1" x14ac:dyDescent="0.25">
      <c r="A25" s="158" t="str">
        <f>IF(KB_Lunge!P100=0,"",KB_Lunge!P100)</f>
        <v>Unvollständig</v>
      </c>
      <c r="C25" s="30">
        <f>IF($A25="I.O.","",KB_Lunge!A100)</f>
        <v>27</v>
      </c>
      <c r="D25" s="277" t="str">
        <f>IF($A25="I.O.","",KB_Lunge!C100)</f>
        <v>Erstlinientherapie mit ZNS-wirksamer ALK-spezifischer TKI-Therapie bei Pat. mit ALK positivem NSCLC im Stadium IV</v>
      </c>
      <c r="E25" s="273" t="str">
        <f>IF(AND(KB_Lunge!J100="",$A25&lt;&gt;"I.O."),"-----",IF($A25="I.O.","",KB_Lunge!J100))</f>
        <v>&lt; 30%</v>
      </c>
      <c r="F25" s="30" t="str">
        <f>IF($A25="I.O.","",KB_Lunge!K100)</f>
        <v>Derzeit keine Vorgaben</v>
      </c>
      <c r="G25" s="273" t="str">
        <f>IF(AND(KB_Lunge!M100="",$A25&lt;&gt;"I.O."),"-----",IF($A25="I.O.","",KB_Lunge!M100))</f>
        <v>-----</v>
      </c>
      <c r="H25" s="275" t="str">
        <f>IF($A25="I.O.","",IF(KB_Lunge!O100="","-----",KB_Lunge!O100))</f>
        <v>-----</v>
      </c>
      <c r="I25" s="275" t="str">
        <f>IF($A25="I.O.","",IF(KB_Lunge!O101="","-----",KB_Lunge!O101))</f>
        <v>-----</v>
      </c>
      <c r="J25" s="269" t="str">
        <f>IF($A25="I.O.","",IF(KB_Lunge!O102="","-----",KB_Lunge!O102))</f>
        <v>n.d.</v>
      </c>
      <c r="K25" s="274" t="str">
        <f>IF($A25="I.O.","",KB_Lunge!P100)</f>
        <v>Unvollständig</v>
      </c>
      <c r="L25" s="277" t="str">
        <f>IF(AND(KB_Lunge!Q100="",$A25&lt;&gt;"I.O."),"-----",IF($A25="I.O.","",KB_Lunge!Q100))</f>
        <v>-----</v>
      </c>
      <c r="M25" s="277" t="str">
        <f>IF(AND(KB_Lunge!R100="",$A25&lt;&gt;"I.O."),"-----",IF($A25="I.O.","",KB_Lunge!R100))</f>
        <v>-----</v>
      </c>
      <c r="O25" s="136">
        <f t="array" aca="1" ref="O25" ca="1">IF(ROW()-ROW($D$2:$D$30)+1&gt;ROWS($C$2:$C$30)-COUNTBLANK($C$2:$C$30),"",INDIRECT(ADDRESS(SMALL((IF($C$2:$C$30&lt;&gt;"",ROW($C$2:$C$30),ROW()+ROWS($C$2:$C$30))),ROW()-ROW($D$2:$D$30)+1),COLUMN($C$2:$C$30),4)))</f>
        <v>27</v>
      </c>
      <c r="P25" s="276" t="str">
        <f t="array" aca="1" ref="P25" ca="1">IF(ROW()-ROW($E$2:$E$30)+1&gt;ROWS($D$2:$D$30)-COUNTBLANK($D$2:$D$30),"",INDIRECT(ADDRESS(SMALL((IF($D$2:$D$30&gt;"",ROW($D$2:$D$30),ROW()+ROWS($D$2:$D$30))),ROW()-ROW($E$2:$E$30)+1),COLUMN($D$2:$D$30),4)))</f>
        <v>Erstlinientherapie mit ZNS-wirksamer ALK-spezifischer TKI-Therapie bei Pat. mit ALK positivem NSCLC im Stadium IV</v>
      </c>
      <c r="Q25" s="197" t="str">
        <f t="array" aca="1" ref="Q25" ca="1">IF(ROW()-ROW($F$2:$F$30)+1&gt;ROWS($E$2:$E$30)-COUNTBLANK($E$2:$E$30),"",INDIRECT(ADDRESS(SMALL((IF($E$2:$E$30&gt;"",ROW($E$2:$E$30),ROW()+ROWS($E$2:$E$30))),ROW()-ROW($F$2:$F$30)+1),COLUMN($E$2:$E$30),4)))</f>
        <v>&lt; 30%</v>
      </c>
      <c r="R25" s="197" t="str">
        <f t="array" aca="1" ref="R25" ca="1">IF(ROW()-ROW($G$2:$G$30)+1&gt;ROWS($F$2:$F$30)-COUNTBLANK($F$2:$F$30),"",INDIRECT(ADDRESS(SMALL((IF($F$2:$F$30&gt;"",ROW($F$2:$F$30),ROW()+ROWS($F$2:$F$30))),ROW()-ROW($G$2:$G$30)+1),COLUMN($F$2:$F$30),4)))</f>
        <v>Derzeit keine Vorgaben</v>
      </c>
      <c r="S25" s="197" t="str">
        <f t="array" aca="1" ref="S25" ca="1">IF(ROW()-ROW($H$2:$H$30)+1&gt;ROWS($G$2:$G$30)-COUNTBLANK($G$2:$G$30),"",INDIRECT(ADDRESS(SMALL((IF($G$2:$G$30&lt;&gt;"",ROW($G$2:$G$30),ROW()+ROWS($G$2:$G$30))),ROW()-ROW($H$2:$H$30)+1),COLUMN($G$2:$G$30),4)))</f>
        <v>-----</v>
      </c>
      <c r="T25" s="136" t="str">
        <f t="array" aca="1" ref="T25" ca="1">IF(ROW()-ROW($I$2:$I$30)+1&gt;ROWS($H$2:$H$30)-COUNTBLANK($H$2:$H$30),"",INDIRECT(ADDRESS(SMALL((IF($H$2:$H$30&lt;&gt;"",ROW($H$2:$H$30),ROW()+ROWS($H$2:$H$30))),ROW()-ROW($I$2:$I$30)+1),COLUMN($H$2:$H$30),4)))</f>
        <v>-----</v>
      </c>
      <c r="U25" s="136" t="str">
        <f t="array" aca="1" ref="U25" ca="1">IF(ROW()-ROW($J$2:$J$30)+1&gt;ROWS($I$2:$I$30)-COUNTBLANK($I$2:$I$30),"",INDIRECT(ADDRESS(SMALL((IF($I$2:$I$30&lt;&gt;"",ROW($I$2:$I$30),ROW()+ROWS($I$2:$I$30))),ROW()-ROW($J$2:$J$30)+1),COLUMN($I$2:$I$30),4)))</f>
        <v>-----</v>
      </c>
      <c r="V25" s="136" t="str">
        <f t="array" aca="1" ref="V25" ca="1">IF(ROW()-ROW($K$2:$K$30)+1&gt;ROWS($J$2:$J$30)-COUNTBLANK($J$2:$J$30),"",INDIRECT(ADDRESS(SMALL((IF($J$2:$J$30&lt;&gt;"",ROW($J$2:$J$30),ROW()+ROWS($J$2:$J$30))),ROW()-ROW($K$2:$K$30)+1),COLUMN($J$2:$J$30),4)))</f>
        <v>n.d.</v>
      </c>
      <c r="W25" s="136" t="str">
        <f t="array" aca="1" ref="W25" ca="1">IF(ROW()-ROW($L$2:$L$30)+1&gt;ROWS($K$2:$K$30)-COUNTBLANK($K$2:$K$30),"",INDIRECT(ADDRESS(SMALL((IF($K$2:$K$30&lt;&gt;"",ROW($K$2:$K$30),ROW()+ROWS($K$2:$K$30))),ROW()-ROW($L$2:$L$30)+1),COLUMN($K$2:$K$30),4)))</f>
        <v>Unvollständig</v>
      </c>
      <c r="X25" s="158" t="str">
        <f t="array" aca="1" ref="X25" ca="1">IF(ROW()-ROW($M$2:$M$30)+1&gt;ROWS($L$2:$L$30)-COUNTBLANK($L$2:$L$30),"",INDIRECT(ADDRESS(SMALL((IF($L$2:$L$30&lt;&gt;"",ROW($L$2:$L$30),ROW()+ROWS($L$2:$L$30))),ROW()-ROW($M$2:$M$30)+1),COLUMN($L$2:$L$30),4)))</f>
        <v>-----</v>
      </c>
      <c r="Y25" s="158" t="str">
        <f t="array" aca="1" ref="Y25" ca="1">IF(ROW()-ROW($N$2:$N$30)+1&gt;ROWS($M$2:$M$30)-COUNTBLANK($M$2:$M$30),"",INDIRECT(ADDRESS(SMALL((IF($M$2:$M$30&lt;&gt;"",ROW($M$2:$M$30),ROW()+ROWS($M$2:$M$30))),ROW()-ROW($N$2:$N$30)+1),COLUMN($M$2:$M$30),4)))</f>
        <v>-----</v>
      </c>
    </row>
    <row r="26" spans="1:25" ht="60" customHeight="1" x14ac:dyDescent="0.25">
      <c r="A26" s="158" t="str">
        <f>IF(KB_Lunge!P103=0,"",KB_Lunge!P103)</f>
        <v>Unvollständig</v>
      </c>
      <c r="C26" s="30">
        <f>IF($A26="I.O.","",KB_Lunge!A103)</f>
        <v>28</v>
      </c>
      <c r="D26" s="277" t="str">
        <f>IF($A26="I.O.","",KB_Lunge!C103)</f>
        <v>Kombinierte Radiochemotherapie bei SCLC Stad. IIB – IIIC</v>
      </c>
      <c r="E26" s="273" t="str">
        <f>IF(AND(KB_Lunge!J103="",$A26&lt;&gt;"I.O."),"-----",IF($A26="I.O.","",KB_Lunge!J103))</f>
        <v>&lt; 30%</v>
      </c>
      <c r="F26" s="30" t="str">
        <f>IF($A26="I.O.","",KB_Lunge!K103)</f>
        <v>Derzeit keine Vorgaben</v>
      </c>
      <c r="G26" s="273" t="str">
        <f>IF(AND(KB_Lunge!M103="",$A26&lt;&gt;"I.O."),"-----",IF($A26="I.O.","",KB_Lunge!M103))</f>
        <v>-----</v>
      </c>
      <c r="H26" s="275" t="str">
        <f>IF($A26="I.O.","",IF(KB_Lunge!O103="","-----",KB_Lunge!O103))</f>
        <v>-----</v>
      </c>
      <c r="I26" s="275" t="str">
        <f>IF($A26="I.O.","",IF(KB_Lunge!O104="","-----",KB_Lunge!O104))</f>
        <v>-----</v>
      </c>
      <c r="J26" s="269" t="str">
        <f>IF($A26="I.O.","",IF(KB_Lunge!O105="","-----",KB_Lunge!O105))</f>
        <v>n.d.</v>
      </c>
      <c r="K26" s="274" t="str">
        <f>IF($A26="I.O.","",KB_Lunge!P103)</f>
        <v>Unvollständig</v>
      </c>
      <c r="L26" s="277" t="str">
        <f>IF(AND(KB_Lunge!Q103="",$A26&lt;&gt;"I.O."),"-----",IF($A26="I.O.","",KB_Lunge!Q103))</f>
        <v>-----</v>
      </c>
      <c r="M26" s="277" t="str">
        <f>IF(AND(KB_Lunge!R103="",$A26&lt;&gt;"I.O."),"-----",IF($A26="I.O.","",KB_Lunge!R103))</f>
        <v>-----</v>
      </c>
      <c r="O26" s="136">
        <f t="array" aca="1" ref="O26" ca="1">IF(ROW()-ROW($D$2:$D$30)+1&gt;ROWS($C$2:$C$30)-COUNTBLANK($C$2:$C$30),"",INDIRECT(ADDRESS(SMALL((IF($C$2:$C$30&lt;&gt;"",ROW($C$2:$C$30),ROW()+ROWS($C$2:$C$30))),ROW()-ROW($D$2:$D$30)+1),COLUMN($C$2:$C$30),4)))</f>
        <v>28</v>
      </c>
      <c r="P26" s="276" t="str">
        <f t="array" aca="1" ref="P26" ca="1">IF(ROW()-ROW($E$2:$E$30)+1&gt;ROWS($D$2:$D$30)-COUNTBLANK($D$2:$D$30),"",INDIRECT(ADDRESS(SMALL((IF($D$2:$D$30&gt;"",ROW($D$2:$D$30),ROW()+ROWS($D$2:$D$30))),ROW()-ROW($E$2:$E$30)+1),COLUMN($D$2:$D$30),4)))</f>
        <v>Kombinierte Radiochemotherapie bei SCLC Stad. IIB – IIIC</v>
      </c>
      <c r="Q26" s="197" t="str">
        <f t="array" aca="1" ref="Q26" ca="1">IF(ROW()-ROW($F$2:$F$30)+1&gt;ROWS($E$2:$E$30)-COUNTBLANK($E$2:$E$30),"",INDIRECT(ADDRESS(SMALL((IF($E$2:$E$30&gt;"",ROW($E$2:$E$30),ROW()+ROWS($E$2:$E$30))),ROW()-ROW($F$2:$F$30)+1),COLUMN($E$2:$E$30),4)))</f>
        <v>&lt; 30%</v>
      </c>
      <c r="R26" s="197" t="str">
        <f t="array" aca="1" ref="R26" ca="1">IF(ROW()-ROW($G$2:$G$30)+1&gt;ROWS($F$2:$F$30)-COUNTBLANK($F$2:$F$30),"",INDIRECT(ADDRESS(SMALL((IF($F$2:$F$30&gt;"",ROW($F$2:$F$30),ROW()+ROWS($F$2:$F$30))),ROW()-ROW($G$2:$G$30)+1),COLUMN($F$2:$F$30),4)))</f>
        <v>Derzeit keine Vorgaben</v>
      </c>
      <c r="S26" s="197" t="str">
        <f t="array" aca="1" ref="S26" ca="1">IF(ROW()-ROW($H$2:$H$30)+1&gt;ROWS($G$2:$G$30)-COUNTBLANK($G$2:$G$30),"",INDIRECT(ADDRESS(SMALL((IF($G$2:$G$30&lt;&gt;"",ROW($G$2:$G$30),ROW()+ROWS($G$2:$G$30))),ROW()-ROW($H$2:$H$30)+1),COLUMN($G$2:$G$30),4)))</f>
        <v>-----</v>
      </c>
      <c r="T26" s="136" t="str">
        <f t="array" aca="1" ref="T26" ca="1">IF(ROW()-ROW($I$2:$I$30)+1&gt;ROWS($H$2:$H$30)-COUNTBLANK($H$2:$H$30),"",INDIRECT(ADDRESS(SMALL((IF($H$2:$H$30&lt;&gt;"",ROW($H$2:$H$30),ROW()+ROWS($H$2:$H$30))),ROW()-ROW($I$2:$I$30)+1),COLUMN($H$2:$H$30),4)))</f>
        <v>-----</v>
      </c>
      <c r="U26" s="136" t="str">
        <f t="array" aca="1" ref="U26" ca="1">IF(ROW()-ROW($J$2:$J$30)+1&gt;ROWS($I$2:$I$30)-COUNTBLANK($I$2:$I$30),"",INDIRECT(ADDRESS(SMALL((IF($I$2:$I$30&lt;&gt;"",ROW($I$2:$I$30),ROW()+ROWS($I$2:$I$30))),ROW()-ROW($J$2:$J$30)+1),COLUMN($I$2:$I$30),4)))</f>
        <v>-----</v>
      </c>
      <c r="V26" s="136" t="str">
        <f t="array" aca="1" ref="V26" ca="1">IF(ROW()-ROW($K$2:$K$30)+1&gt;ROWS($J$2:$J$30)-COUNTBLANK($J$2:$J$30),"",INDIRECT(ADDRESS(SMALL((IF($J$2:$J$30&lt;&gt;"",ROW($J$2:$J$30),ROW()+ROWS($J$2:$J$30))),ROW()-ROW($K$2:$K$30)+1),COLUMN($J$2:$J$30),4)))</f>
        <v>n.d.</v>
      </c>
      <c r="W26" s="136" t="str">
        <f t="array" aca="1" ref="W26" ca="1">IF(ROW()-ROW($L$2:$L$30)+1&gt;ROWS($K$2:$K$30)-COUNTBLANK($K$2:$K$30),"",INDIRECT(ADDRESS(SMALL((IF($K$2:$K$30&lt;&gt;"",ROW($K$2:$K$30),ROW()+ROWS($K$2:$K$30))),ROW()-ROW($L$2:$L$30)+1),COLUMN($K$2:$K$30),4)))</f>
        <v>Unvollständig</v>
      </c>
      <c r="X26" s="158" t="str">
        <f t="array" aca="1" ref="X26" ca="1">IF(ROW()-ROW($M$2:$M$30)+1&gt;ROWS($L$2:$L$30)-COUNTBLANK($L$2:$L$30),"",INDIRECT(ADDRESS(SMALL((IF($L$2:$L$30&lt;&gt;"",ROW($L$2:$L$30),ROW()+ROWS($L$2:$L$30))),ROW()-ROW($M$2:$M$30)+1),COLUMN($L$2:$L$30),4)))</f>
        <v>-----</v>
      </c>
      <c r="Y26" s="158" t="str">
        <f t="array" aca="1" ref="Y26" ca="1">IF(ROW()-ROW($N$2:$N$30)+1&gt;ROWS($M$2:$M$30)-COUNTBLANK($M$2:$M$30),"",INDIRECT(ADDRESS(SMALL((IF($M$2:$M$30&lt;&gt;"",ROW($M$2:$M$30),ROW()+ROWS($M$2:$M$30))),ROW()-ROW($N$2:$N$30)+1),COLUMN($M$2:$M$30),4)))</f>
        <v>-----</v>
      </c>
    </row>
    <row r="27" spans="1:25" ht="60" customHeight="1" x14ac:dyDescent="0.25">
      <c r="A27" s="158" t="str">
        <f>IF(KB_Lunge!P112=0,"",KB_Lunge!P112)</f>
        <v>Unvollständig</v>
      </c>
      <c r="C27" s="30">
        <f>IF($A27="I.O.","",KB_Lunge!A112)</f>
        <v>31</v>
      </c>
      <c r="D27" s="277" t="str">
        <f>IF($A27="I.O.","",KB_Lunge!C112)</f>
        <v>CTCAE Grad V unter Systemtherapie</v>
      </c>
      <c r="E27" s="273" t="str">
        <f>IF(AND(KB_Lunge!J112="",$A27&lt;&gt;"I.O."),"-----",IF($A27="I.O.","",KB_Lunge!J112))</f>
        <v>-----</v>
      </c>
      <c r="F27" s="30" t="str">
        <f>IF($A27="I.O.","",KB_Lunge!K112)</f>
        <v>Derzeit keine Vorgaben</v>
      </c>
      <c r="G27" s="273" t="str">
        <f>IF(AND(KB_Lunge!M112="",$A27&lt;&gt;"I.O."),"-----",IF($A27="I.O.","",KB_Lunge!M112))</f>
        <v>&gt; 5%</v>
      </c>
      <c r="H27" s="275" t="str">
        <f>IF($A27="I.O.","",IF(KB_Lunge!O112="","-----",KB_Lunge!O112))</f>
        <v>-----</v>
      </c>
      <c r="I27" s="275" t="str">
        <f>IF($A27="I.O.","",IF(KB_Lunge!O113="","-----",KB_Lunge!O113))</f>
        <v>-----</v>
      </c>
      <c r="J27" s="269" t="str">
        <f>IF($A27="I.O.","",IF(KB_Lunge!O114="",0,KB_Lunge!O114))</f>
        <v>n.d.</v>
      </c>
      <c r="K27" s="274" t="str">
        <f>IF($A27="I.O.","",KB_Lunge!P112)</f>
        <v>Unvollständig</v>
      </c>
      <c r="L27" s="277" t="str">
        <f>IF(AND(KB_Lunge!Q112="",$A27&lt;&gt;"I.O."),"-----",IF($A27="I.O.","",KB_Lunge!Q112))</f>
        <v>-----</v>
      </c>
      <c r="M27" s="277" t="str">
        <f>IF(AND(KB_Lunge!R112="",$A27&lt;&gt;"I.O."),"-----",IF($A27="I.O.","",KB_Lunge!R112))</f>
        <v>-----</v>
      </c>
      <c r="O27" s="136">
        <f t="array" aca="1" ref="O27" ca="1">IF(ROW()-ROW($D$2:$D$30)+1&gt;ROWS($C$2:$C$30)-COUNTBLANK($C$2:$C$30),"",INDIRECT(ADDRESS(SMALL((IF($C$2:$C$30&lt;&gt;"",ROW($C$2:$C$30),ROW()+ROWS($C$2:$C$30))),ROW()-ROW($D$2:$D$30)+1),COLUMN($C$2:$C$30),4)))</f>
        <v>31</v>
      </c>
      <c r="P27" s="276" t="str">
        <f t="array" aca="1" ref="P27" ca="1">IF(ROW()-ROW($E$2:$E$30)+1&gt;ROWS($D$2:$D$30)-COUNTBLANK($D$2:$D$30),"",INDIRECT(ADDRESS(SMALL((IF($D$2:$D$30&gt;"",ROW($D$2:$D$30),ROW()+ROWS($D$2:$D$30))),ROW()-ROW($E$2:$E$30)+1),COLUMN($D$2:$D$30),4)))</f>
        <v>CTCAE Grad V unter Systemtherapie</v>
      </c>
      <c r="Q27" s="197" t="str">
        <f t="array" aca="1" ref="Q27" ca="1">IF(ROW()-ROW($F$2:$F$30)+1&gt;ROWS($E$2:$E$30)-COUNTBLANK($E$2:$E$30),"",INDIRECT(ADDRESS(SMALL((IF($E$2:$E$30&gt;"",ROW($E$2:$E$30),ROW()+ROWS($E$2:$E$30))),ROW()-ROW($F$2:$F$30)+1),COLUMN($E$2:$E$30),4)))</f>
        <v>-----</v>
      </c>
      <c r="R27" s="197" t="str">
        <f t="array" aca="1" ref="R27" ca="1">IF(ROW()-ROW($G$2:$G$30)+1&gt;ROWS($F$2:$F$30)-COUNTBLANK($F$2:$F$30),"",INDIRECT(ADDRESS(SMALL((IF($F$2:$F$30&gt;"",ROW($F$2:$F$30),ROW()+ROWS($F$2:$F$30))),ROW()-ROW($G$2:$G$30)+1),COLUMN($F$2:$F$30),4)))</f>
        <v>Derzeit keine Vorgaben</v>
      </c>
      <c r="S27" s="197" t="str">
        <f t="array" aca="1" ref="S27" ca="1">IF(ROW()-ROW($H$2:$H$30)+1&gt;ROWS($G$2:$G$30)-COUNTBLANK($G$2:$G$30),"",INDIRECT(ADDRESS(SMALL((IF($G$2:$G$30&lt;&gt;"",ROW($G$2:$G$30),ROW()+ROWS($G$2:$G$30))),ROW()-ROW($H$2:$H$30)+1),COLUMN($G$2:$G$30),4)))</f>
        <v>&gt; 5%</v>
      </c>
      <c r="T27" s="136" t="str">
        <f t="array" aca="1" ref="T27" ca="1">IF(ROW()-ROW($I$2:$I$30)+1&gt;ROWS($H$2:$H$30)-COUNTBLANK($H$2:$H$30),"",INDIRECT(ADDRESS(SMALL((IF($H$2:$H$30&lt;&gt;"",ROW($H$2:$H$30),ROW()+ROWS($H$2:$H$30))),ROW()-ROW($I$2:$I$30)+1),COLUMN($H$2:$H$30),4)))</f>
        <v>-----</v>
      </c>
      <c r="U27" s="136" t="str">
        <f t="array" aca="1" ref="U27" ca="1">IF(ROW()-ROW($J$2:$J$30)+1&gt;ROWS($I$2:$I$30)-COUNTBLANK($I$2:$I$30),"",INDIRECT(ADDRESS(SMALL((IF($I$2:$I$30&lt;&gt;"",ROW($I$2:$I$30),ROW()+ROWS($I$2:$I$30))),ROW()-ROW($J$2:$J$30)+1),COLUMN($I$2:$I$30),4)))</f>
        <v>-----</v>
      </c>
      <c r="V27" s="136" t="str">
        <f t="array" aca="1" ref="V27" ca="1">IF(ROW()-ROW($K$2:$K$30)+1&gt;ROWS($J$2:$J$30)-COUNTBLANK($J$2:$J$30),"",INDIRECT(ADDRESS(SMALL((IF($J$2:$J$30&lt;&gt;"",ROW($J$2:$J$30),ROW()+ROWS($J$2:$J$30))),ROW()-ROW($K$2:$K$30)+1),COLUMN($J$2:$J$30),4)))</f>
        <v>n.d.</v>
      </c>
      <c r="W27" s="136" t="str">
        <f t="array" aca="1" ref="W27" ca="1">IF(ROW()-ROW($L$2:$L$30)+1&gt;ROWS($K$2:$K$30)-COUNTBLANK($K$2:$K$30),"",INDIRECT(ADDRESS(SMALL((IF($K$2:$K$30&lt;&gt;"",ROW($K$2:$K$30),ROW()+ROWS($K$2:$K$30))),ROW()-ROW($L$2:$L$30)+1),COLUMN($K$2:$K$30),4)))</f>
        <v>Unvollständig</v>
      </c>
      <c r="X27" s="158" t="str">
        <f t="array" aca="1" ref="X27" ca="1">IF(ROW()-ROW($M$2:$M$30)+1&gt;ROWS($L$2:$L$30)-COUNTBLANK($L$2:$L$30),"",INDIRECT(ADDRESS(SMALL((IF($L$2:$L$30&lt;&gt;"",ROW($L$2:$L$30),ROW()+ROWS($L$2:$L$30))),ROW()-ROW($M$2:$M$30)+1),COLUMN($L$2:$L$30),4)))</f>
        <v>-----</v>
      </c>
      <c r="Y27" s="158" t="str">
        <f t="array" aca="1" ref="Y27" ca="1">IF(ROW()-ROW($N$2:$N$30)+1&gt;ROWS($M$2:$M$30)-COUNTBLANK($M$2:$M$30),"",INDIRECT(ADDRESS(SMALL((IF($M$2:$M$30&lt;&gt;"",ROW($M$2:$M$30),ROW()+ROWS($M$2:$M$30))),ROW()-ROW($N$2:$N$30)+1),COLUMN($M$2:$M$30),4)))</f>
        <v>-----</v>
      </c>
    </row>
    <row r="28" spans="1:25" ht="60" customHeight="1" x14ac:dyDescent="0.25">
      <c r="A28" s="158" t="str">
        <f>IF(KB_Lunge!P115=0,"",KB_Lunge!P115)</f>
        <v>Unvollständig</v>
      </c>
      <c r="C28" s="30">
        <f>IF($A28="I.O.","",KB_Lunge!A115)</f>
        <v>32</v>
      </c>
      <c r="D28" s="277" t="str">
        <f>IF($A28="I.O.","",KB_Lunge!C115)</f>
        <v>Symptomerfassung mittels MIDOS/ IPOS</v>
      </c>
      <c r="E28" s="273" t="str">
        <f>IF(AND(KB_Lunge!J115="",$A28&lt;&gt;"I.O."),"-----",IF($A28="I.O.","",KB_Lunge!J115))</f>
        <v>&lt; 60%</v>
      </c>
      <c r="F28" s="30" t="str">
        <f>IF($A28="I.O.","",KB_Lunge!K115)</f>
        <v>Derzeit keine Vorgaben</v>
      </c>
      <c r="G28" s="273" t="str">
        <f>IF(AND(KB_Lunge!M115="",$A28&lt;&gt;"I.O."),"-----",IF($A28="I.O.","",KB_Lunge!M115))</f>
        <v>-----</v>
      </c>
      <c r="H28" s="275" t="str">
        <f>IF($A28="I.O.","",IF(KB_Lunge!O115="","-----",KB_Lunge!O115))</f>
        <v>-----</v>
      </c>
      <c r="I28" s="275">
        <f>IF($A28="I.O.","",IF(KB_Lunge!O116="","-----",KB_Lunge!O116))</f>
        <v>0</v>
      </c>
      <c r="J28" s="269" t="str">
        <f>IF($A28="I.O.","",IF(KB_Lunge!O117="",0,KB_Lunge!O117))</f>
        <v>n.d.</v>
      </c>
      <c r="K28" s="274" t="str">
        <f>IF($A28="I.O.","",KB_Lunge!P115)</f>
        <v>Unvollständig</v>
      </c>
      <c r="L28" s="277" t="str">
        <f>IF(AND(KB_Lunge!Q115="",$A28&lt;&gt;"I.O."),"-----",IF($A28="I.O.","",KB_Lunge!Q115))</f>
        <v>-----</v>
      </c>
      <c r="M28" s="277" t="str">
        <f>IF(AND(KB_Lunge!R115="",$A28&lt;&gt;"I.O."),"-----",IF($A28="I.O.","",KB_Lunge!R115))</f>
        <v>-----</v>
      </c>
      <c r="O28" s="136">
        <f t="array" aca="1" ref="O28" ca="1">IF(ROW()-ROW($D$2:$D$30)+1&gt;ROWS($C$2:$C$30)-COUNTBLANK($C$2:$C$30),"",INDIRECT(ADDRESS(SMALL((IF($C$2:$C$30&lt;&gt;"",ROW($C$2:$C$30),ROW()+ROWS($C$2:$C$30))),ROW()-ROW($D$2:$D$30)+1),COLUMN($C$2:$C$30),4)))</f>
        <v>32</v>
      </c>
      <c r="P28" s="276" t="str">
        <f t="array" aca="1" ref="P28" ca="1">IF(ROW()-ROW($E$2:$E$30)+1&gt;ROWS($D$2:$D$30)-COUNTBLANK($D$2:$D$30),"",INDIRECT(ADDRESS(SMALL((IF($D$2:$D$30&gt;"",ROW($D$2:$D$30),ROW()+ROWS($D$2:$D$30))),ROW()-ROW($E$2:$E$30)+1),COLUMN($D$2:$D$30),4)))</f>
        <v>Symptomerfassung mittels MIDOS/ IPOS</v>
      </c>
      <c r="Q28" s="197" t="str">
        <f t="array" aca="1" ref="Q28" ca="1">IF(ROW()-ROW($F$2:$F$30)+1&gt;ROWS($E$2:$E$30)-COUNTBLANK($E$2:$E$30),"",INDIRECT(ADDRESS(SMALL((IF($E$2:$E$30&gt;"",ROW($E$2:$E$30),ROW()+ROWS($E$2:$E$30))),ROW()-ROW($F$2:$F$30)+1),COLUMN($E$2:$E$30),4)))</f>
        <v>&lt; 60%</v>
      </c>
      <c r="R28" s="197" t="str">
        <f t="array" aca="1" ref="R28" ca="1">IF(ROW()-ROW($G$2:$G$30)+1&gt;ROWS($F$2:$F$30)-COUNTBLANK($F$2:$F$30),"",INDIRECT(ADDRESS(SMALL((IF($F$2:$F$30&gt;"",ROW($F$2:$F$30),ROW()+ROWS($F$2:$F$30))),ROW()-ROW($G$2:$G$30)+1),COLUMN($F$2:$F$30),4)))</f>
        <v>Derzeit keine Vorgaben</v>
      </c>
      <c r="S28" s="197" t="str">
        <f t="array" aca="1" ref="S28" ca="1">IF(ROW()-ROW($H$2:$H$30)+1&gt;ROWS($G$2:$G$30)-COUNTBLANK($G$2:$G$30),"",INDIRECT(ADDRESS(SMALL((IF($G$2:$G$30&lt;&gt;"",ROW($G$2:$G$30),ROW()+ROWS($G$2:$G$30))),ROW()-ROW($H$2:$H$30)+1),COLUMN($G$2:$G$30),4)))</f>
        <v>-----</v>
      </c>
      <c r="T28" s="136" t="str">
        <f t="array" aca="1" ref="T28" ca="1">IF(ROW()-ROW($I$2:$I$30)+1&gt;ROWS($H$2:$H$30)-COUNTBLANK($H$2:$H$30),"",INDIRECT(ADDRESS(SMALL((IF($H$2:$H$30&lt;&gt;"",ROW($H$2:$H$30),ROW()+ROWS($H$2:$H$30))),ROW()-ROW($I$2:$I$30)+1),COLUMN($H$2:$H$30),4)))</f>
        <v>-----</v>
      </c>
      <c r="U28" s="136">
        <f t="array" aca="1" ref="U28" ca="1">IF(ROW()-ROW($J$2:$J$30)+1&gt;ROWS($I$2:$I$30)-COUNTBLANK($I$2:$I$30),"",INDIRECT(ADDRESS(SMALL((IF($I$2:$I$30&lt;&gt;"",ROW($I$2:$I$30),ROW()+ROWS($I$2:$I$30))),ROW()-ROW($J$2:$J$30)+1),COLUMN($I$2:$I$30),4)))</f>
        <v>0</v>
      </c>
      <c r="V28" s="136" t="str">
        <f t="array" aca="1" ref="V28" ca="1">IF(ROW()-ROW($K$2:$K$30)+1&gt;ROWS($J$2:$J$30)-COUNTBLANK($J$2:$J$30),"",INDIRECT(ADDRESS(SMALL((IF($J$2:$J$30&lt;&gt;"",ROW($J$2:$J$30),ROW()+ROWS($J$2:$J$30))),ROW()-ROW($K$2:$K$30)+1),COLUMN($J$2:$J$30),4)))</f>
        <v>n.d.</v>
      </c>
      <c r="W28" s="136" t="str">
        <f t="array" aca="1" ref="W28" ca="1">IF(ROW()-ROW($L$2:$L$30)+1&gt;ROWS($K$2:$K$30)-COUNTBLANK($K$2:$K$30),"",INDIRECT(ADDRESS(SMALL((IF($K$2:$K$30&lt;&gt;"",ROW($K$2:$K$30),ROW()+ROWS($K$2:$K$30))),ROW()-ROW($L$2:$L$30)+1),COLUMN($K$2:$K$30),4)))</f>
        <v>Unvollständig</v>
      </c>
      <c r="X28" s="158" t="str">
        <f t="array" aca="1" ref="X28" ca="1">IF(ROW()-ROW($M$2:$M$30)+1&gt;ROWS($L$2:$L$30)-COUNTBLANK($L$2:$L$30),"",INDIRECT(ADDRESS(SMALL((IF($L$2:$L$30&lt;&gt;"",ROW($L$2:$L$30),ROW()+ROWS($L$2:$L$30))),ROW()-ROW($M$2:$M$30)+1),COLUMN($L$2:$L$30),4)))</f>
        <v>-----</v>
      </c>
      <c r="Y28" s="158" t="str">
        <f t="array" aca="1" ref="Y28" ca="1">IF(ROW()-ROW($N$2:$N$30)+1&gt;ROWS($M$2:$M$30)-COUNTBLANK($M$2:$M$30),"",INDIRECT(ADDRESS(SMALL((IF($M$2:$M$30&lt;&gt;"",ROW($M$2:$M$30),ROW()+ROWS($M$2:$M$30))),ROW()-ROW($N$2:$N$30)+1),COLUMN($M$2:$M$30),4)))</f>
        <v>-----</v>
      </c>
    </row>
    <row r="29" spans="1:25" ht="60" customHeight="1" x14ac:dyDescent="0.25">
      <c r="A29" s="158" t="str">
        <f>IF(KB_Lunge!P118=0,"",KB_Lunge!P118)</f>
        <v>Unvollständig</v>
      </c>
      <c r="C29" s="30">
        <f>IF($A29="I.O.","",KB_Lunge!A118)</f>
        <v>33</v>
      </c>
      <c r="D29" s="277" t="str">
        <f>IF($A29="I.O.","",KB_Lunge!C118)</f>
        <v>PD-L1-Testung bei NSCLC im Stadium III mit Radiochemotherapie</v>
      </c>
      <c r="E29" s="273" t="str">
        <f>IF(AND(KB_Lunge!J118="",$A29&lt;&gt;"I.O."),"-----",IF($A29="I.O.","",KB_Lunge!J118))</f>
        <v>-----</v>
      </c>
      <c r="F29" s="30" t="str">
        <f>IF($A29="I.O.","",KB_Lunge!K118)</f>
        <v>≥ 75%</v>
      </c>
      <c r="G29" s="273" t="str">
        <f>IF(AND(KB_Lunge!M118="",$A29&lt;&gt;"I.O."),"-----",IF($A29="I.O.","",KB_Lunge!M118))</f>
        <v>-----</v>
      </c>
      <c r="H29" s="275" t="str">
        <f>IF($A29="I.O.","",IF(KB_Lunge!O118="","-----",KB_Lunge!O118))</f>
        <v>-----</v>
      </c>
      <c r="I29" s="275" t="str">
        <f>IF($A29="I.O.","",IF(KB_Lunge!O119="","-----",KB_Lunge!O119))</f>
        <v>-----</v>
      </c>
      <c r="J29" s="269" t="str">
        <f>IF($A29="I.O.","",IF(KB_Lunge!O120="",0,KB_Lunge!O120))</f>
        <v>n.d.</v>
      </c>
      <c r="K29" s="274" t="str">
        <f>IF($A29="I.O.","",KB_Lunge!P118)</f>
        <v>Unvollständig</v>
      </c>
      <c r="L29" s="277" t="str">
        <f>IF(AND(KB_Lunge!Q118="",$A29&lt;&gt;"I.O."),"-----",IF($A29="I.O.","",KB_Lunge!Q118))</f>
        <v>-----</v>
      </c>
      <c r="M29" s="277" t="str">
        <f>IF(AND(KB_Lunge!R118="",$A29&lt;&gt;"I.O."),"-----",IF($A29="I.O.","",KB_Lunge!R118))</f>
        <v>-----</v>
      </c>
      <c r="O29" s="136">
        <f t="array" aca="1" ref="O29" ca="1">IF(ROW()-ROW($D$2:$D$30)+1&gt;ROWS($C$2:$C$30)-COUNTBLANK($C$2:$C$30),"",INDIRECT(ADDRESS(SMALL((IF($C$2:$C$30&lt;&gt;"",ROW($C$2:$C$30),ROW()+ROWS($C$2:$C$30))),ROW()-ROW($D$2:$D$30)+1),COLUMN($C$2:$C$30),4)))</f>
        <v>33</v>
      </c>
      <c r="P29" s="276" t="str">
        <f t="array" aca="1" ref="P29" ca="1">IF(ROW()-ROW($E$2:$E$30)+1&gt;ROWS($D$2:$D$30)-COUNTBLANK($D$2:$D$30),"",INDIRECT(ADDRESS(SMALL((IF($D$2:$D$30&gt;"",ROW($D$2:$D$30),ROW()+ROWS($D$2:$D$30))),ROW()-ROW($E$2:$E$30)+1),COLUMN($D$2:$D$30),4)))</f>
        <v>PD-L1-Testung bei NSCLC im Stadium III mit Radiochemotherapie</v>
      </c>
      <c r="Q29" s="197" t="str">
        <f t="array" aca="1" ref="Q29" ca="1">IF(ROW()-ROW($F$2:$F$30)+1&gt;ROWS($E$2:$E$30)-COUNTBLANK($E$2:$E$30),"",INDIRECT(ADDRESS(SMALL((IF($E$2:$E$30&gt;"",ROW($E$2:$E$30),ROW()+ROWS($E$2:$E$30))),ROW()-ROW($F$2:$F$30)+1),COLUMN($E$2:$E$30),4)))</f>
        <v>-----</v>
      </c>
      <c r="R29" s="197" t="str">
        <f t="array" aca="1" ref="R29" ca="1">IF(ROW()-ROW($G$2:$G$30)+1&gt;ROWS($F$2:$F$30)-COUNTBLANK($F$2:$F$30),"",INDIRECT(ADDRESS(SMALL((IF($F$2:$F$30&gt;"",ROW($F$2:$F$30),ROW()+ROWS($F$2:$F$30))),ROW()-ROW($G$2:$G$30)+1),COLUMN($F$2:$F$30),4)))</f>
        <v>≥ 75%</v>
      </c>
      <c r="S29" s="197" t="str">
        <f t="array" aca="1" ref="S29" ca="1">IF(ROW()-ROW($H$2:$H$30)+1&gt;ROWS($G$2:$G$30)-COUNTBLANK($G$2:$G$30),"",INDIRECT(ADDRESS(SMALL((IF($G$2:$G$30&lt;&gt;"",ROW($G$2:$G$30),ROW()+ROWS($G$2:$G$30))),ROW()-ROW($H$2:$H$30)+1),COLUMN($G$2:$G$30),4)))</f>
        <v>-----</v>
      </c>
      <c r="T29" s="136" t="str">
        <f t="array" aca="1" ref="T29" ca="1">IF(ROW()-ROW($I$2:$I$30)+1&gt;ROWS($H$2:$H$30)-COUNTBLANK($H$2:$H$30),"",INDIRECT(ADDRESS(SMALL((IF($H$2:$H$30&lt;&gt;"",ROW($H$2:$H$30),ROW()+ROWS($H$2:$H$30))),ROW()-ROW($I$2:$I$30)+1),COLUMN($H$2:$H$30),4)))</f>
        <v>-----</v>
      </c>
      <c r="U29" s="136" t="str">
        <f t="array" aca="1" ref="U29" ca="1">IF(ROW()-ROW($J$2:$J$30)+1&gt;ROWS($I$2:$I$30)-COUNTBLANK($I$2:$I$30),"",INDIRECT(ADDRESS(SMALL((IF($I$2:$I$30&lt;&gt;"",ROW($I$2:$I$30),ROW()+ROWS($I$2:$I$30))),ROW()-ROW($J$2:$J$30)+1),COLUMN($I$2:$I$30),4)))</f>
        <v>-----</v>
      </c>
      <c r="V29" s="136" t="str">
        <f t="array" aca="1" ref="V29" ca="1">IF(ROW()-ROW($K$2:$K$30)+1&gt;ROWS($J$2:$J$30)-COUNTBLANK($J$2:$J$30),"",INDIRECT(ADDRESS(SMALL((IF($J$2:$J$30&lt;&gt;"",ROW($J$2:$J$30),ROW()+ROWS($J$2:$J$30))),ROW()-ROW($K$2:$K$30)+1),COLUMN($J$2:$J$30),4)))</f>
        <v>n.d.</v>
      </c>
      <c r="W29" s="136" t="str">
        <f t="array" aca="1" ref="W29" ca="1">IF(ROW()-ROW($L$2:$L$30)+1&gt;ROWS($K$2:$K$30)-COUNTBLANK($K$2:$K$30),"",INDIRECT(ADDRESS(SMALL((IF($K$2:$K$30&lt;&gt;"",ROW($K$2:$K$30),ROW()+ROWS($K$2:$K$30))),ROW()-ROW($L$2:$L$30)+1),COLUMN($K$2:$K$30),4)))</f>
        <v>Unvollständig</v>
      </c>
      <c r="X29" s="158" t="str">
        <f t="array" aca="1" ref="X29" ca="1">IF(ROW()-ROW($M$2:$M$30)+1&gt;ROWS($L$2:$L$30)-COUNTBLANK($L$2:$L$30),"",INDIRECT(ADDRESS(SMALL((IF($L$2:$L$30&lt;&gt;"",ROW($L$2:$L$30),ROW()+ROWS($L$2:$L$30))),ROW()-ROW($M$2:$M$30)+1),COLUMN($L$2:$L$30),4)))</f>
        <v>-----</v>
      </c>
      <c r="Y29" s="158" t="str">
        <f t="array" aca="1" ref="Y29" ca="1">IF(ROW()-ROW($N$2:$N$30)+1&gt;ROWS($M$2:$M$30)-COUNTBLANK($M$2:$M$30),"",INDIRECT(ADDRESS(SMALL((IF($M$2:$M$30&lt;&gt;"",ROW($M$2:$M$30),ROW()+ROWS($M$2:$M$30))),ROW()-ROW($N$2:$N$30)+1),COLUMN($M$2:$M$30),4)))</f>
        <v>-----</v>
      </c>
    </row>
    <row r="30" spans="1:25" ht="60" customHeight="1" x14ac:dyDescent="0.25">
      <c r="A30" s="158" t="str">
        <f>IF(KB_Lunge!P121=0,"",KB_Lunge!P121)</f>
        <v>Unvollständig</v>
      </c>
      <c r="C30" s="30">
        <f>IF($A30="I.O.","",KB_Lunge!A121)</f>
        <v>34</v>
      </c>
      <c r="D30" s="277" t="str">
        <f>IF($A30="I.O.","",KB_Lunge!C121)</f>
        <v>PD-L1-Testung bei NSCLC Stadium IV</v>
      </c>
      <c r="E30" s="273" t="str">
        <f>IF(AND(KB_Lunge!J121="",$A30&lt;&gt;"I.O."),"-----",IF($A30="I.O.","",KB_Lunge!J121))</f>
        <v>-----</v>
      </c>
      <c r="F30" s="30" t="str">
        <f>IF($A30="I.O.","",KB_Lunge!K121)</f>
        <v>≥ 75%</v>
      </c>
      <c r="G30" s="273" t="str">
        <f>IF(AND(KB_Lunge!M121="",$A30&lt;&gt;"I.O."),"-----",IF($A30="I.O.","",KB_Lunge!M121))</f>
        <v>-----</v>
      </c>
      <c r="H30" s="275" t="str">
        <f>IF($A30="I.O.","",IF(KB_Lunge!O121="","-----",KB_Lunge!O121))</f>
        <v>-----</v>
      </c>
      <c r="I30" s="275" t="str">
        <f>IF($A30="I.O.","",IF(KB_Lunge!O122="","-----",KB_Lunge!O122))</f>
        <v>-----</v>
      </c>
      <c r="J30" s="269" t="str">
        <f>IF($A30="I.O.","",IF(KB_Lunge!O123="",0,KB_Lunge!O123))</f>
        <v>n.d.</v>
      </c>
      <c r="K30" s="274" t="str">
        <f>IF($A30="I.O.","",KB_Lunge!P121)</f>
        <v>Unvollständig</v>
      </c>
      <c r="L30" s="277" t="str">
        <f>IF(AND(KB_Lunge!Q121="",$A30&lt;&gt;"I.O."),"-----",IF($A30="I.O.","",KB_Lunge!Q121))</f>
        <v>-----</v>
      </c>
      <c r="M30" s="277" t="str">
        <f>IF(AND(KB_Lunge!R121="",$A30&lt;&gt;"I.O."),"-----",IF($A30="I.O.","",KB_Lunge!R121))</f>
        <v>-----</v>
      </c>
      <c r="O30" s="136">
        <f t="array" aca="1" ref="O30" ca="1">IF(ROW()-ROW($D$2:$D$30)+1&gt;ROWS($C$2:$C$30)-COUNTBLANK($C$2:$C$30),"",INDIRECT(ADDRESS(SMALL((IF($C$2:$C$30&lt;&gt;"",ROW($C$2:$C$30),ROW()+ROWS($C$2:$C$30))),ROW()-ROW($D$2:$D$30)+1),COLUMN($C$2:$C$30),4)))</f>
        <v>34</v>
      </c>
      <c r="P30" s="276" t="str">
        <f t="array" aca="1" ref="P30" ca="1">IF(ROW()-ROW($E$2:$E$30)+1&gt;ROWS($D$2:$D$30)-COUNTBLANK($D$2:$D$30),"",INDIRECT(ADDRESS(SMALL((IF($D$2:$D$30&gt;"",ROW($D$2:$D$30),ROW()+ROWS($D$2:$D$30))),ROW()-ROW($E$2:$E$30)+1),COLUMN($D$2:$D$30),4)))</f>
        <v>PD-L1-Testung bei NSCLC Stadium IV</v>
      </c>
      <c r="Q30" s="197" t="str">
        <f t="array" aca="1" ref="Q30" ca="1">IF(ROW()-ROW($F$2:$F$30)+1&gt;ROWS($E$2:$E$30)-COUNTBLANK($E$2:$E$30),"",INDIRECT(ADDRESS(SMALL((IF($E$2:$E$30&gt;"",ROW($E$2:$E$30),ROW()+ROWS($E$2:$E$30))),ROW()-ROW($F$2:$F$30)+1),COLUMN($E$2:$E$30),4)))</f>
        <v>-----</v>
      </c>
      <c r="R30" s="197" t="str">
        <f t="array" aca="1" ref="R30" ca="1">IF(ROW()-ROW($G$2:$G$30)+1&gt;ROWS($F$2:$F$30)-COUNTBLANK($F$2:$F$30),"",INDIRECT(ADDRESS(SMALL((IF($F$2:$F$30&gt;"",ROW($F$2:$F$30),ROW()+ROWS($F$2:$F$30))),ROW()-ROW($G$2:$G$30)+1),COLUMN($F$2:$F$30),4)))</f>
        <v>≥ 75%</v>
      </c>
      <c r="S30" s="197" t="str">
        <f t="array" aca="1" ref="S30" ca="1">IF(ROW()-ROW($H$2:$H$30)+1&gt;ROWS($G$2:$G$30)-COUNTBLANK($G$2:$G$30),"",INDIRECT(ADDRESS(SMALL((IF($G$2:$G$30&lt;&gt;"",ROW($G$2:$G$30),ROW()+ROWS($G$2:$G$30))),ROW()-ROW($H$2:$H$30)+1),COLUMN($G$2:$G$30),4)))</f>
        <v>-----</v>
      </c>
      <c r="T30" s="136" t="str">
        <f t="array" aca="1" ref="T30" ca="1">IF(ROW()-ROW($I$2:$I$30)+1&gt;ROWS($H$2:$H$30)-COUNTBLANK($H$2:$H$30),"",INDIRECT(ADDRESS(SMALL((IF($H$2:$H$30&lt;&gt;"",ROW($H$2:$H$30),ROW()+ROWS($H$2:$H$30))),ROW()-ROW($I$2:$I$30)+1),COLUMN($H$2:$H$30),4)))</f>
        <v>-----</v>
      </c>
      <c r="U30" s="136" t="str">
        <f t="array" aca="1" ref="U30" ca="1">IF(ROW()-ROW($J$2:$J$30)+1&gt;ROWS($I$2:$I$30)-COUNTBLANK($I$2:$I$30),"",INDIRECT(ADDRESS(SMALL((IF($I$2:$I$30&lt;&gt;"",ROW($I$2:$I$30),ROW()+ROWS($I$2:$I$30))),ROW()-ROW($J$2:$J$30)+1),COLUMN($I$2:$I$30),4)))</f>
        <v>-----</v>
      </c>
      <c r="V30" s="136" t="str">
        <f t="array" aca="1" ref="V30" ca="1">IF(ROW()-ROW($K$2:$K$30)+1&gt;ROWS($J$2:$J$30)-COUNTBLANK($J$2:$J$30),"",INDIRECT(ADDRESS(SMALL((IF($J$2:$J$30&lt;&gt;"",ROW($J$2:$J$30),ROW()+ROWS($J$2:$J$30))),ROW()-ROW($K$2:$K$30)+1),COLUMN($J$2:$J$30),4)))</f>
        <v>n.d.</v>
      </c>
      <c r="W30" s="136" t="str">
        <f t="array" aca="1" ref="W30" ca="1">IF(ROW()-ROW($L$2:$L$30)+1&gt;ROWS($K$2:$K$30)-COUNTBLANK($K$2:$K$30),"",INDIRECT(ADDRESS(SMALL((IF($K$2:$K$30&lt;&gt;"",ROW($K$2:$K$30),ROW()+ROWS($K$2:$K$30))),ROW()-ROW($L$2:$L$30)+1),COLUMN($K$2:$K$30),4)))</f>
        <v>Unvollständig</v>
      </c>
      <c r="X30" s="158" t="str">
        <f t="array" aca="1" ref="X30" ca="1">IF(ROW()-ROW($M$2:$M$30)+1&gt;ROWS($L$2:$L$30)-COUNTBLANK($L$2:$L$30),"",INDIRECT(ADDRESS(SMALL((IF($L$2:$L$30&lt;&gt;"",ROW($L$2:$L$30),ROW()+ROWS($L$2:$L$30))),ROW()-ROW($M$2:$M$30)+1),COLUMN($L$2:$L$30),4)))</f>
        <v>-----</v>
      </c>
      <c r="Y30" s="158" t="str">
        <f t="array" aca="1" ref="Y30" ca="1">IF(ROW()-ROW($N$2:$N$30)+1&gt;ROWS($M$2:$M$30)-COUNTBLANK($M$2:$M$30),"",INDIRECT(ADDRESS(SMALL((IF($M$2:$M$30&lt;&gt;"",ROW($M$2:$M$30),ROW()+ROWS($M$2:$M$30))),ROW()-ROW($N$2:$N$30)+1),COLUMN($M$2:$M$30),4)))</f>
        <v>-----</v>
      </c>
    </row>
  </sheetData>
  <sheetProtection formatColumns="0" formatRows="0" selectLockedCells="1" sort="0"/>
  <phoneticPr fontId="38" type="noConversion"/>
  <conditionalFormatting sqref="K2:K30">
    <cfRule type="cellIs" dxfId="114" priority="1" stopIfTrue="1" operator="equal">
      <formula>"Sollvorgabe nicht erfüllt"</formula>
    </cfRule>
    <cfRule type="cellIs" dxfId="113" priority="14" stopIfTrue="1" operator="equal">
      <formula>"I.O. (Plausibilität unklar)"</formula>
    </cfRule>
    <cfRule type="cellIs" dxfId="112" priority="15" stopIfTrue="1" operator="equal">
      <formula>"Ausnahme (Plausibilität unklar)"</formula>
    </cfRule>
    <cfRule type="expression" dxfId="111" priority="16" stopIfTrue="1">
      <formula>OR(K2="Unvollständig",K2="Inkorrekt")</formula>
    </cfRule>
    <cfRule type="cellIs" dxfId="110"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AD123"/>
  <sheetViews>
    <sheetView showGridLines="0" showRuler="0" zoomScaleNormal="100" zoomScaleSheetLayoutView="100" workbookViewId="0">
      <selection activeCell="D23" sqref="D23"/>
    </sheetView>
  </sheetViews>
  <sheetFormatPr defaultColWidth="9" defaultRowHeight="14.25" x14ac:dyDescent="0.2"/>
  <cols>
    <col min="1" max="1" width="8.140625" style="3" customWidth="1"/>
    <col min="2" max="2" width="6.2851562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8"/>
      <c r="O1" s="16"/>
      <c r="P1" s="16"/>
      <c r="Q1" s="16"/>
      <c r="R1" s="16"/>
      <c r="S1" s="16"/>
      <c r="T1" s="16"/>
      <c r="U1" s="16"/>
      <c r="V1" s="16"/>
      <c r="W1" s="16"/>
      <c r="X1" s="16"/>
    </row>
    <row r="2" spans="1:29" ht="12.95" customHeight="1" x14ac:dyDescent="0.2">
      <c r="A2" s="361" t="str">
        <f>Basisdaten_Lunge!A2</f>
        <v>Anlage EB Version I1.3 (Auditjahr 2023 / Kennzahlenjahr 2022)</v>
      </c>
      <c r="L2" s="41"/>
      <c r="O2" s="16"/>
      <c r="P2" s="16"/>
      <c r="Q2" s="16"/>
      <c r="R2" s="16"/>
      <c r="S2" s="16"/>
      <c r="T2" s="16"/>
      <c r="U2" s="16"/>
      <c r="V2" s="16"/>
      <c r="W2" s="16"/>
      <c r="X2" s="16"/>
    </row>
    <row r="3" spans="1:29" ht="16.5" x14ac:dyDescent="0.25">
      <c r="A3" s="19" t="s">
        <v>420</v>
      </c>
      <c r="O3" s="16"/>
      <c r="P3" s="16"/>
      <c r="Q3" s="16"/>
      <c r="R3" s="16"/>
      <c r="S3" s="16"/>
      <c r="T3" s="16"/>
      <c r="U3" s="16"/>
      <c r="V3" s="16"/>
      <c r="X3" s="17"/>
      <c r="Y3" s="17"/>
      <c r="Z3" s="17"/>
    </row>
    <row r="4" spans="1:29" x14ac:dyDescent="0.2">
      <c r="A4" s="48"/>
      <c r="O4" s="16"/>
      <c r="P4" s="16"/>
      <c r="Q4" s="16"/>
      <c r="R4" s="16"/>
      <c r="S4" s="16"/>
      <c r="T4" s="16"/>
      <c r="U4" s="16"/>
      <c r="V4" s="16"/>
      <c r="X4" s="17"/>
      <c r="Y4" s="17"/>
      <c r="Z4" s="17"/>
    </row>
    <row r="5" spans="1:29" ht="15" customHeight="1" x14ac:dyDescent="0.2">
      <c r="T5" s="16"/>
      <c r="U5" s="16"/>
      <c r="V5" s="16"/>
    </row>
    <row r="6" spans="1:29" s="23" customFormat="1" ht="15" customHeight="1" x14ac:dyDescent="0.25">
      <c r="B6" s="26" t="s">
        <v>236</v>
      </c>
      <c r="D6" s="3"/>
      <c r="E6" s="785" t="str">
        <f>IF(Basisdaten_Lunge!B9=0,"",Basisdaten_Lunge!B9)</f>
        <v/>
      </c>
      <c r="F6" s="891"/>
      <c r="G6" s="891"/>
      <c r="H6" s="891"/>
      <c r="I6" s="891"/>
      <c r="J6" s="891"/>
      <c r="K6" s="891"/>
      <c r="L6" s="891"/>
      <c r="M6" s="891"/>
      <c r="N6" s="787"/>
      <c r="O6" s="787"/>
      <c r="P6" s="787"/>
      <c r="Q6" s="787"/>
      <c r="R6" s="787"/>
      <c r="S6" s="787"/>
      <c r="T6" s="787"/>
      <c r="Z6"/>
      <c r="AA6"/>
      <c r="AB6"/>
      <c r="AC6" s="13"/>
    </row>
    <row r="7" spans="1:29" s="23" customFormat="1" ht="6.95" customHeight="1" x14ac:dyDescent="0.2">
      <c r="B7" s="6"/>
      <c r="C7" s="22"/>
      <c r="D7" s="3"/>
      <c r="E7" s="3"/>
      <c r="F7" s="3"/>
      <c r="G7" s="3"/>
      <c r="H7" s="3"/>
      <c r="I7" s="3"/>
      <c r="J7" s="3"/>
      <c r="K7" s="3"/>
      <c r="L7" s="3"/>
      <c r="M7" s="20"/>
      <c r="N7" s="21"/>
      <c r="O7" s="21"/>
      <c r="P7" s="21"/>
    </row>
    <row r="8" spans="1:29" s="23" customFormat="1" ht="15" customHeight="1" x14ac:dyDescent="0.25">
      <c r="B8" s="24" t="s">
        <v>166</v>
      </c>
      <c r="C8" s="25"/>
      <c r="D8" s="3"/>
      <c r="E8" s="904" t="str">
        <f>IF(Basisdaten_Lunge!B7=0,"",Basisdaten_Lunge!B7)</f>
        <v/>
      </c>
      <c r="F8" s="819"/>
      <c r="G8" s="820"/>
      <c r="N8" s="4" t="s">
        <v>163</v>
      </c>
      <c r="Q8" s="898" t="str">
        <f>IF(Basisdaten_Lunge!I13=0,"",Basisdaten_Lunge!I13)</f>
        <v/>
      </c>
      <c r="R8" s="899"/>
      <c r="S8" s="900"/>
      <c r="T8" s="901"/>
      <c r="AC8"/>
    </row>
    <row r="9" spans="1:29" s="23" customFormat="1" ht="6" customHeight="1" x14ac:dyDescent="0.2">
      <c r="B9" s="24"/>
      <c r="C9" s="25"/>
      <c r="D9" s="3"/>
      <c r="E9" s="3"/>
      <c r="F9" s="3"/>
      <c r="G9" s="3"/>
      <c r="I9" s="3"/>
      <c r="J9" s="3"/>
      <c r="K9" s="3"/>
      <c r="L9" s="3"/>
      <c r="M9" s="27"/>
      <c r="O9" s="21"/>
      <c r="P9" s="21"/>
      <c r="Q9" s="3"/>
      <c r="R9" s="3"/>
      <c r="AC9" s="13"/>
    </row>
    <row r="10" spans="1:29" ht="6.75" customHeight="1" x14ac:dyDescent="0.2">
      <c r="N10" s="23"/>
    </row>
    <row r="11" spans="1:29" ht="14.25" customHeight="1" x14ac:dyDescent="0.2">
      <c r="A11" s="902"/>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row>
    <row r="12" spans="1:29" ht="12" customHeight="1" x14ac:dyDescent="0.25">
      <c r="A12" s="9" t="s">
        <v>395</v>
      </c>
    </row>
    <row r="13" spans="1:29" ht="11.25" customHeight="1" x14ac:dyDescent="0.25">
      <c r="B13" s="892" t="str">
        <f>IF(OR(B14="",B14="Matrix kann eingereicht werden"),"In Ordnung",IF(B14="die inkorrekten und unvollständigen Einträge beheben","Nicht in Ordnung"))</f>
        <v>In Ordnung</v>
      </c>
      <c r="C13" s="893"/>
      <c r="D13" s="893"/>
      <c r="E13" s="893"/>
      <c r="F13" s="893"/>
      <c r="G13" s="894" t="s">
        <v>164</v>
      </c>
      <c r="H13" s="895"/>
      <c r="I13" s="895"/>
      <c r="J13" s="895"/>
      <c r="K13" s="895"/>
      <c r="L13" s="895"/>
      <c r="M13" s="895"/>
      <c r="N13" s="896" t="s">
        <v>27</v>
      </c>
      <c r="O13" s="897"/>
      <c r="P13" s="897"/>
      <c r="Q13" s="897"/>
      <c r="R13" s="897"/>
      <c r="S13" s="897"/>
      <c r="T13" s="903" t="s">
        <v>184</v>
      </c>
      <c r="U13" s="903"/>
      <c r="V13" s="905"/>
      <c r="W13" s="905"/>
      <c r="X13" s="895"/>
      <c r="Y13" s="903" t="s">
        <v>491</v>
      </c>
      <c r="Z13" s="903"/>
      <c r="AA13" s="903"/>
      <c r="AB13" s="895"/>
      <c r="AC13" s="895"/>
    </row>
    <row r="14" spans="1:29" ht="21.75" customHeight="1" x14ac:dyDescent="0.25">
      <c r="B14" s="883" t="str">
        <f>Berechnung2!B6</f>
        <v/>
      </c>
      <c r="C14" s="884"/>
      <c r="D14" s="884"/>
      <c r="E14" s="884"/>
      <c r="F14" s="884"/>
      <c r="G14" s="874">
        <f>Berechnung2!C6</f>
        <v>0</v>
      </c>
      <c r="H14" s="875"/>
      <c r="I14" s="875"/>
      <c r="J14" s="875"/>
      <c r="K14" s="875"/>
      <c r="L14" s="875"/>
      <c r="M14" s="875"/>
      <c r="N14" s="872">
        <f>Berechnung2!D6</f>
        <v>0</v>
      </c>
      <c r="O14" s="873"/>
      <c r="P14" s="873"/>
      <c r="Q14" s="873"/>
      <c r="R14" s="873"/>
      <c r="S14" s="873"/>
      <c r="T14" s="885">
        <f>Berechnung2!E6</f>
        <v>0</v>
      </c>
      <c r="U14" s="885"/>
      <c r="V14" s="886"/>
      <c r="W14" s="886"/>
      <c r="X14" s="875"/>
      <c r="Y14" s="885">
        <f>Berechnung2!F6</f>
        <v>0</v>
      </c>
      <c r="Z14" s="885"/>
      <c r="AA14" s="885"/>
      <c r="AB14" s="875"/>
      <c r="AC14" s="875"/>
    </row>
    <row r="15" spans="1:29" s="23" customFormat="1" ht="6.75" customHeight="1" x14ac:dyDescent="0.2">
      <c r="B15" s="6"/>
      <c r="C15" s="11"/>
      <c r="D15" s="11"/>
      <c r="E15" s="11"/>
      <c r="F15" s="11"/>
      <c r="G15" s="11"/>
      <c r="H15" s="11"/>
      <c r="I15" s="11"/>
      <c r="J15" s="11"/>
      <c r="K15" s="11"/>
      <c r="L15" s="11"/>
      <c r="AC15" s="13"/>
    </row>
    <row r="16" spans="1:29" s="23" customFormat="1" ht="3.75" customHeight="1" x14ac:dyDescent="0.2">
      <c r="B16" s="6"/>
      <c r="C16" s="11"/>
      <c r="D16" s="11"/>
      <c r="E16" s="11"/>
      <c r="F16" s="11"/>
      <c r="G16" s="11"/>
      <c r="H16" s="11"/>
      <c r="I16" s="11"/>
      <c r="J16" s="11"/>
      <c r="K16" s="11"/>
      <c r="L16" s="11"/>
      <c r="AC16" s="13"/>
    </row>
    <row r="17" spans="1:30" s="23" customFormat="1" ht="3" customHeight="1" x14ac:dyDescent="0.2">
      <c r="B17" s="6"/>
      <c r="C17" s="11"/>
      <c r="D17" s="11"/>
      <c r="E17" s="11"/>
      <c r="F17" s="11"/>
      <c r="G17" s="11"/>
      <c r="H17" s="11"/>
      <c r="I17" s="11"/>
      <c r="J17" s="11"/>
      <c r="K17" s="11"/>
      <c r="L17" s="11"/>
      <c r="AC17" s="13"/>
    </row>
    <row r="18" spans="1:30" s="23" customFormat="1" ht="3" customHeight="1" thickBot="1" x14ac:dyDescent="0.25">
      <c r="B18" s="6"/>
      <c r="C18" s="11"/>
      <c r="D18" s="11"/>
      <c r="E18" s="11"/>
      <c r="F18" s="11"/>
      <c r="G18" s="11"/>
      <c r="H18" s="11"/>
      <c r="I18" s="11"/>
      <c r="J18" s="11"/>
      <c r="K18" s="11"/>
      <c r="L18" s="11"/>
      <c r="AC18" s="13"/>
    </row>
    <row r="19" spans="1:30" ht="22.5" customHeight="1" thickTop="1" thickBot="1" x14ac:dyDescent="0.3">
      <c r="A19" s="296"/>
      <c r="B19" s="297"/>
      <c r="C19" s="876" t="s">
        <v>244</v>
      </c>
      <c r="D19" s="877"/>
      <c r="E19" s="877"/>
      <c r="F19" s="877"/>
      <c r="G19" s="877"/>
      <c r="H19" s="877"/>
      <c r="I19" s="877"/>
      <c r="J19" s="877"/>
      <c r="K19" s="877"/>
      <c r="L19" s="877"/>
      <c r="M19" s="396"/>
      <c r="N19" s="867" t="s">
        <v>172</v>
      </c>
      <c r="O19" s="868"/>
      <c r="P19" s="868"/>
      <c r="Q19" s="868"/>
      <c r="R19" s="868"/>
      <c r="S19" s="868"/>
      <c r="T19" s="868"/>
      <c r="U19" s="868"/>
      <c r="V19" s="868"/>
      <c r="W19" s="868"/>
      <c r="X19" s="868"/>
      <c r="Y19" s="868"/>
      <c r="Z19" s="869"/>
      <c r="AA19" s="289"/>
      <c r="AB19" s="870" t="s">
        <v>566</v>
      </c>
      <c r="AC19" s="871"/>
    </row>
    <row r="20" spans="1:30" ht="12.75" customHeight="1" thickBot="1" x14ac:dyDescent="0.25">
      <c r="A20" s="49" t="s">
        <v>231</v>
      </c>
      <c r="B20" s="1" t="s">
        <v>8</v>
      </c>
      <c r="C20" s="1" t="s">
        <v>28</v>
      </c>
      <c r="D20" s="2" t="s">
        <v>29</v>
      </c>
      <c r="E20" s="2" t="s">
        <v>30</v>
      </c>
      <c r="F20" s="2" t="s">
        <v>31</v>
      </c>
      <c r="G20" s="2" t="s">
        <v>32</v>
      </c>
      <c r="H20" s="2" t="s">
        <v>281</v>
      </c>
      <c r="I20" s="2" t="s">
        <v>33</v>
      </c>
      <c r="J20" s="2" t="s">
        <v>170</v>
      </c>
      <c r="K20" s="2" t="s">
        <v>755</v>
      </c>
      <c r="L20" s="2" t="s">
        <v>171</v>
      </c>
      <c r="M20" s="395"/>
      <c r="N20" s="292" t="s">
        <v>282</v>
      </c>
      <c r="O20" s="37" t="s">
        <v>34</v>
      </c>
      <c r="P20" s="37" t="s">
        <v>35</v>
      </c>
      <c r="Q20" s="37" t="s">
        <v>756</v>
      </c>
      <c r="R20" s="37" t="s">
        <v>123</v>
      </c>
      <c r="S20" s="301"/>
      <c r="T20" s="1" t="s">
        <v>36</v>
      </c>
      <c r="U20" s="37" t="s">
        <v>37</v>
      </c>
      <c r="V20" s="37" t="s">
        <v>38</v>
      </c>
      <c r="W20" s="37" t="s">
        <v>39</v>
      </c>
      <c r="X20" s="37" t="s">
        <v>283</v>
      </c>
      <c r="Y20" s="37" t="s">
        <v>757</v>
      </c>
      <c r="Z20" s="37" t="s">
        <v>40</v>
      </c>
      <c r="AA20" s="300"/>
      <c r="AB20" s="1" t="s">
        <v>758</v>
      </c>
      <c r="AC20" s="12" t="s">
        <v>759</v>
      </c>
    </row>
    <row r="21" spans="1:30" ht="129" customHeight="1" x14ac:dyDescent="0.2">
      <c r="A21" s="912" t="s">
        <v>109</v>
      </c>
      <c r="B21" s="907" t="s">
        <v>41</v>
      </c>
      <c r="C21" s="847" t="s">
        <v>901</v>
      </c>
      <c r="D21" s="847" t="s">
        <v>567</v>
      </c>
      <c r="E21" s="847" t="s">
        <v>568</v>
      </c>
      <c r="F21" s="847" t="s">
        <v>569</v>
      </c>
      <c r="G21" s="847" t="s">
        <v>570</v>
      </c>
      <c r="H21" s="847" t="s">
        <v>571</v>
      </c>
      <c r="I21" s="847" t="s">
        <v>572</v>
      </c>
      <c r="J21" s="847" t="s">
        <v>752</v>
      </c>
      <c r="K21" s="847" t="s">
        <v>753</v>
      </c>
      <c r="L21" s="847" t="s">
        <v>754</v>
      </c>
      <c r="M21" s="389"/>
      <c r="N21" s="847" t="s">
        <v>902</v>
      </c>
      <c r="O21" s="847" t="s">
        <v>563</v>
      </c>
      <c r="P21" s="847" t="s">
        <v>565</v>
      </c>
      <c r="Q21" s="847" t="s">
        <v>564</v>
      </c>
      <c r="R21" s="889" t="s">
        <v>836</v>
      </c>
      <c r="S21" s="294"/>
      <c r="T21" s="847" t="s">
        <v>1098</v>
      </c>
      <c r="U21" s="907" t="s">
        <v>367</v>
      </c>
      <c r="V21" s="847" t="s">
        <v>903</v>
      </c>
      <c r="W21" s="847" t="s">
        <v>904</v>
      </c>
      <c r="X21" s="847" t="s">
        <v>905</v>
      </c>
      <c r="Y21" s="887" t="s">
        <v>366</v>
      </c>
      <c r="Z21" s="847" t="s">
        <v>340</v>
      </c>
      <c r="AA21" s="290"/>
      <c r="AB21" s="889" t="s">
        <v>42</v>
      </c>
      <c r="AC21" s="849" t="s">
        <v>14</v>
      </c>
    </row>
    <row r="22" spans="1:30" ht="38.25" customHeight="1" thickBot="1" x14ac:dyDescent="0.25">
      <c r="A22" s="913"/>
      <c r="B22" s="914"/>
      <c r="C22" s="848"/>
      <c r="D22" s="848"/>
      <c r="E22" s="848"/>
      <c r="F22" s="848"/>
      <c r="G22" s="848"/>
      <c r="H22" s="848"/>
      <c r="I22" s="848"/>
      <c r="J22" s="848"/>
      <c r="K22" s="848"/>
      <c r="L22" s="848"/>
      <c r="M22" s="389"/>
      <c r="N22" s="848"/>
      <c r="O22" s="848"/>
      <c r="P22" s="848"/>
      <c r="Q22" s="848"/>
      <c r="R22" s="890"/>
      <c r="S22" s="397"/>
      <c r="T22" s="848"/>
      <c r="U22" s="908"/>
      <c r="V22" s="848"/>
      <c r="W22" s="848"/>
      <c r="X22" s="848"/>
      <c r="Y22" s="888"/>
      <c r="Z22" s="848"/>
      <c r="AA22" s="290"/>
      <c r="AB22" s="890"/>
      <c r="AC22" s="850"/>
    </row>
    <row r="23" spans="1:30" ht="20.100000000000001" customHeight="1" thickBot="1" x14ac:dyDescent="0.25">
      <c r="A23" s="68" t="str">
        <f>IF(Datenquelle!$E$2&gt;6,IF(Datenquelle!$E$2=7,"EZ",IF(Datenquelle!$E$2&gt;7,"relevant","?")),"nicht relevant")</f>
        <v>nicht relevant</v>
      </c>
      <c r="B23" s="295">
        <v>2016</v>
      </c>
      <c r="C23" s="332">
        <f t="shared" ref="C23:C25" si="0">SUM(D23:L23)</f>
        <v>0</v>
      </c>
      <c r="D23" s="82"/>
      <c r="E23" s="82"/>
      <c r="F23" s="82"/>
      <c r="G23" s="82"/>
      <c r="H23" s="82"/>
      <c r="I23" s="82"/>
      <c r="J23" s="422"/>
      <c r="K23" s="82"/>
      <c r="L23" s="422"/>
      <c r="M23" s="389"/>
      <c r="N23" s="293" t="str">
        <f t="shared" ref="N23:N29" si="1">IF(SUM(O23:Q23)=0,"",SUM(O23:Q23))</f>
        <v/>
      </c>
      <c r="O23" s="82"/>
      <c r="P23" s="82"/>
      <c r="Q23" s="82"/>
      <c r="R23" s="303" t="str">
        <f>IF(N23="","",IF(N23&gt;0,SUM(O23:P23) /N23,0))</f>
        <v/>
      </c>
      <c r="S23" s="390"/>
      <c r="T23" s="293" t="str">
        <f t="shared" ref="T23:T29" si="2">IF(COUNTA(V23:Z23)&lt;5,"",SUM(O23+P23-V23-W23-X23-Y23-Z23))</f>
        <v/>
      </c>
      <c r="U23" s="50" t="str">
        <f t="shared" ref="U23:U27" si="3">IF(AND(COUNTA(O23:P23)&gt;0,T23&lt;&gt;"",SUM(O23:P23)&gt;0),T23 /(O23+P23),"")</f>
        <v/>
      </c>
      <c r="V23" s="82"/>
      <c r="W23" s="82"/>
      <c r="X23" s="82"/>
      <c r="Y23" s="82"/>
      <c r="Z23" s="82"/>
      <c r="AA23" s="291"/>
      <c r="AB23" s="140"/>
      <c r="AC23" s="141"/>
    </row>
    <row r="24" spans="1:30" s="11" customFormat="1" ht="20.100000000000001" customHeight="1" thickBot="1" x14ac:dyDescent="0.25">
      <c r="A24" s="458" t="s">
        <v>5</v>
      </c>
      <c r="B24" s="460">
        <v>2017</v>
      </c>
      <c r="C24" s="459">
        <f t="shared" si="0"/>
        <v>0</v>
      </c>
      <c r="D24" s="461"/>
      <c r="E24" s="461"/>
      <c r="F24" s="461"/>
      <c r="G24" s="462"/>
      <c r="H24" s="461"/>
      <c r="I24" s="461"/>
      <c r="J24" s="461"/>
      <c r="K24" s="461"/>
      <c r="L24" s="462"/>
      <c r="M24" s="389"/>
      <c r="N24" s="461" t="str">
        <f t="shared" si="1"/>
        <v/>
      </c>
      <c r="O24" s="461"/>
      <c r="P24" s="461"/>
      <c r="Q24" s="461"/>
      <c r="R24" s="461" t="str">
        <f t="shared" ref="R24:R27" si="4">IF(N24="","",IF(N24&gt;0,SUM(O24:P24) /N24,0))</f>
        <v/>
      </c>
      <c r="S24" s="390"/>
      <c r="T24" s="461" t="str">
        <f t="shared" si="2"/>
        <v/>
      </c>
      <c r="U24" s="463" t="str">
        <f t="shared" si="3"/>
        <v/>
      </c>
      <c r="V24" s="461"/>
      <c r="W24" s="461"/>
      <c r="X24" s="461"/>
      <c r="Y24" s="461"/>
      <c r="Z24" s="461"/>
      <c r="AA24" s="394"/>
      <c r="AB24" s="461"/>
      <c r="AC24" s="464"/>
    </row>
    <row r="25" spans="1:30" s="11" customFormat="1" ht="20.100000000000001" customHeight="1" thickBot="1" x14ac:dyDescent="0.25">
      <c r="A25" s="424" t="str">
        <f>IF(Datenquelle!$E$2&gt;4,IF(Datenquelle!$E$2=5,"EZ",IF(Datenquelle!$E$2&gt;5,"relevant","?")),"nicht relevant")</f>
        <v>nicht relevant</v>
      </c>
      <c r="B25" s="295">
        <v>2018</v>
      </c>
      <c r="C25" s="332">
        <f t="shared" si="0"/>
        <v>0</v>
      </c>
      <c r="D25" s="82"/>
      <c r="E25" s="82"/>
      <c r="F25" s="82"/>
      <c r="G25" s="82"/>
      <c r="H25" s="82"/>
      <c r="I25" s="82"/>
      <c r="J25" s="426"/>
      <c r="K25" s="426"/>
      <c r="L25" s="426"/>
      <c r="M25" s="389"/>
      <c r="N25" s="293" t="str">
        <f t="shared" si="1"/>
        <v/>
      </c>
      <c r="O25" s="82"/>
      <c r="P25" s="82"/>
      <c r="Q25" s="82"/>
      <c r="R25" s="303" t="str">
        <f t="shared" si="4"/>
        <v/>
      </c>
      <c r="S25" s="390"/>
      <c r="T25" s="293" t="str">
        <f t="shared" si="2"/>
        <v/>
      </c>
      <c r="U25" s="50" t="str">
        <f t="shared" si="3"/>
        <v/>
      </c>
      <c r="V25" s="82"/>
      <c r="W25" s="82"/>
      <c r="X25" s="82"/>
      <c r="Y25" s="82"/>
      <c r="Z25" s="82"/>
      <c r="AA25" s="394"/>
      <c r="AB25" s="140"/>
      <c r="AC25" s="141"/>
    </row>
    <row r="26" spans="1:30" s="11" customFormat="1" ht="20.100000000000001" customHeight="1" thickBot="1" x14ac:dyDescent="0.25">
      <c r="A26" s="424" t="str">
        <f>IF(Datenquelle!$E$2&gt;3,IF(Datenquelle!$E$2=4,"EZ",IF(Datenquelle!$E$2&gt;4,"relevant","?")),"nicht relevant")</f>
        <v>nicht relevant</v>
      </c>
      <c r="B26" s="295">
        <v>2019</v>
      </c>
      <c r="C26" s="332">
        <f>SUM(D26:L26)</f>
        <v>0</v>
      </c>
      <c r="D26" s="82"/>
      <c r="E26" s="82"/>
      <c r="F26" s="82"/>
      <c r="G26" s="82"/>
      <c r="H26" s="82"/>
      <c r="I26" s="82"/>
      <c r="J26" s="426"/>
      <c r="K26" s="426"/>
      <c r="L26" s="426"/>
      <c r="M26" s="389"/>
      <c r="N26" s="293" t="str">
        <f t="shared" ref="N26" si="5">IF(SUM(O26:Q26)=0,"",SUM(O26:Q26))</f>
        <v/>
      </c>
      <c r="O26" s="82"/>
      <c r="P26" s="82"/>
      <c r="Q26" s="82"/>
      <c r="R26" s="303" t="str">
        <f t="shared" ref="R26" si="6">IF(N26="","",IF(N26&gt;0,SUM(O26:P26) /N26,0))</f>
        <v/>
      </c>
      <c r="S26" s="390"/>
      <c r="T26" s="293" t="str">
        <f t="shared" ref="T26" si="7">IF(COUNTA(V26:Z26)&lt;5,"",SUM(O26+P26-V26-W26-X26-Y26-Z26))</f>
        <v/>
      </c>
      <c r="U26" s="50" t="str">
        <f t="shared" ref="U26" si="8">IF(AND(COUNTA(O26:P26)&gt;0,T26&lt;&gt;"",SUM(O26:P26)&gt;0),T26 /(O26+P26),"")</f>
        <v/>
      </c>
      <c r="V26" s="82"/>
      <c r="W26" s="82"/>
      <c r="X26" s="82"/>
      <c r="Y26" s="82"/>
      <c r="Z26" s="82"/>
      <c r="AA26" s="394"/>
      <c r="AB26" s="140"/>
      <c r="AC26" s="141"/>
      <c r="AD26" s="447"/>
    </row>
    <row r="27" spans="1:30" s="11" customFormat="1" ht="20.100000000000001" customHeight="1" thickBot="1" x14ac:dyDescent="0.25">
      <c r="A27" s="424" t="str">
        <f>IF(Datenquelle!$E$2&gt;2,IF(Datenquelle!$E$2=3,"EZ",IF(Datenquelle!$E$2&gt;3,"relevant","?")),"nicht relevant")</f>
        <v>nicht relevant</v>
      </c>
      <c r="B27" s="295">
        <v>2020</v>
      </c>
      <c r="C27" s="332">
        <f>SUM(D27:L27)</f>
        <v>0</v>
      </c>
      <c r="D27" s="426"/>
      <c r="E27" s="426"/>
      <c r="F27" s="426"/>
      <c r="G27" s="426"/>
      <c r="H27" s="426"/>
      <c r="I27" s="426"/>
      <c r="J27" s="426"/>
      <c r="K27" s="426"/>
      <c r="L27" s="426"/>
      <c r="M27" s="389"/>
      <c r="N27" s="293" t="str">
        <f t="shared" si="1"/>
        <v/>
      </c>
      <c r="O27" s="82"/>
      <c r="P27" s="82"/>
      <c r="Q27" s="82"/>
      <c r="R27" s="303" t="str">
        <f t="shared" si="4"/>
        <v/>
      </c>
      <c r="S27" s="390"/>
      <c r="T27" s="293" t="str">
        <f t="shared" si="2"/>
        <v/>
      </c>
      <c r="U27" s="50" t="str">
        <f t="shared" si="3"/>
        <v/>
      </c>
      <c r="V27" s="82"/>
      <c r="W27" s="82"/>
      <c r="X27" s="82"/>
      <c r="Y27" s="82"/>
      <c r="Z27" s="82"/>
      <c r="AA27" s="394"/>
      <c r="AB27" s="140"/>
      <c r="AC27" s="141"/>
    </row>
    <row r="28" spans="1:30" s="11" customFormat="1" ht="20.100000000000001" customHeight="1" thickBot="1" x14ac:dyDescent="0.25">
      <c r="A28" s="424" t="str">
        <f>IF(Datenquelle!$E$2&gt;1,IF(Datenquelle!$E$2=2,"EZ",IF(Datenquelle!$E$2&gt;2,"relevant","?")),"nicht relevant")</f>
        <v>nicht relevant</v>
      </c>
      <c r="B28" s="387">
        <v>2021</v>
      </c>
      <c r="C28" s="425">
        <f t="shared" ref="C28" si="9">SUM(D28:L28)</f>
        <v>0</v>
      </c>
      <c r="D28" s="426"/>
      <c r="E28" s="426"/>
      <c r="F28" s="426"/>
      <c r="G28" s="426"/>
      <c r="H28" s="426"/>
      <c r="I28" s="426"/>
      <c r="J28" s="426"/>
      <c r="K28" s="426"/>
      <c r="L28" s="426"/>
      <c r="M28" s="389"/>
      <c r="N28" s="878" t="str">
        <f t="shared" ref="N28" si="10">IF(SUM(O28:Q28)=0,"",SUM(O28:Q28))</f>
        <v/>
      </c>
      <c r="O28" s="879"/>
      <c r="P28" s="879"/>
      <c r="Q28" s="879"/>
      <c r="R28" s="880"/>
      <c r="S28" s="391"/>
      <c r="T28" s="878" t="str">
        <f t="shared" ref="T28" si="11">IF(COUNTA(V28:Z28)&lt;5,"",SUM(O28+P28-V28-W28-X28-Y28-Z28))</f>
        <v/>
      </c>
      <c r="U28" s="879"/>
      <c r="V28" s="879"/>
      <c r="W28" s="879"/>
      <c r="X28" s="879"/>
      <c r="Y28" s="879"/>
      <c r="Z28" s="880"/>
      <c r="AA28" s="393"/>
      <c r="AB28" s="881"/>
      <c r="AC28" s="882"/>
    </row>
    <row r="29" spans="1:30" s="11" customFormat="1" ht="20.100000000000001" customHeight="1" thickTop="1" thickBot="1" x14ac:dyDescent="0.25">
      <c r="A29" s="298" t="str">
        <f>IF(Datenquelle!$E$2&gt;0,IF(Datenquelle!$E$2=1,"EZ",IF(Datenquelle!$E$2&gt;1,"relevant","?")),"nicht relevant")</f>
        <v>nicht relevant</v>
      </c>
      <c r="B29" s="299" t="s">
        <v>1037</v>
      </c>
      <c r="C29" s="386">
        <f t="shared" ref="C29" si="12">SUM(D29:L29)</f>
        <v>0</v>
      </c>
      <c r="D29" s="437" t="str">
        <f>Basisdaten_Lunge!B33</f>
        <v/>
      </c>
      <c r="E29" s="437" t="str">
        <f>Basisdaten_Lunge!C33</f>
        <v/>
      </c>
      <c r="F29" s="437" t="str">
        <f>Basisdaten_Lunge!D33</f>
        <v/>
      </c>
      <c r="G29" s="437" t="str">
        <f>Basisdaten_Lunge!E33</f>
        <v/>
      </c>
      <c r="H29" s="437" t="str">
        <f>Basisdaten_Lunge!F33</f>
        <v/>
      </c>
      <c r="I29" s="437" t="str">
        <f>Basisdaten_Lunge!G33</f>
        <v/>
      </c>
      <c r="J29" s="437" t="str">
        <f>Basisdaten_Lunge!H33</f>
        <v/>
      </c>
      <c r="K29" s="437" t="str">
        <f>Basisdaten_Lunge!I33</f>
        <v/>
      </c>
      <c r="L29" s="437" t="str">
        <f>Basisdaten_Lunge!J33</f>
        <v/>
      </c>
      <c r="M29" s="392"/>
      <c r="N29" s="878" t="str">
        <f t="shared" si="1"/>
        <v/>
      </c>
      <c r="O29" s="879"/>
      <c r="P29" s="879"/>
      <c r="Q29" s="879"/>
      <c r="R29" s="880"/>
      <c r="S29" s="391"/>
      <c r="T29" s="878" t="str">
        <f t="shared" si="2"/>
        <v/>
      </c>
      <c r="U29" s="879"/>
      <c r="V29" s="879"/>
      <c r="W29" s="879"/>
      <c r="X29" s="879"/>
      <c r="Y29" s="879"/>
      <c r="Z29" s="880"/>
      <c r="AA29" s="393"/>
      <c r="AB29" s="881"/>
      <c r="AC29" s="882"/>
    </row>
    <row r="30" spans="1:30" ht="5.25" customHeight="1" thickTop="1" x14ac:dyDescent="0.25">
      <c r="A30"/>
      <c r="B30"/>
      <c r="C30"/>
      <c r="D30"/>
      <c r="E30"/>
      <c r="F30"/>
      <c r="G30"/>
      <c r="H30"/>
      <c r="I30"/>
      <c r="J30"/>
      <c r="K30"/>
      <c r="L30"/>
      <c r="M30"/>
      <c r="N30"/>
      <c r="O30"/>
      <c r="P30"/>
      <c r="Q30"/>
      <c r="R30"/>
      <c r="S30"/>
      <c r="T30"/>
      <c r="U30"/>
      <c r="V30"/>
      <c r="W30"/>
      <c r="X30"/>
      <c r="Y30"/>
      <c r="Z30"/>
      <c r="AA30"/>
      <c r="AB30"/>
      <c r="AC30"/>
    </row>
    <row r="31" spans="1:30" ht="15" x14ac:dyDescent="0.25">
      <c r="A31"/>
      <c r="B31"/>
      <c r="C31"/>
      <c r="D31"/>
      <c r="E31"/>
      <c r="F31"/>
      <c r="G31"/>
      <c r="I31" s="349"/>
      <c r="J31" s="349"/>
      <c r="K31" s="349"/>
      <c r="L31" s="103" t="s">
        <v>1038</v>
      </c>
      <c r="M31" s="349"/>
      <c r="N31" s="349"/>
      <c r="O31" s="349"/>
      <c r="P31" s="349"/>
      <c r="Q31" s="350"/>
      <c r="R31" s="304" t="str">
        <f>IF(A27="EZ","-----",IF(A27= "nicht relevant","-----",IF(AND(R25="",R27=""),"",SUMIF(A25:A27,"relevant",R25:R27) /COUNTIF(A25:A27,"relevant"))))</f>
        <v>-----</v>
      </c>
      <c r="S31"/>
      <c r="T31"/>
      <c r="U31">
        <f>IF((SUM(O31:P31)=0),0,T31 /(SUM(O31:P31)))</f>
        <v>0</v>
      </c>
      <c r="V31"/>
      <c r="W31"/>
      <c r="X31"/>
      <c r="Y31"/>
      <c r="Z31"/>
      <c r="AA31"/>
      <c r="AB31"/>
      <c r="AC31"/>
    </row>
    <row r="32" spans="1:30" ht="9.75" customHeight="1" x14ac:dyDescent="0.2">
      <c r="A32" s="51"/>
      <c r="B32" s="18"/>
      <c r="C32" s="18"/>
      <c r="D32" s="18"/>
      <c r="E32" s="18"/>
      <c r="F32" s="18"/>
      <c r="G32" s="18"/>
      <c r="H32" s="18"/>
      <c r="I32" s="18"/>
      <c r="J32" s="18"/>
      <c r="K32" s="18"/>
      <c r="L32" s="18"/>
      <c r="M32" s="18"/>
      <c r="N32" s="18"/>
      <c r="O32" s="18"/>
      <c r="P32" s="18"/>
      <c r="Q32" s="18"/>
      <c r="R32" s="18"/>
      <c r="S32" s="18"/>
      <c r="T32" s="18"/>
      <c r="U32" s="52"/>
      <c r="V32" s="52"/>
      <c r="W32" s="52"/>
      <c r="X32" s="18"/>
      <c r="Y32" s="18"/>
      <c r="Z32" s="18"/>
      <c r="AA32" s="18"/>
    </row>
    <row r="33" spans="1:29" s="103" customFormat="1" ht="14.1" customHeight="1" x14ac:dyDescent="0.2">
      <c r="A33" s="51" t="s">
        <v>573</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row>
    <row r="34" spans="1:29" s="7" customFormat="1" ht="14.1" customHeight="1" x14ac:dyDescent="0.2">
      <c r="A34" s="111" t="s">
        <v>906</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C34" s="103"/>
    </row>
    <row r="35" spans="1:29" s="7" customFormat="1" ht="14.25" customHeight="1" x14ac:dyDescent="0.2">
      <c r="A35" s="864" t="s">
        <v>1039</v>
      </c>
      <c r="B35" s="864"/>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row>
    <row r="36" spans="1:29" s="7" customFormat="1" ht="8.25" customHeight="1" x14ac:dyDescent="0.2">
      <c r="A36" s="865" t="s">
        <v>950</v>
      </c>
      <c r="B36" s="865"/>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row>
    <row r="37" spans="1:29" s="7" customFormat="1" ht="14.1" customHeight="1" x14ac:dyDescent="0.2">
      <c r="A37" s="51" t="s">
        <v>574</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C37" s="103"/>
    </row>
    <row r="38" spans="1:29" s="7" customFormat="1" ht="14.1" customHeight="1" x14ac:dyDescent="0.2">
      <c r="A38" s="51" t="s">
        <v>907</v>
      </c>
      <c r="B38" s="51"/>
      <c r="C38" s="51"/>
      <c r="D38" s="51"/>
      <c r="E38" s="51"/>
      <c r="F38" s="51"/>
      <c r="G38" s="51"/>
      <c r="H38" s="51"/>
      <c r="I38" s="51"/>
      <c r="J38" s="51"/>
      <c r="K38" s="51"/>
      <c r="L38" s="51"/>
      <c r="M38" s="51"/>
      <c r="N38" s="111"/>
      <c r="O38" s="111"/>
      <c r="P38" s="111"/>
      <c r="Q38" s="111"/>
      <c r="R38" s="112"/>
      <c r="S38" s="111"/>
      <c r="T38" s="111"/>
      <c r="U38" s="111"/>
      <c r="V38" s="111"/>
      <c r="W38" s="111"/>
      <c r="X38" s="111"/>
      <c r="Y38" s="111"/>
      <c r="Z38" s="110"/>
      <c r="AA38" s="110"/>
      <c r="AC38" s="103"/>
    </row>
    <row r="39" spans="1:29" s="113" customFormat="1" ht="14.1" customHeight="1" x14ac:dyDescent="0.2">
      <c r="A39" s="110" t="s">
        <v>908</v>
      </c>
      <c r="B39" s="51"/>
      <c r="C39" s="51"/>
      <c r="D39" s="51"/>
      <c r="E39" s="51"/>
      <c r="F39" s="51"/>
      <c r="G39" s="51"/>
      <c r="H39" s="51"/>
      <c r="I39" s="51"/>
      <c r="J39" s="51"/>
      <c r="K39" s="51"/>
      <c r="L39" s="51"/>
      <c r="M39" s="51"/>
      <c r="N39" s="111"/>
      <c r="O39" s="111"/>
      <c r="P39" s="111"/>
      <c r="Q39" s="111"/>
      <c r="R39" s="111"/>
      <c r="S39" s="111"/>
      <c r="T39" s="111"/>
      <c r="U39" s="111"/>
      <c r="V39" s="111"/>
      <c r="W39" s="111"/>
      <c r="X39" s="111"/>
      <c r="Y39" s="111"/>
      <c r="Z39" s="110"/>
      <c r="AA39" s="110"/>
      <c r="AB39" s="103"/>
    </row>
    <row r="40" spans="1:29" s="113" customFormat="1" ht="14.1" customHeight="1" x14ac:dyDescent="0.2">
      <c r="A40" s="123" t="s">
        <v>911</v>
      </c>
      <c r="B40" s="51"/>
      <c r="C40" s="51"/>
      <c r="D40" s="51"/>
      <c r="E40" s="51"/>
      <c r="F40" s="51"/>
      <c r="G40" s="51"/>
      <c r="H40" s="51"/>
      <c r="I40" s="51"/>
      <c r="J40" s="51"/>
      <c r="K40" s="51"/>
      <c r="L40" s="51"/>
      <c r="M40" s="51"/>
      <c r="N40" s="111"/>
      <c r="O40" s="111"/>
      <c r="P40" s="111"/>
      <c r="Q40" s="111"/>
      <c r="R40" s="111"/>
      <c r="S40" s="111"/>
      <c r="T40" s="111"/>
      <c r="U40" s="111"/>
      <c r="V40" s="111"/>
      <c r="W40" s="111"/>
      <c r="X40" s="111"/>
      <c r="Y40" s="111"/>
      <c r="Z40" s="110"/>
      <c r="AA40" s="110"/>
      <c r="AB40" s="103"/>
    </row>
    <row r="41" spans="1:29" s="113" customFormat="1" ht="14.1" customHeight="1" x14ac:dyDescent="0.2">
      <c r="A41" s="123" t="s">
        <v>909</v>
      </c>
      <c r="B41" s="51"/>
      <c r="C41" s="51"/>
      <c r="D41" s="51"/>
      <c r="E41" s="51"/>
      <c r="F41" s="51"/>
      <c r="G41" s="51"/>
      <c r="H41" s="51"/>
      <c r="I41" s="51"/>
      <c r="J41" s="51"/>
      <c r="K41" s="51"/>
      <c r="L41" s="51"/>
      <c r="M41" s="51"/>
      <c r="N41" s="111"/>
      <c r="O41" s="111"/>
      <c r="Q41" s="111"/>
      <c r="R41" s="111"/>
      <c r="S41" s="111"/>
      <c r="T41" s="111"/>
      <c r="U41" s="111"/>
      <c r="V41" s="111"/>
      <c r="W41" s="111"/>
      <c r="X41" s="111"/>
      <c r="Y41" s="111"/>
      <c r="Z41" s="110"/>
      <c r="AA41" s="110"/>
      <c r="AB41" s="103"/>
    </row>
    <row r="42" spans="1:29" s="113" customFormat="1" ht="14.1" customHeight="1" x14ac:dyDescent="0.2">
      <c r="A42" s="123" t="s">
        <v>910</v>
      </c>
      <c r="B42" s="51"/>
      <c r="C42" s="51"/>
      <c r="D42" s="51"/>
      <c r="E42" s="51"/>
      <c r="F42" s="51"/>
      <c r="G42" s="51"/>
      <c r="H42" s="51"/>
      <c r="I42" s="51"/>
      <c r="J42" s="51"/>
      <c r="K42" s="51"/>
      <c r="L42" s="51"/>
      <c r="M42" s="51"/>
      <c r="N42" s="111"/>
      <c r="O42" s="111"/>
      <c r="P42" s="111"/>
      <c r="Q42" s="111"/>
      <c r="R42" s="111"/>
      <c r="S42" s="111"/>
      <c r="T42" s="111"/>
      <c r="U42" s="111"/>
      <c r="V42" s="111"/>
      <c r="W42" s="111"/>
      <c r="X42" s="111"/>
      <c r="Y42" s="111"/>
      <c r="Z42" s="110"/>
      <c r="AA42" s="110"/>
      <c r="AB42" s="103"/>
    </row>
    <row r="43" spans="1:29" s="7" customFormat="1" ht="14.1" customHeight="1" x14ac:dyDescent="0.2">
      <c r="A43" s="111" t="s">
        <v>575</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C43" s="103"/>
    </row>
    <row r="44" spans="1:29" s="7" customFormat="1" ht="14.1" customHeight="1" x14ac:dyDescent="0.2">
      <c r="A44" s="110" t="s">
        <v>913</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C44" s="103"/>
    </row>
    <row r="45" spans="1:29" s="7" customFormat="1" ht="13.5" customHeight="1" x14ac:dyDescent="0.2">
      <c r="A45" s="110" t="s">
        <v>912</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C45" s="103"/>
    </row>
    <row r="46" spans="1:29" s="7" customFormat="1" ht="24" customHeight="1" x14ac:dyDescent="0.2">
      <c r="A46" s="865" t="s">
        <v>760</v>
      </c>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29" s="7" customFormat="1" ht="13.5" customHeight="1" x14ac:dyDescent="0.2">
      <c r="A47" s="851" t="s">
        <v>761</v>
      </c>
      <c r="B47" s="852"/>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row>
    <row r="48" spans="1:29" s="7" customFormat="1" ht="23.25" customHeight="1" x14ac:dyDescent="0.2">
      <c r="A48" s="866" t="s">
        <v>1099</v>
      </c>
      <c r="B48" s="866"/>
      <c r="C48" s="866"/>
      <c r="D48" s="866"/>
      <c r="E48" s="866"/>
      <c r="F48" s="866"/>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row>
    <row r="49" spans="1:13" s="7" customFormat="1" ht="24.75" customHeight="1" x14ac:dyDescent="0.2">
      <c r="A49" s="79" t="s">
        <v>161</v>
      </c>
      <c r="B49" s="114"/>
      <c r="C49" s="114"/>
    </row>
    <row r="50" spans="1:13" s="7" customFormat="1" ht="14.1" customHeight="1" x14ac:dyDescent="0.2">
      <c r="A50" s="32" t="s">
        <v>396</v>
      </c>
    </row>
    <row r="51" spans="1:13" s="32" customFormat="1" ht="14.1" customHeight="1" x14ac:dyDescent="0.25">
      <c r="A51" s="32" t="s">
        <v>397</v>
      </c>
    </row>
    <row r="52" spans="1:13" s="7" customFormat="1" ht="14.1" customHeight="1" x14ac:dyDescent="0.2">
      <c r="A52" s="115" t="s">
        <v>237</v>
      </c>
      <c r="B52" s="32" t="s">
        <v>914</v>
      </c>
    </row>
    <row r="53" spans="1:13" s="7" customFormat="1" ht="14.1" customHeight="1" x14ac:dyDescent="0.2">
      <c r="A53" s="115" t="s">
        <v>238</v>
      </c>
      <c r="B53" s="32" t="s">
        <v>352</v>
      </c>
    </row>
    <row r="54" spans="1:13" s="7" customFormat="1" ht="13.5" customHeight="1" x14ac:dyDescent="0.2">
      <c r="A54" s="115" t="s">
        <v>239</v>
      </c>
      <c r="B54" s="32" t="s">
        <v>762</v>
      </c>
      <c r="F54" s="116"/>
    </row>
    <row r="55" spans="1:13" s="7" customFormat="1" ht="14.1" customHeight="1" x14ac:dyDescent="0.2">
      <c r="A55" s="115" t="s">
        <v>240</v>
      </c>
      <c r="B55" s="32" t="s">
        <v>7</v>
      </c>
    </row>
    <row r="56" spans="1:13" s="7" customFormat="1" ht="14.1" customHeight="1" x14ac:dyDescent="0.2">
      <c r="A56" s="117" t="s">
        <v>241</v>
      </c>
      <c r="B56" s="32" t="s">
        <v>10</v>
      </c>
    </row>
    <row r="57" spans="1:13" s="7" customFormat="1" ht="14.1" customHeight="1" x14ac:dyDescent="0.2">
      <c r="A57" s="115" t="s">
        <v>243</v>
      </c>
      <c r="B57" s="32" t="s">
        <v>418</v>
      </c>
    </row>
    <row r="58" spans="1:13" s="7" customFormat="1" ht="14.1" customHeight="1" x14ac:dyDescent="0.2">
      <c r="A58" s="118"/>
      <c r="B58" s="32"/>
    </row>
    <row r="59" spans="1:13" s="7" customFormat="1" ht="14.1" customHeight="1" x14ac:dyDescent="0.2">
      <c r="A59" s="317" t="s">
        <v>226</v>
      </c>
      <c r="B59" s="114"/>
      <c r="M59" s="116"/>
    </row>
    <row r="60" spans="1:13" s="7" customFormat="1" ht="14.1" customHeight="1" x14ac:dyDescent="0.2">
      <c r="A60" s="32" t="s">
        <v>227</v>
      </c>
      <c r="M60" s="116"/>
    </row>
    <row r="61" spans="1:13" s="7" customFormat="1" ht="14.1" customHeight="1" x14ac:dyDescent="0.2">
      <c r="A61" s="32" t="s">
        <v>228</v>
      </c>
      <c r="M61" s="116"/>
    </row>
    <row r="62" spans="1:13" s="7" customFormat="1" ht="14.1" customHeight="1" x14ac:dyDescent="0.2">
      <c r="A62" s="32" t="s">
        <v>393</v>
      </c>
      <c r="M62" s="116"/>
    </row>
    <row r="63" spans="1:13" s="66" customFormat="1" ht="14.1" customHeight="1" x14ac:dyDescent="0.15">
      <c r="A63" s="67"/>
    </row>
    <row r="64" spans="1:13" s="7" customFormat="1" ht="14.1" customHeight="1" x14ac:dyDescent="0.2">
      <c r="A64" s="119" t="s">
        <v>160</v>
      </c>
    </row>
    <row r="65" spans="1:29" s="7" customFormat="1" ht="21.75" customHeight="1" x14ac:dyDescent="0.25">
      <c r="A65" s="906" t="s">
        <v>412</v>
      </c>
      <c r="B65" s="820"/>
      <c r="C65" s="853" t="s">
        <v>11</v>
      </c>
      <c r="D65" s="854"/>
      <c r="E65" s="854"/>
      <c r="F65" s="855" t="s">
        <v>112</v>
      </c>
      <c r="G65" s="856"/>
      <c r="H65" s="857"/>
      <c r="I65" s="861" t="s">
        <v>232</v>
      </c>
      <c r="J65" s="862"/>
      <c r="K65" s="862"/>
      <c r="L65" s="862"/>
      <c r="M65" s="862"/>
      <c r="N65" s="862"/>
      <c r="O65" s="862"/>
      <c r="P65" s="862"/>
      <c r="Q65" s="862"/>
      <c r="R65" s="862"/>
      <c r="S65" s="862"/>
      <c r="T65" s="862"/>
      <c r="U65" s="862"/>
      <c r="V65" s="862"/>
      <c r="W65" s="862"/>
      <c r="X65" s="862"/>
      <c r="Y65" s="862"/>
      <c r="Z65" s="862"/>
      <c r="AA65" s="862"/>
      <c r="AB65" s="862"/>
      <c r="AC65" s="863"/>
    </row>
    <row r="66" spans="1:29" s="7" customFormat="1" ht="12" customHeight="1" x14ac:dyDescent="0.25">
      <c r="A66" s="830" t="s">
        <v>201</v>
      </c>
      <c r="B66" s="787"/>
      <c r="C66" s="821" t="s">
        <v>5</v>
      </c>
      <c r="D66" s="822"/>
      <c r="E66" s="823"/>
      <c r="F66" s="858"/>
      <c r="G66" s="859"/>
      <c r="H66" s="860"/>
      <c r="I66" s="844" t="s">
        <v>16</v>
      </c>
      <c r="J66" s="845"/>
      <c r="K66" s="845"/>
      <c r="L66" s="845"/>
      <c r="M66" s="845"/>
      <c r="N66" s="845"/>
      <c r="O66" s="845"/>
      <c r="P66" s="845"/>
      <c r="Q66" s="845"/>
      <c r="R66" s="845"/>
      <c r="S66" s="845"/>
      <c r="T66" s="845"/>
      <c r="U66" s="845"/>
      <c r="V66" s="845"/>
      <c r="W66" s="845"/>
      <c r="X66" s="845"/>
      <c r="Y66" s="845"/>
      <c r="Z66" s="845"/>
      <c r="AA66" s="845"/>
      <c r="AB66" s="845"/>
      <c r="AC66" s="846"/>
    </row>
    <row r="67" spans="1:29" s="7" customFormat="1" ht="12" customHeight="1" x14ac:dyDescent="0.25">
      <c r="A67" s="830" t="s">
        <v>201</v>
      </c>
      <c r="B67" s="787"/>
      <c r="C67" s="821" t="s">
        <v>233</v>
      </c>
      <c r="D67" s="822"/>
      <c r="E67" s="823"/>
      <c r="F67" s="909"/>
      <c r="G67" s="910"/>
      <c r="H67" s="911"/>
      <c r="I67" s="844" t="s">
        <v>390</v>
      </c>
      <c r="J67" s="845"/>
      <c r="K67" s="845"/>
      <c r="L67" s="845"/>
      <c r="M67" s="845"/>
      <c r="N67" s="845"/>
      <c r="O67" s="845"/>
      <c r="P67" s="845"/>
      <c r="Q67" s="845"/>
      <c r="R67" s="845"/>
      <c r="S67" s="845"/>
      <c r="T67" s="845"/>
      <c r="U67" s="845"/>
      <c r="V67" s="845"/>
      <c r="W67" s="845"/>
      <c r="X67" s="845"/>
      <c r="Y67" s="845"/>
      <c r="Z67" s="845"/>
      <c r="AA67" s="845"/>
      <c r="AB67" s="845"/>
      <c r="AC67" s="846"/>
    </row>
    <row r="68" spans="1:29" s="7" customFormat="1" ht="12" customHeight="1" x14ac:dyDescent="0.25">
      <c r="A68" s="830" t="s">
        <v>231</v>
      </c>
      <c r="B68" s="787"/>
      <c r="C68" s="821" t="s">
        <v>12</v>
      </c>
      <c r="D68" s="822"/>
      <c r="E68" s="823"/>
      <c r="F68" s="826" t="s">
        <v>491</v>
      </c>
      <c r="G68" s="827"/>
      <c r="H68" s="827"/>
      <c r="I68" s="844" t="s">
        <v>391</v>
      </c>
      <c r="J68" s="845"/>
      <c r="K68" s="845"/>
      <c r="L68" s="845"/>
      <c r="M68" s="845"/>
      <c r="N68" s="845"/>
      <c r="O68" s="845"/>
      <c r="P68" s="845"/>
      <c r="Q68" s="845"/>
      <c r="R68" s="845"/>
      <c r="S68" s="845"/>
      <c r="T68" s="845"/>
      <c r="U68" s="845"/>
      <c r="V68" s="845"/>
      <c r="W68" s="845"/>
      <c r="X68" s="845"/>
      <c r="Y68" s="845"/>
      <c r="Z68" s="845"/>
      <c r="AA68" s="845"/>
      <c r="AB68" s="845"/>
      <c r="AC68" s="846"/>
    </row>
    <row r="69" spans="1:29" s="7" customFormat="1" ht="12" customHeight="1" x14ac:dyDescent="0.25">
      <c r="A69" s="830" t="s">
        <v>282</v>
      </c>
      <c r="B69" s="787"/>
      <c r="C69" s="821" t="s">
        <v>280</v>
      </c>
      <c r="D69" s="822"/>
      <c r="E69" s="823"/>
      <c r="F69" s="828" t="s">
        <v>184</v>
      </c>
      <c r="G69" s="829"/>
      <c r="H69" s="829"/>
      <c r="I69" s="844" t="s">
        <v>915</v>
      </c>
      <c r="J69" s="845"/>
      <c r="K69" s="845"/>
      <c r="L69" s="845"/>
      <c r="M69" s="845"/>
      <c r="N69" s="845"/>
      <c r="O69" s="845"/>
      <c r="P69" s="845"/>
      <c r="Q69" s="845"/>
      <c r="R69" s="845"/>
      <c r="S69" s="845"/>
      <c r="T69" s="845"/>
      <c r="U69" s="845"/>
      <c r="V69" s="845"/>
      <c r="W69" s="845"/>
      <c r="X69" s="845"/>
      <c r="Y69" s="845"/>
      <c r="Z69" s="845"/>
      <c r="AA69" s="845"/>
      <c r="AB69" s="845"/>
      <c r="AC69" s="846"/>
    </row>
    <row r="70" spans="1:29" s="7" customFormat="1" ht="12" customHeight="1" x14ac:dyDescent="0.25">
      <c r="A70" s="830" t="s">
        <v>36</v>
      </c>
      <c r="B70" s="787"/>
      <c r="C70" s="821" t="s">
        <v>763</v>
      </c>
      <c r="D70" s="822"/>
      <c r="E70" s="823"/>
      <c r="F70" s="828" t="s">
        <v>184</v>
      </c>
      <c r="G70" s="829"/>
      <c r="H70" s="829"/>
      <c r="I70" s="844" t="s">
        <v>764</v>
      </c>
      <c r="J70" s="845"/>
      <c r="K70" s="845"/>
      <c r="L70" s="845"/>
      <c r="M70" s="845"/>
      <c r="N70" s="845"/>
      <c r="O70" s="845"/>
      <c r="P70" s="845"/>
      <c r="Q70" s="845"/>
      <c r="R70" s="845"/>
      <c r="S70" s="845"/>
      <c r="T70" s="845"/>
      <c r="U70" s="845"/>
      <c r="V70" s="845"/>
      <c r="W70" s="845"/>
      <c r="X70" s="845"/>
      <c r="Y70" s="845"/>
      <c r="Z70" s="845"/>
      <c r="AA70" s="845"/>
      <c r="AB70" s="845"/>
      <c r="AC70" s="846"/>
    </row>
    <row r="71" spans="1:29" s="7" customFormat="1" ht="13.5" customHeight="1" x14ac:dyDescent="0.25">
      <c r="A71" s="830" t="s">
        <v>765</v>
      </c>
      <c r="B71" s="787"/>
      <c r="C71" s="821" t="s">
        <v>766</v>
      </c>
      <c r="D71" s="822"/>
      <c r="E71" s="823"/>
      <c r="F71" s="824" t="s">
        <v>27</v>
      </c>
      <c r="G71" s="825"/>
      <c r="H71" s="825"/>
      <c r="I71" s="844" t="s">
        <v>1040</v>
      </c>
      <c r="J71" s="845"/>
      <c r="K71" s="845"/>
      <c r="L71" s="845"/>
      <c r="M71" s="845"/>
      <c r="N71" s="845"/>
      <c r="O71" s="845"/>
      <c r="P71" s="845"/>
      <c r="Q71" s="845"/>
      <c r="R71" s="845"/>
      <c r="S71" s="845"/>
      <c r="T71" s="845"/>
      <c r="U71" s="845"/>
      <c r="V71" s="845"/>
      <c r="W71" s="845"/>
      <c r="X71" s="845"/>
      <c r="Y71" s="845"/>
      <c r="Z71" s="845"/>
      <c r="AA71" s="845"/>
      <c r="AB71" s="845"/>
      <c r="AC71" s="846"/>
    </row>
    <row r="72" spans="1:29" s="7" customFormat="1" ht="12" customHeight="1" x14ac:dyDescent="0.25">
      <c r="A72" s="830" t="s">
        <v>28</v>
      </c>
      <c r="B72" s="787"/>
      <c r="C72" s="821" t="s">
        <v>399</v>
      </c>
      <c r="D72" s="822"/>
      <c r="E72" s="823"/>
      <c r="F72" s="842" t="s">
        <v>164</v>
      </c>
      <c r="G72" s="843"/>
      <c r="H72" s="843"/>
      <c r="I72" s="844" t="s">
        <v>901</v>
      </c>
      <c r="J72" s="845"/>
      <c r="K72" s="845"/>
      <c r="L72" s="845"/>
      <c r="M72" s="845"/>
      <c r="N72" s="845"/>
      <c r="O72" s="845"/>
      <c r="P72" s="845"/>
      <c r="Q72" s="845"/>
      <c r="R72" s="845"/>
      <c r="S72" s="845"/>
      <c r="T72" s="845"/>
      <c r="U72" s="845"/>
      <c r="V72" s="845"/>
      <c r="W72" s="845"/>
      <c r="X72" s="845"/>
      <c r="Y72" s="845"/>
      <c r="Z72" s="845"/>
      <c r="AA72" s="845"/>
      <c r="AB72" s="845"/>
      <c r="AC72" s="846"/>
    </row>
    <row r="73" spans="1:29" s="7" customFormat="1" ht="12" customHeight="1" x14ac:dyDescent="0.2">
      <c r="A73" s="830" t="s">
        <v>767</v>
      </c>
      <c r="B73" s="831"/>
      <c r="C73" s="821" t="s">
        <v>768</v>
      </c>
      <c r="D73" s="822"/>
      <c r="E73" s="823"/>
      <c r="F73" s="842" t="s">
        <v>164</v>
      </c>
      <c r="G73" s="843"/>
      <c r="H73" s="843"/>
      <c r="I73" s="844" t="s">
        <v>370</v>
      </c>
      <c r="J73" s="845"/>
      <c r="K73" s="845"/>
      <c r="L73" s="845"/>
      <c r="M73" s="845"/>
      <c r="N73" s="845"/>
      <c r="O73" s="845"/>
      <c r="P73" s="845"/>
      <c r="Q73" s="845"/>
      <c r="R73" s="845"/>
      <c r="S73" s="845"/>
      <c r="T73" s="845"/>
      <c r="U73" s="845"/>
      <c r="V73" s="845"/>
      <c r="W73" s="845"/>
      <c r="X73" s="845"/>
      <c r="Y73" s="845"/>
      <c r="Z73" s="845"/>
      <c r="AA73" s="845"/>
      <c r="AB73" s="845"/>
      <c r="AC73" s="846"/>
    </row>
    <row r="74" spans="1:29" s="7" customFormat="1" ht="12" customHeight="1" x14ac:dyDescent="0.25">
      <c r="A74" s="830" t="s">
        <v>765</v>
      </c>
      <c r="B74" s="787"/>
      <c r="C74" s="821" t="s">
        <v>769</v>
      </c>
      <c r="D74" s="822"/>
      <c r="E74" s="823"/>
      <c r="F74" s="842" t="s">
        <v>164</v>
      </c>
      <c r="G74" s="843"/>
      <c r="H74" s="843"/>
      <c r="I74" s="844" t="s">
        <v>1047</v>
      </c>
      <c r="J74" s="845"/>
      <c r="K74" s="845"/>
      <c r="L74" s="845"/>
      <c r="M74" s="845"/>
      <c r="N74" s="845"/>
      <c r="O74" s="845"/>
      <c r="P74" s="845"/>
      <c r="Q74" s="845"/>
      <c r="R74" s="845"/>
      <c r="S74" s="845"/>
      <c r="T74" s="845"/>
      <c r="U74" s="845"/>
      <c r="V74" s="845"/>
      <c r="W74" s="845"/>
      <c r="X74" s="845"/>
      <c r="Y74" s="845"/>
      <c r="Z74" s="845"/>
      <c r="AA74" s="845"/>
      <c r="AB74" s="845"/>
      <c r="AC74" s="846"/>
    </row>
    <row r="75" spans="1:29" s="7" customFormat="1" ht="12" hidden="1" customHeight="1" x14ac:dyDescent="0.2">
      <c r="A75" s="47" t="s">
        <v>245</v>
      </c>
      <c r="B75" s="31"/>
      <c r="C75" s="821" t="s">
        <v>341</v>
      </c>
      <c r="D75" s="822"/>
      <c r="E75" s="823"/>
      <c r="F75" s="842" t="s">
        <v>164</v>
      </c>
      <c r="G75" s="843"/>
      <c r="H75" s="843"/>
      <c r="I75" s="120" t="s">
        <v>369</v>
      </c>
      <c r="J75" s="120"/>
      <c r="K75" s="120"/>
      <c r="L75" s="121"/>
      <c r="M75" s="121"/>
      <c r="N75" s="121"/>
      <c r="O75" s="121"/>
      <c r="P75" s="121"/>
      <c r="Q75" s="121"/>
      <c r="R75" s="121"/>
      <c r="S75" s="121"/>
      <c r="T75" s="121"/>
      <c r="U75" s="121"/>
      <c r="V75" s="121"/>
      <c r="W75" s="121"/>
      <c r="X75" s="121"/>
      <c r="Y75" s="121"/>
      <c r="Z75" s="121"/>
      <c r="AA75" s="121"/>
      <c r="AB75" s="122"/>
    </row>
    <row r="76" spans="1:29" s="7" customFormat="1" ht="12" customHeight="1" x14ac:dyDescent="0.25">
      <c r="A76" s="830" t="s">
        <v>1052</v>
      </c>
      <c r="B76" s="787"/>
      <c r="C76" s="839" t="s">
        <v>251</v>
      </c>
      <c r="D76" s="840"/>
      <c r="E76" s="841"/>
      <c r="F76" s="842" t="s">
        <v>164</v>
      </c>
      <c r="G76" s="843"/>
      <c r="H76" s="843"/>
      <c r="I76" s="124" t="s">
        <v>234</v>
      </c>
      <c r="J76" s="120"/>
      <c r="K76" s="120"/>
      <c r="L76" s="120"/>
      <c r="M76" s="120"/>
      <c r="N76" s="120"/>
      <c r="O76" s="120"/>
      <c r="P76" s="120"/>
      <c r="Q76" s="120" t="s">
        <v>476</v>
      </c>
      <c r="R76" s="497">
        <f>B23</f>
        <v>2016</v>
      </c>
      <c r="S76" s="120"/>
      <c r="T76" s="120"/>
      <c r="U76" s="120"/>
      <c r="V76" s="120"/>
      <c r="W76" s="120"/>
      <c r="X76" s="120"/>
      <c r="Y76" s="120"/>
      <c r="Z76" s="120"/>
      <c r="AA76" s="120"/>
      <c r="AB76" s="120"/>
      <c r="AC76" s="125"/>
    </row>
    <row r="77" spans="1:29" s="7" customFormat="1" ht="12" customHeight="1" x14ac:dyDescent="0.25">
      <c r="A77" s="832" t="s">
        <v>1051</v>
      </c>
      <c r="B77" s="833"/>
      <c r="C77" s="834" t="s">
        <v>251</v>
      </c>
      <c r="D77" s="835"/>
      <c r="E77" s="836"/>
      <c r="F77" s="837" t="s">
        <v>164</v>
      </c>
      <c r="G77" s="838"/>
      <c r="H77" s="838"/>
      <c r="I77" s="449" t="s">
        <v>234</v>
      </c>
      <c r="J77" s="450"/>
      <c r="K77" s="450"/>
      <c r="L77" s="450"/>
      <c r="M77" s="450"/>
      <c r="N77" s="450"/>
      <c r="O77" s="450"/>
      <c r="P77" s="450"/>
      <c r="Q77" s="450" t="s">
        <v>477</v>
      </c>
      <c r="R77" s="451">
        <f>B24</f>
        <v>2017</v>
      </c>
      <c r="S77" s="450"/>
      <c r="T77" s="450"/>
      <c r="U77" s="450"/>
      <c r="V77" s="450"/>
      <c r="W77" s="450"/>
      <c r="X77" s="450"/>
      <c r="Y77" s="450"/>
      <c r="Z77" s="450"/>
      <c r="AA77" s="450"/>
      <c r="AB77" s="450"/>
      <c r="AC77" s="452"/>
    </row>
    <row r="78" spans="1:29" s="7" customFormat="1" ht="12" customHeight="1" x14ac:dyDescent="0.25">
      <c r="A78" s="830" t="s">
        <v>1050</v>
      </c>
      <c r="B78" s="787"/>
      <c r="C78" s="839" t="s">
        <v>251</v>
      </c>
      <c r="D78" s="840"/>
      <c r="E78" s="841"/>
      <c r="F78" s="842" t="s">
        <v>164</v>
      </c>
      <c r="G78" s="843"/>
      <c r="H78" s="843"/>
      <c r="I78" s="124" t="s">
        <v>234</v>
      </c>
      <c r="J78" s="120"/>
      <c r="K78" s="120"/>
      <c r="L78" s="120"/>
      <c r="M78" s="120"/>
      <c r="N78" s="120"/>
      <c r="O78" s="120"/>
      <c r="P78" s="120"/>
      <c r="Q78" s="120" t="s">
        <v>477</v>
      </c>
      <c r="R78" s="497" t="str">
        <f>CONCATENATE(B25," - ",B26)</f>
        <v>2018 - 2019</v>
      </c>
      <c r="S78" s="120"/>
      <c r="T78" s="120"/>
      <c r="U78" s="120"/>
      <c r="V78" s="120"/>
      <c r="W78" s="120"/>
      <c r="X78" s="120"/>
      <c r="Y78" s="120"/>
      <c r="Z78" s="120"/>
      <c r="AA78" s="120"/>
      <c r="AB78" s="120"/>
      <c r="AC78" s="125"/>
    </row>
    <row r="79" spans="1:29" s="7" customFormat="1" ht="12" customHeight="1" x14ac:dyDescent="0.25">
      <c r="A79" s="830" t="s">
        <v>770</v>
      </c>
      <c r="B79" s="787"/>
      <c r="C79" s="839" t="s">
        <v>383</v>
      </c>
      <c r="D79" s="840"/>
      <c r="E79" s="841"/>
      <c r="F79" s="842" t="s">
        <v>164</v>
      </c>
      <c r="G79" s="843"/>
      <c r="H79" s="843"/>
      <c r="I79" s="124" t="s">
        <v>234</v>
      </c>
      <c r="J79" s="120"/>
      <c r="K79" s="120"/>
      <c r="L79" s="120"/>
      <c r="M79" s="120"/>
      <c r="N79" s="120"/>
      <c r="O79" s="120"/>
      <c r="P79" s="120"/>
      <c r="Q79" s="120" t="s">
        <v>477</v>
      </c>
      <c r="R79" s="497">
        <f>B27</f>
        <v>2020</v>
      </c>
      <c r="S79" s="120"/>
      <c r="T79" s="120"/>
      <c r="U79" s="120"/>
      <c r="V79" s="120"/>
      <c r="W79" s="120"/>
      <c r="X79" s="120"/>
      <c r="Y79" s="120"/>
      <c r="Z79" s="120"/>
      <c r="AA79" s="120"/>
      <c r="AB79" s="120"/>
      <c r="AC79" s="125"/>
    </row>
    <row r="80" spans="1:29" s="7" customFormat="1" ht="12" customHeight="1" x14ac:dyDescent="0.25">
      <c r="A80" s="830" t="s">
        <v>1053</v>
      </c>
      <c r="B80" s="787"/>
      <c r="C80" s="839" t="s">
        <v>251</v>
      </c>
      <c r="D80" s="840"/>
      <c r="E80" s="841"/>
      <c r="F80" s="842" t="s">
        <v>164</v>
      </c>
      <c r="G80" s="843"/>
      <c r="H80" s="843"/>
      <c r="I80" s="124" t="s">
        <v>235</v>
      </c>
      <c r="J80" s="120"/>
      <c r="K80" s="120"/>
      <c r="L80" s="120"/>
      <c r="M80" s="120"/>
      <c r="N80" s="120"/>
      <c r="O80" s="120"/>
      <c r="P80" s="120"/>
      <c r="Q80" s="120" t="s">
        <v>476</v>
      </c>
      <c r="R80" s="497">
        <f>B23</f>
        <v>2016</v>
      </c>
      <c r="S80" s="120"/>
      <c r="T80" s="120"/>
      <c r="U80" s="120"/>
      <c r="V80" s="120"/>
      <c r="W80" s="120"/>
      <c r="X80" s="120"/>
      <c r="Y80" s="120"/>
      <c r="Z80" s="120"/>
      <c r="AA80" s="120"/>
      <c r="AB80" s="120"/>
      <c r="AC80" s="125"/>
    </row>
    <row r="81" spans="1:29" s="7" customFormat="1" ht="12" customHeight="1" x14ac:dyDescent="0.25">
      <c r="A81" s="832" t="s">
        <v>1054</v>
      </c>
      <c r="B81" s="833"/>
      <c r="C81" s="834" t="s">
        <v>251</v>
      </c>
      <c r="D81" s="835"/>
      <c r="E81" s="836"/>
      <c r="F81" s="837" t="s">
        <v>164</v>
      </c>
      <c r="G81" s="838"/>
      <c r="H81" s="838"/>
      <c r="I81" s="449" t="s">
        <v>235</v>
      </c>
      <c r="J81" s="450"/>
      <c r="K81" s="450"/>
      <c r="L81" s="450"/>
      <c r="M81" s="450"/>
      <c r="N81" s="450"/>
      <c r="O81" s="450"/>
      <c r="P81" s="450"/>
      <c r="Q81" s="450" t="s">
        <v>478</v>
      </c>
      <c r="R81" s="451">
        <f>B24</f>
        <v>2017</v>
      </c>
      <c r="S81" s="450"/>
      <c r="T81" s="450"/>
      <c r="U81" s="450"/>
      <c r="V81" s="450"/>
      <c r="W81" s="450"/>
      <c r="X81" s="450"/>
      <c r="Y81" s="450"/>
      <c r="Z81" s="450"/>
      <c r="AA81" s="450"/>
      <c r="AB81" s="450"/>
      <c r="AC81" s="452"/>
    </row>
    <row r="82" spans="1:29" s="7" customFormat="1" ht="12" customHeight="1" x14ac:dyDescent="0.25">
      <c r="A82" s="830" t="s">
        <v>943</v>
      </c>
      <c r="B82" s="787"/>
      <c r="C82" s="839" t="s">
        <v>251</v>
      </c>
      <c r="D82" s="840"/>
      <c r="E82" s="841"/>
      <c r="F82" s="842" t="s">
        <v>164</v>
      </c>
      <c r="G82" s="843"/>
      <c r="H82" s="843"/>
      <c r="I82" s="124" t="s">
        <v>235</v>
      </c>
      <c r="J82" s="120"/>
      <c r="K82" s="120"/>
      <c r="L82" s="120"/>
      <c r="M82" s="120"/>
      <c r="N82" s="120"/>
      <c r="O82" s="120"/>
      <c r="P82" s="120"/>
      <c r="Q82" s="120" t="s">
        <v>477</v>
      </c>
      <c r="R82" s="497">
        <f>B25</f>
        <v>2018</v>
      </c>
      <c r="S82" s="120"/>
      <c r="T82" s="120"/>
      <c r="U82" s="120"/>
      <c r="V82" s="120"/>
      <c r="W82" s="120"/>
      <c r="X82" s="120"/>
      <c r="Y82" s="120"/>
      <c r="Z82" s="120"/>
      <c r="AA82" s="120"/>
      <c r="AB82" s="120"/>
      <c r="AC82" s="125"/>
    </row>
    <row r="83" spans="1:29" s="7" customFormat="1" ht="12" customHeight="1" x14ac:dyDescent="0.25">
      <c r="A83" s="830" t="s">
        <v>944</v>
      </c>
      <c r="B83" s="787"/>
      <c r="C83" s="839" t="s">
        <v>385</v>
      </c>
      <c r="D83" s="840"/>
      <c r="E83" s="841"/>
      <c r="F83" s="842" t="s">
        <v>164</v>
      </c>
      <c r="G83" s="843"/>
      <c r="H83" s="843"/>
      <c r="I83" s="124" t="s">
        <v>235</v>
      </c>
      <c r="J83" s="120"/>
      <c r="K83" s="120"/>
      <c r="L83" s="120"/>
      <c r="M83" s="120"/>
      <c r="N83" s="120"/>
      <c r="O83" s="120"/>
      <c r="P83" s="120"/>
      <c r="Q83" s="120" t="s">
        <v>477</v>
      </c>
      <c r="R83" s="497">
        <f>B26</f>
        <v>2019</v>
      </c>
      <c r="S83" s="120"/>
      <c r="T83" s="120"/>
      <c r="U83" s="120"/>
      <c r="V83" s="120"/>
      <c r="W83" s="120"/>
      <c r="X83" s="120"/>
      <c r="Y83" s="120"/>
      <c r="Z83" s="120"/>
      <c r="AA83" s="120"/>
      <c r="AB83" s="120"/>
      <c r="AC83" s="125"/>
    </row>
    <row r="84" spans="1:29" s="7" customFormat="1" ht="12" customHeight="1" x14ac:dyDescent="0.25">
      <c r="A84" s="830" t="s">
        <v>771</v>
      </c>
      <c r="B84" s="787"/>
      <c r="C84" s="839" t="s">
        <v>384</v>
      </c>
      <c r="D84" s="840"/>
      <c r="E84" s="841"/>
      <c r="F84" s="842" t="s">
        <v>164</v>
      </c>
      <c r="G84" s="843"/>
      <c r="H84" s="843"/>
      <c r="I84" s="124" t="s">
        <v>235</v>
      </c>
      <c r="J84" s="120"/>
      <c r="K84" s="120"/>
      <c r="L84" s="120"/>
      <c r="M84" s="120"/>
      <c r="N84" s="120"/>
      <c r="O84" s="120"/>
      <c r="P84" s="120"/>
      <c r="Q84" s="120" t="s">
        <v>478</v>
      </c>
      <c r="R84" s="497">
        <f>B27</f>
        <v>2020</v>
      </c>
      <c r="S84" s="120"/>
      <c r="T84" s="120"/>
      <c r="U84" s="120"/>
      <c r="V84" s="120"/>
      <c r="W84" s="120"/>
      <c r="X84" s="120"/>
      <c r="Y84" s="120"/>
      <c r="Z84" s="120"/>
      <c r="AA84" s="120"/>
      <c r="AB84" s="120"/>
      <c r="AC84" s="125"/>
    </row>
    <row r="87" spans="1:29" ht="15" x14ac:dyDescent="0.25">
      <c r="A87"/>
      <c r="E87"/>
      <c r="F87"/>
      <c r="G87"/>
      <c r="H87"/>
      <c r="I87"/>
      <c r="J87"/>
      <c r="K87"/>
      <c r="L87"/>
      <c r="M87"/>
      <c r="N87"/>
      <c r="O87"/>
      <c r="P87"/>
      <c r="Q87"/>
      <c r="R87"/>
      <c r="S87"/>
      <c r="T87"/>
      <c r="U87"/>
      <c r="V87"/>
      <c r="W87"/>
      <c r="X87"/>
      <c r="Y87"/>
      <c r="Z87"/>
      <c r="AA87"/>
      <c r="AB87"/>
      <c r="AC87"/>
    </row>
    <row r="88" spans="1:29" ht="17.25" hidden="1" customHeight="1" x14ac:dyDescent="0.2">
      <c r="B88" s="43" t="str">
        <f>Berechnung2!B49</f>
        <v>Matrix</v>
      </c>
      <c r="C88" s="43"/>
      <c r="D88" s="43"/>
      <c r="E88" s="43"/>
      <c r="F88" s="43"/>
      <c r="G88" s="43"/>
      <c r="H88" s="44"/>
      <c r="I88" s="44"/>
      <c r="J88" s="44"/>
      <c r="K88" s="44"/>
      <c r="L88" s="44"/>
      <c r="M88" s="44"/>
      <c r="N88" s="44"/>
      <c r="O88" s="44"/>
      <c r="P88" s="44"/>
      <c r="Q88" s="44"/>
      <c r="R88" s="44"/>
      <c r="S88" s="44"/>
      <c r="T88" s="43"/>
      <c r="U88" s="43"/>
      <c r="V88" s="43"/>
    </row>
    <row r="89" spans="1:29" ht="14.25" hidden="1" customHeight="1" x14ac:dyDescent="0.2">
      <c r="A89" s="43" t="str">
        <f>Berechnung2!B50</f>
        <v>ART</v>
      </c>
      <c r="C89" s="43">
        <f>Berechnung2!C50</f>
        <v>0</v>
      </c>
      <c r="D89" s="43">
        <f>Berechnung2!D50</f>
        <v>0</v>
      </c>
      <c r="E89" s="43"/>
      <c r="F89" s="43"/>
      <c r="G89" s="43"/>
      <c r="H89" s="44">
        <f>Berechnung2!E50</f>
        <v>0</v>
      </c>
      <c r="I89" s="44" t="str">
        <f>Berechnung2!F50</f>
        <v>Werte</v>
      </c>
      <c r="J89" s="44"/>
      <c r="K89" s="44"/>
      <c r="L89" s="44">
        <f>Berechnung2!G50</f>
        <v>0</v>
      </c>
      <c r="M89" s="44">
        <f>Berechnung2!H50</f>
        <v>0</v>
      </c>
      <c r="N89" s="44">
        <f>Berechnung2!I50</f>
        <v>0</v>
      </c>
      <c r="O89" s="44">
        <f>Berechnung2!J50</f>
        <v>0</v>
      </c>
      <c r="P89" s="44">
        <f>Berechnung2!K50</f>
        <v>0</v>
      </c>
      <c r="Q89" s="44" t="str">
        <f>Berechnung2!L50</f>
        <v>Texte Matrix Datenquali</v>
      </c>
      <c r="R89" s="44">
        <f>Berechnung2!M50</f>
        <v>0</v>
      </c>
      <c r="S89" s="44" t="str">
        <f>Berechnung2!N50</f>
        <v>Fehlermeldungen Matrix</v>
      </c>
      <c r="T89" s="43"/>
      <c r="U89" s="43"/>
      <c r="V89" s="43"/>
    </row>
    <row r="90" spans="1:29" ht="14.25" hidden="1" customHeight="1" x14ac:dyDescent="0.2">
      <c r="A90" s="43" t="str">
        <f>Berechnung2!B51</f>
        <v>Anzahl Primärpatiente  größer als im KB</v>
      </c>
      <c r="C90" s="43">
        <f>Berechnung2!C51</f>
        <v>0</v>
      </c>
      <c r="D90" s="43" t="str">
        <f>Berechnung2!D51</f>
        <v>plausi</v>
      </c>
      <c r="E90" s="43"/>
      <c r="F90" s="43"/>
      <c r="G90" s="43"/>
      <c r="H90" s="53">
        <f>Berechnung2!E51</f>
        <v>0</v>
      </c>
      <c r="I90" s="53">
        <f>Berechnung2!F51</f>
        <v>0</v>
      </c>
      <c r="J90" s="53"/>
      <c r="K90" s="53"/>
      <c r="L90" s="53">
        <f>Berechnung2!G51</f>
        <v>0</v>
      </c>
      <c r="M90" s="53">
        <f>Berechnung2!H51</f>
        <v>0</v>
      </c>
      <c r="N90" s="53" t="str">
        <f>Berechnung2!I51</f>
        <v>Aus KB übertragen</v>
      </c>
      <c r="O90" s="128" t="str">
        <f>Berechnung2!J51</f>
        <v/>
      </c>
      <c r="P90" s="44">
        <f>Berechnung2!K51</f>
        <v>0</v>
      </c>
      <c r="Q90" s="44" t="str">
        <f>Berechnung2!L51</f>
        <v>Anzahl Primärpatienten in der Matrix größer als  Primärfälle Basisdaten</v>
      </c>
      <c r="R90" s="44">
        <f>Berechnung2!M51</f>
        <v>0</v>
      </c>
      <c r="S90" s="44">
        <f>Berechnung2!N51</f>
        <v>0</v>
      </c>
      <c r="T90" s="43"/>
      <c r="U90" s="43"/>
      <c r="V90" s="43"/>
    </row>
    <row r="91" spans="1:29" ht="14.25" hidden="1" customHeight="1" x14ac:dyDescent="0.2">
      <c r="A91" s="43">
        <f>Berechnung2!B52</f>
        <v>0</v>
      </c>
      <c r="C91" s="43">
        <f>Berechnung2!C52</f>
        <v>0</v>
      </c>
      <c r="D91" s="43" t="str">
        <f>Berechnung2!D52</f>
        <v>unvollständig</v>
      </c>
      <c r="E91" s="43"/>
      <c r="F91" s="43"/>
      <c r="G91" s="43"/>
      <c r="H91" s="53">
        <f>Berechnung2!E52</f>
        <v>0</v>
      </c>
      <c r="I91" s="53">
        <f>Berechnung2!F52</f>
        <v>0</v>
      </c>
      <c r="J91" s="53"/>
      <c r="K91" s="53"/>
      <c r="L91" s="53">
        <f>Berechnung2!G52</f>
        <v>0</v>
      </c>
      <c r="M91" s="53">
        <f>Berechnung2!H52</f>
        <v>0</v>
      </c>
      <c r="N91" s="53">
        <f>Berechnung2!I52</f>
        <v>0</v>
      </c>
      <c r="O91" s="53">
        <f>Berechnung2!J52</f>
        <v>0</v>
      </c>
      <c r="P91" s="44">
        <f>Berechnung2!K52</f>
        <v>0</v>
      </c>
      <c r="Q91" s="44" t="str">
        <f>Berechnung2!L52</f>
        <v>relevante Nachsorgejahre nicht/unvollständig bearbeitet</v>
      </c>
      <c r="R91" s="44">
        <f>Berechnung2!M52</f>
        <v>0</v>
      </c>
      <c r="S91" s="44">
        <f>Berechnung2!N52</f>
        <v>0</v>
      </c>
      <c r="T91" s="43"/>
      <c r="U91" s="43"/>
      <c r="V91" s="43"/>
    </row>
    <row r="92" spans="1:29" ht="14.25" hidden="1" customHeight="1" x14ac:dyDescent="0.2">
      <c r="A92" s="43" t="str">
        <f>Berechnung2!B53</f>
        <v>Relative Quote tumorfrei</v>
      </c>
      <c r="C92" s="43">
        <f>Berechnung2!C53</f>
        <v>0</v>
      </c>
      <c r="D92" s="43" t="str">
        <f>Berechnung2!D53</f>
        <v>plausi</v>
      </c>
      <c r="E92" s="43"/>
      <c r="F92" s="43"/>
      <c r="G92" s="43"/>
      <c r="H92" s="53" t="str">
        <f>Berechnung2!E53</f>
        <v>nicht geprüft</v>
      </c>
      <c r="I92" s="53">
        <f>Berechnung2!F53</f>
        <v>-1</v>
      </c>
      <c r="J92" s="53"/>
      <c r="K92" s="53"/>
      <c r="L92" s="53">
        <f>Berechnung2!G53</f>
        <v>-1</v>
      </c>
      <c r="M92" s="53">
        <f>Berechnung2!H53</f>
        <v>-1</v>
      </c>
      <c r="N92" s="53">
        <f>Berechnung2!I53</f>
        <v>-1</v>
      </c>
      <c r="O92" s="53">
        <f>Berechnung2!J53</f>
        <v>-1</v>
      </c>
      <c r="P92" s="44">
        <f>Berechnung2!K53</f>
        <v>0</v>
      </c>
      <c r="Q92" s="44" t="str">
        <f>Berechnung2!L53</f>
        <v>auffällig niedrige Quote tumorfreier Patienten</v>
      </c>
      <c r="R92" s="44">
        <f>Berechnung2!M53</f>
        <v>0</v>
      </c>
      <c r="S92" s="44">
        <f>Berechnung2!N53</f>
        <v>0</v>
      </c>
      <c r="T92" s="43"/>
      <c r="U92" s="43"/>
      <c r="V92" s="43"/>
      <c r="AC92" s="3"/>
    </row>
    <row r="93" spans="1:29" ht="14.25" hidden="1" customHeight="1" x14ac:dyDescent="0.2">
      <c r="A93" s="43" t="str">
        <f>Berechnung2!B54</f>
        <v xml:space="preserve">nur Prozentwerte können eingegeben werden </v>
      </c>
      <c r="C93" s="43">
        <f>Berechnung2!C54</f>
        <v>0</v>
      </c>
      <c r="D93" s="43" t="str">
        <f>Berechnung2!D54</f>
        <v>inkorrekt</v>
      </c>
      <c r="E93" s="43"/>
      <c r="F93" s="43"/>
      <c r="G93" s="43"/>
      <c r="H93" s="53" t="str">
        <f>Berechnung2!E54</f>
        <v>&gt;</v>
      </c>
      <c r="I93" s="53">
        <f>Berechnung2!F54</f>
        <v>0</v>
      </c>
      <c r="J93" s="53"/>
      <c r="K93" s="53"/>
      <c r="L93" s="53">
        <f>Berechnung2!G54</f>
        <v>0</v>
      </c>
      <c r="M93" s="53">
        <f>Berechnung2!H54</f>
        <v>0</v>
      </c>
      <c r="N93" s="53">
        <f>Berechnung2!I54</f>
        <v>0</v>
      </c>
      <c r="O93" s="53">
        <f>Berechnung2!J54</f>
        <v>1</v>
      </c>
      <c r="P93" s="44">
        <f>Berechnung2!K54</f>
        <v>0</v>
      </c>
      <c r="Q93" s="44">
        <f>Berechnung2!L54</f>
        <v>0</v>
      </c>
      <c r="R93" s="44">
        <f>Berechnung2!M54</f>
        <v>0</v>
      </c>
      <c r="S93" s="44">
        <f>Berechnung2!N54</f>
        <v>0</v>
      </c>
      <c r="T93" s="43"/>
      <c r="U93" s="43"/>
      <c r="V93" s="43"/>
      <c r="AC93" s="3"/>
    </row>
    <row r="94" spans="1:29" ht="14.25" hidden="1" customHeight="1" x14ac:dyDescent="0.2">
      <c r="A94" s="43" t="str">
        <f>Berechnung2!B55</f>
        <v>zu geringe Anzahl der Primärfälle</v>
      </c>
      <c r="C94" s="43">
        <f>Berechnung2!C55</f>
        <v>0</v>
      </c>
      <c r="D94" s="43" t="str">
        <f>Berechnung2!D55</f>
        <v>plausi</v>
      </c>
      <c r="E94" s="43"/>
      <c r="F94" s="43"/>
      <c r="G94" s="43"/>
      <c r="H94" s="44" t="str">
        <f>Berechnung2!E55</f>
        <v>&lt;</v>
      </c>
      <c r="I94" s="44">
        <f>Berechnung2!F55</f>
        <v>0</v>
      </c>
      <c r="J94" s="44"/>
      <c r="K94" s="44"/>
      <c r="L94" s="44">
        <f>Berechnung2!G55</f>
        <v>150</v>
      </c>
      <c r="M94" s="44">
        <f>Berechnung2!H55</f>
        <v>0</v>
      </c>
      <c r="N94" s="44">
        <f>Berechnung2!I55</f>
        <v>0</v>
      </c>
      <c r="O94" s="44">
        <f>Berechnung2!J55</f>
        <v>0</v>
      </c>
      <c r="P94" s="44">
        <f>Berechnung2!K55</f>
        <v>0</v>
      </c>
      <c r="Q94" s="44" t="str">
        <f>Berechnung2!L55</f>
        <v>zu wenig Primärfälle angegeben</v>
      </c>
      <c r="R94" s="44">
        <f>Berechnung2!M55</f>
        <v>0</v>
      </c>
      <c r="S94" s="44">
        <f>Berechnung2!N55</f>
        <v>0</v>
      </c>
      <c r="T94" s="43"/>
      <c r="U94" s="43"/>
      <c r="V94" s="43"/>
      <c r="AC94" s="3"/>
    </row>
    <row r="95" spans="1:29" ht="14.25" hidden="1" customHeight="1" x14ac:dyDescent="0.2">
      <c r="A95" s="43" t="str">
        <f>Berechnung2!B56</f>
        <v>zu viele Patientinnen im Follow-Up</v>
      </c>
      <c r="C95" s="43">
        <f>Berechnung2!C56</f>
        <v>0</v>
      </c>
      <c r="D95" s="43" t="str">
        <f>Berechnung2!D56</f>
        <v>inkorrekt</v>
      </c>
      <c r="E95" s="43"/>
      <c r="F95" s="43"/>
      <c r="G95" s="43"/>
      <c r="H95" s="54">
        <f>Berechnung2!E56</f>
        <v>0</v>
      </c>
      <c r="I95" s="54">
        <f>Berechnung2!F56</f>
        <v>0</v>
      </c>
      <c r="J95" s="54"/>
      <c r="K95" s="54"/>
      <c r="L95" s="54">
        <f>Berechnung2!G56</f>
        <v>0</v>
      </c>
      <c r="M95" s="54">
        <f>Berechnung2!H56</f>
        <v>0</v>
      </c>
      <c r="N95" s="54">
        <f>Berechnung2!I56</f>
        <v>0</v>
      </c>
      <c r="O95" s="54">
        <f>Berechnung2!J56</f>
        <v>0</v>
      </c>
      <c r="P95" s="44">
        <f>Berechnung2!K56</f>
        <v>0</v>
      </c>
      <c r="Q95" s="44" t="str">
        <f>Berechnung2!L56</f>
        <v>zu viele Pat im Follow-Up</v>
      </c>
      <c r="R95" s="44">
        <f>Berechnung2!M56</f>
        <v>0</v>
      </c>
      <c r="S95" s="44" t="str">
        <f>Berechnung2!N56</f>
        <v>Anzahl Pat. Im Follow-Up zu hoch.</v>
      </c>
      <c r="T95" s="43"/>
      <c r="U95" s="43"/>
      <c r="V95" s="43"/>
      <c r="AC95" s="3"/>
    </row>
    <row r="96" spans="1:29" ht="14.25" hidden="1" customHeight="1" x14ac:dyDescent="0.2">
      <c r="A96" s="43" t="str">
        <f>Berechnung2!B57</f>
        <v>geringe Follow-Up Quote</v>
      </c>
      <c r="C96" s="43">
        <f>Berechnung2!C57</f>
        <v>0</v>
      </c>
      <c r="D96" s="43" t="str">
        <f>Berechnung2!D57</f>
        <v>plausi</v>
      </c>
      <c r="E96" s="43"/>
      <c r="F96" s="43"/>
      <c r="G96" s="43"/>
      <c r="H96" s="54" t="str">
        <f>Berechnung2!E57</f>
        <v>&lt;</v>
      </c>
      <c r="I96" s="54">
        <f>Berechnung2!F57</f>
        <v>0</v>
      </c>
      <c r="J96" s="54"/>
      <c r="K96" s="54"/>
      <c r="L96" s="54">
        <f>Berechnung2!G57</f>
        <v>0</v>
      </c>
      <c r="M96" s="54">
        <f>Berechnung2!H57</f>
        <v>0</v>
      </c>
      <c r="N96" s="54">
        <f>Berechnung2!I57</f>
        <v>0.39999000000000001</v>
      </c>
      <c r="O96" s="54">
        <f>Berechnung2!J57</f>
        <v>0.39999000000000001</v>
      </c>
      <c r="P96" s="44">
        <f>Berechnung2!K57</f>
        <v>0</v>
      </c>
      <c r="Q96" s="44" t="str">
        <f>Berechnung2!L57</f>
        <v>geringe Follow-Up Quote der Nachsorgejahre</v>
      </c>
      <c r="R96" s="44">
        <f>Berechnung2!M57</f>
        <v>0</v>
      </c>
      <c r="S96" s="44">
        <f>Berechnung2!N57</f>
        <v>0</v>
      </c>
      <c r="T96" s="43"/>
      <c r="U96" s="43"/>
      <c r="V96" s="43"/>
      <c r="AC96" s="3"/>
    </row>
    <row r="97" spans="1:29" ht="14.25" hidden="1" customHeight="1" x14ac:dyDescent="0.2">
      <c r="A97" s="43" t="str">
        <f>Berechnung2!B58</f>
        <v>geringe Follow-Up Quote 2018-2020</v>
      </c>
      <c r="C97" s="43">
        <f>Berechnung2!C58</f>
        <v>0</v>
      </c>
      <c r="D97" s="43" t="str">
        <f>Berechnung2!D58</f>
        <v>sollvorgabe</v>
      </c>
      <c r="E97" s="43"/>
      <c r="F97" s="43"/>
      <c r="G97" s="43"/>
      <c r="H97" s="54" t="str">
        <f>Berechnung2!E58</f>
        <v>&lt;</v>
      </c>
      <c r="I97" s="54">
        <f>Berechnung2!F58</f>
        <v>0</v>
      </c>
      <c r="J97" s="54"/>
      <c r="K97" s="54"/>
      <c r="L97" s="54">
        <f>Berechnung2!G58</f>
        <v>0</v>
      </c>
      <c r="M97" s="54">
        <f>Berechnung2!H58</f>
        <v>0</v>
      </c>
      <c r="N97" s="54">
        <f>Berechnung2!I58</f>
        <v>0.79998999999999998</v>
      </c>
      <c r="O97" s="54">
        <f>Berechnung2!J58</f>
        <v>0.79998999999999998</v>
      </c>
      <c r="P97" s="44">
        <f>Berechnung2!K58</f>
        <v>0</v>
      </c>
      <c r="Q97" s="44" t="str">
        <f>Berechnung2!L58</f>
        <v>durchschnittliche Follow-Up Quote &lt; 80%</v>
      </c>
      <c r="R97" s="44">
        <f>Berechnung2!M58</f>
        <v>0</v>
      </c>
      <c r="S97" s="44">
        <f>Berechnung2!N58</f>
        <v>0</v>
      </c>
      <c r="T97" s="43"/>
      <c r="U97" s="43"/>
      <c r="V97" s="43"/>
      <c r="AC97" s="3"/>
    </row>
    <row r="98" spans="1:29" ht="14.25" hidden="1" customHeight="1" x14ac:dyDescent="0.2">
      <c r="A98" s="43" t="str">
        <f>Berechnung2!B59</f>
        <v>zu hohe Follow-Up Quote 2018-2020</v>
      </c>
      <c r="C98" s="43">
        <f>Berechnung2!C59</f>
        <v>0</v>
      </c>
      <c r="D98" s="43" t="str">
        <f>Berechnung2!D59</f>
        <v>plausi</v>
      </c>
      <c r="E98" s="43"/>
      <c r="F98" s="43"/>
      <c r="G98" s="43"/>
      <c r="H98" s="54" t="str">
        <f>Berechnung2!E59</f>
        <v>&gt;</v>
      </c>
      <c r="I98" s="54">
        <f>Berechnung2!F59</f>
        <v>0</v>
      </c>
      <c r="J98" s="54"/>
      <c r="K98" s="54"/>
      <c r="L98" s="54">
        <f>Berechnung2!G59</f>
        <v>0</v>
      </c>
      <c r="M98" s="54">
        <f>Berechnung2!H59</f>
        <v>0.95001000000000002</v>
      </c>
      <c r="N98" s="54">
        <f>Berechnung2!I59</f>
        <v>1</v>
      </c>
      <c r="O98" s="54">
        <f>Berechnung2!J59</f>
        <v>0.95001000000000002</v>
      </c>
      <c r="P98" s="44">
        <f>Berechnung2!K59</f>
        <v>0</v>
      </c>
      <c r="Q98" s="44" t="str">
        <f>Berechnung2!L59</f>
        <v>durchschnittliche Follow-Up Quote &gt; 95%</v>
      </c>
      <c r="R98" s="44">
        <f>Berechnung2!M59</f>
        <v>0</v>
      </c>
      <c r="S98" s="44">
        <f>Berechnung2!N59</f>
        <v>0</v>
      </c>
      <c r="T98" s="43"/>
      <c r="U98" s="43"/>
      <c r="V98" s="43"/>
      <c r="AC98" s="3"/>
    </row>
    <row r="99" spans="1:29" ht="14.25" hidden="1" customHeight="1" x14ac:dyDescent="0.2">
      <c r="A99" s="43" t="str">
        <f>Berechnung2!B60</f>
        <v xml:space="preserve">Fehler bei Ereignisse </v>
      </c>
      <c r="C99" s="43">
        <f>Berechnung2!C60</f>
        <v>0</v>
      </c>
      <c r="D99" s="43" t="str">
        <f>Berechnung2!D60</f>
        <v>inkorrekt</v>
      </c>
      <c r="E99" s="43"/>
      <c r="F99" s="43"/>
      <c r="G99" s="43"/>
      <c r="H99" s="54">
        <f>Berechnung2!E60</f>
        <v>0</v>
      </c>
      <c r="I99" s="54">
        <f>Berechnung2!F60</f>
        <v>0</v>
      </c>
      <c r="J99" s="54"/>
      <c r="K99" s="54"/>
      <c r="L99" s="54">
        <f>Berechnung2!G60</f>
        <v>0</v>
      </c>
      <c r="M99" s="54">
        <f>Berechnung2!H60</f>
        <v>0</v>
      </c>
      <c r="N99" s="54">
        <f>Berechnung2!I60</f>
        <v>0</v>
      </c>
      <c r="O99" s="54">
        <f>Berechnung2!J60</f>
        <v>0</v>
      </c>
      <c r="P99" s="44">
        <f>Berechnung2!K60</f>
        <v>0</v>
      </c>
      <c r="Q99" s="44" t="str">
        <f>Berechnung2!L60</f>
        <v>----</v>
      </c>
      <c r="R99" s="44">
        <f>Berechnung2!M60</f>
        <v>0</v>
      </c>
      <c r="S99" s="44">
        <f>Berechnung2!N60</f>
        <v>0</v>
      </c>
      <c r="T99" s="43"/>
      <c r="U99" s="43"/>
      <c r="V99" s="43"/>
      <c r="AC99" s="3"/>
    </row>
    <row r="100" spans="1:29" ht="14.25" hidden="1" customHeight="1" x14ac:dyDescent="0.2">
      <c r="A100" s="43">
        <f>Berechnung2!B61</f>
        <v>0</v>
      </c>
      <c r="C100" s="43">
        <f>Berechnung2!C61</f>
        <v>0</v>
      </c>
      <c r="D100" s="43">
        <f>Berechnung2!D61</f>
        <v>0</v>
      </c>
      <c r="E100" s="43"/>
      <c r="F100" s="43"/>
      <c r="G100" s="43"/>
      <c r="H100" s="54">
        <f>Berechnung2!E61</f>
        <v>0</v>
      </c>
      <c r="I100" s="54">
        <f>Berechnung2!F61</f>
        <v>0</v>
      </c>
      <c r="J100" s="54"/>
      <c r="K100" s="54"/>
      <c r="L100" s="54">
        <f>Berechnung2!G61</f>
        <v>0</v>
      </c>
      <c r="M100" s="54">
        <f>Berechnung2!H61</f>
        <v>0</v>
      </c>
      <c r="N100" s="54">
        <f>Berechnung2!I61</f>
        <v>0</v>
      </c>
      <c r="O100" s="54">
        <f>Berechnung2!J61</f>
        <v>0</v>
      </c>
      <c r="P100" s="44">
        <f>Berechnung2!K61</f>
        <v>0</v>
      </c>
      <c r="Q100" s="44">
        <f>Berechnung2!L61</f>
        <v>0</v>
      </c>
      <c r="R100" s="44">
        <f>Berechnung2!M61</f>
        <v>0</v>
      </c>
      <c r="S100" s="44">
        <f>Berechnung2!N61</f>
        <v>0</v>
      </c>
      <c r="T100" s="43"/>
      <c r="U100" s="43"/>
      <c r="V100" s="43"/>
      <c r="AC100" s="3"/>
    </row>
    <row r="101" spans="1:29" ht="14.25" hidden="1" customHeight="1" x14ac:dyDescent="0.2">
      <c r="A101" s="43" t="str">
        <f>Berechnung2!B62</f>
        <v>wenn sich Minuswerte berechnen</v>
      </c>
      <c r="C101" s="43">
        <f>Berechnung2!C62</f>
        <v>0</v>
      </c>
      <c r="D101" s="43" t="str">
        <f>Berechnung2!D62</f>
        <v>inkorrekt</v>
      </c>
      <c r="E101" s="43"/>
      <c r="F101" s="43"/>
      <c r="G101" s="43"/>
      <c r="H101" s="54" t="str">
        <f>Berechnung2!E62</f>
        <v>&lt;</v>
      </c>
      <c r="I101" s="54">
        <f>Berechnung2!F62</f>
        <v>0</v>
      </c>
      <c r="J101" s="54"/>
      <c r="K101" s="54"/>
      <c r="L101" s="54">
        <f>Berechnung2!G62</f>
        <v>0</v>
      </c>
      <c r="M101" s="54">
        <f>Berechnung2!H62</f>
        <v>0</v>
      </c>
      <c r="N101" s="54">
        <f>Berechnung2!I62</f>
        <v>0</v>
      </c>
      <c r="O101" s="54">
        <f>Berechnung2!J62</f>
        <v>0</v>
      </c>
      <c r="P101" s="44">
        <f>Berechnung2!K62</f>
        <v>0</v>
      </c>
      <c r="Q101" s="44" t="str">
        <f>Berechnung2!L62</f>
        <v>Zahlen in Spalte R dürfen keine negativen Werte annehmen</v>
      </c>
      <c r="R101" s="44">
        <f>Berechnung2!M62</f>
        <v>0</v>
      </c>
      <c r="S101" s="44"/>
      <c r="T101" s="43"/>
      <c r="U101" s="43"/>
      <c r="V101" s="43"/>
      <c r="AC101" s="3"/>
    </row>
    <row r="102" spans="1:29" ht="14.25" hidden="1" customHeight="1" x14ac:dyDescent="0.2">
      <c r="A102" s="43">
        <f>Berechnung2!B63</f>
        <v>0</v>
      </c>
      <c r="C102" s="43">
        <f>Berechnung2!C63</f>
        <v>0</v>
      </c>
      <c r="D102" s="43">
        <f>Berechnung2!D63</f>
        <v>0</v>
      </c>
      <c r="E102" s="43"/>
      <c r="F102" s="43"/>
      <c r="G102" s="43"/>
      <c r="H102" s="54">
        <f>Berechnung2!E63</f>
        <v>0</v>
      </c>
      <c r="I102" s="54">
        <f>Berechnung2!F63</f>
        <v>0</v>
      </c>
      <c r="J102" s="54"/>
      <c r="K102" s="54"/>
      <c r="L102" s="54">
        <f>Berechnung2!G63</f>
        <v>0</v>
      </c>
      <c r="M102" s="54">
        <f>Berechnung2!H63</f>
        <v>0</v>
      </c>
      <c r="N102" s="54">
        <f>Berechnung2!I63</f>
        <v>0</v>
      </c>
      <c r="O102" s="54">
        <f>Berechnung2!J63</f>
        <v>0</v>
      </c>
      <c r="P102" s="44">
        <f>Berechnung2!K63</f>
        <v>0</v>
      </c>
      <c r="Q102" s="44">
        <f>Berechnung2!L63</f>
        <v>0</v>
      </c>
      <c r="R102" s="44">
        <f>Berechnung2!M63</f>
        <v>0</v>
      </c>
      <c r="S102" s="44">
        <f>Berechnung2!N63</f>
        <v>0</v>
      </c>
      <c r="T102" s="43"/>
      <c r="U102" s="43"/>
      <c r="V102" s="43"/>
      <c r="AC102" s="3"/>
    </row>
    <row r="103" spans="1:29" ht="14.25" hidden="1" customHeight="1" x14ac:dyDescent="0.2">
      <c r="A103" s="43" t="str">
        <f>Berechnung2!B64</f>
        <v>DFS</v>
      </c>
      <c r="C103" s="43">
        <f>Berechnung2!C64</f>
        <v>0</v>
      </c>
      <c r="D103" s="43">
        <f>Berechnung2!D64</f>
        <v>0</v>
      </c>
      <c r="E103" s="43"/>
      <c r="F103" s="43"/>
      <c r="G103" s="43"/>
      <c r="H103" s="43" t="str">
        <f>Berechnung2!E64</f>
        <v>von</v>
      </c>
      <c r="I103" s="43">
        <f>Berechnung2!F64</f>
        <v>0</v>
      </c>
      <c r="J103" s="43"/>
      <c r="K103" s="43"/>
      <c r="L103" s="43" t="str">
        <f>Berechnung2!G64</f>
        <v>untere Grenze</v>
      </c>
      <c r="M103" s="43">
        <f>Berechnung2!H64</f>
        <v>0</v>
      </c>
      <c r="N103" s="43">
        <f>Berechnung2!I64</f>
        <v>0</v>
      </c>
      <c r="O103" s="43" t="str">
        <f>Berechnung2!J64</f>
        <v>obere Grenze</v>
      </c>
      <c r="P103" s="43">
        <f>Berechnung2!K64</f>
        <v>0</v>
      </c>
      <c r="Q103" s="43">
        <f>Berechnung2!L64</f>
        <v>0</v>
      </c>
      <c r="R103" s="43"/>
      <c r="S103" s="43">
        <f>Berechnung2!M64</f>
        <v>0</v>
      </c>
      <c r="T103" s="43"/>
      <c r="U103" s="43"/>
      <c r="V103" s="43"/>
      <c r="AC103" s="3"/>
    </row>
    <row r="104" spans="1:29" ht="14.25" hidden="1" customHeight="1" x14ac:dyDescent="0.2">
      <c r="A104" s="43">
        <f>Berechnung2!B65</f>
        <v>0</v>
      </c>
      <c r="C104" s="43"/>
      <c r="D104" s="43">
        <f>Berechnung2!D65</f>
        <v>0</v>
      </c>
      <c r="E104" s="43"/>
      <c r="F104" s="43"/>
      <c r="G104" s="43"/>
      <c r="H104" s="43">
        <f>Berechnung2!E65</f>
        <v>0</v>
      </c>
      <c r="I104" s="43">
        <f>Berechnung2!F65</f>
        <v>0</v>
      </c>
      <c r="J104" s="43"/>
      <c r="K104" s="43"/>
      <c r="L104" s="55">
        <f>Berechnung2!G65</f>
        <v>0</v>
      </c>
      <c r="M104" s="55">
        <f>Berechnung2!H65</f>
        <v>0</v>
      </c>
      <c r="N104" s="43">
        <f>Berechnung2!I65</f>
        <v>0</v>
      </c>
      <c r="O104" s="55">
        <f>Berechnung2!J65</f>
        <v>0</v>
      </c>
      <c r="P104" s="43">
        <f>Berechnung2!K65</f>
        <v>0</v>
      </c>
      <c r="Q104" s="43">
        <f>Berechnung2!L65</f>
        <v>0</v>
      </c>
      <c r="R104" s="43"/>
      <c r="S104" s="43">
        <f>Berechnung2!M65</f>
        <v>0</v>
      </c>
      <c r="T104" s="43"/>
      <c r="U104" s="43"/>
      <c r="V104" s="43"/>
      <c r="AC104" s="3"/>
    </row>
    <row r="105" spans="1:29" ht="14.25" hidden="1" customHeight="1" x14ac:dyDescent="0.2">
      <c r="A105" s="43">
        <f>Berechnung2!B66</f>
        <v>2016</v>
      </c>
      <c r="C105" s="43"/>
      <c r="D105" s="43">
        <f>Berechnung2!D66</f>
        <v>0</v>
      </c>
      <c r="E105" s="43"/>
      <c r="F105" s="43"/>
      <c r="G105" s="43"/>
      <c r="H105" s="43">
        <f>Berechnung2!E66</f>
        <v>0</v>
      </c>
      <c r="I105" s="43">
        <f>Berechnung2!F66</f>
        <v>0</v>
      </c>
      <c r="J105" s="43"/>
      <c r="K105" s="43"/>
      <c r="L105" s="55">
        <f>Berechnung2!G66</f>
        <v>0</v>
      </c>
      <c r="M105" s="55">
        <f>Berechnung2!H66</f>
        <v>0</v>
      </c>
      <c r="N105" s="43">
        <f>Berechnung2!I66</f>
        <v>0</v>
      </c>
      <c r="O105" s="55">
        <f>Berechnung2!J66</f>
        <v>0</v>
      </c>
      <c r="P105" s="43">
        <f>Berechnung2!K66</f>
        <v>0</v>
      </c>
      <c r="Q105" s="43">
        <f>Berechnung2!L66</f>
        <v>0</v>
      </c>
      <c r="R105" s="43"/>
      <c r="S105" s="43">
        <f>Berechnung2!M66</f>
        <v>0</v>
      </c>
      <c r="T105" s="43"/>
      <c r="U105" s="43"/>
      <c r="V105" s="43"/>
      <c r="AC105" s="3"/>
    </row>
    <row r="106" spans="1:29" ht="14.25" hidden="1" customHeight="1" x14ac:dyDescent="0.2">
      <c r="A106" s="43">
        <f>Berechnung2!B67</f>
        <v>2017</v>
      </c>
      <c r="C106" s="43"/>
      <c r="D106" s="43">
        <f>Berechnung2!D67</f>
        <v>0</v>
      </c>
      <c r="E106" s="43"/>
      <c r="F106" s="43"/>
      <c r="G106" s="43"/>
      <c r="H106" s="43">
        <f>Berechnung2!E67</f>
        <v>0</v>
      </c>
      <c r="I106" s="43">
        <f>Berechnung2!F67</f>
        <v>0</v>
      </c>
      <c r="J106" s="43"/>
      <c r="K106" s="43"/>
      <c r="L106" s="55">
        <f>Berechnung2!G67</f>
        <v>0</v>
      </c>
      <c r="M106" s="55">
        <f>Berechnung2!H67</f>
        <v>0</v>
      </c>
      <c r="N106" s="43">
        <f>Berechnung2!I67</f>
        <v>0</v>
      </c>
      <c r="O106" s="55">
        <f>Berechnung2!J67</f>
        <v>0</v>
      </c>
      <c r="P106" s="43">
        <f>Berechnung2!K67</f>
        <v>0</v>
      </c>
      <c r="Q106" s="43" t="str">
        <f>Berechnung2!L67</f>
        <v>DFS auffällig niedrig oder hoch</v>
      </c>
      <c r="R106" s="43"/>
      <c r="S106" s="43" t="str">
        <f>Berechnung2!M67</f>
        <v>DFS auffällig niedrig oder hoch</v>
      </c>
      <c r="T106" s="43"/>
      <c r="U106" s="43"/>
      <c r="V106" s="43"/>
      <c r="AC106" s="3"/>
    </row>
    <row r="107" spans="1:29" ht="14.25" hidden="1" customHeight="1" x14ac:dyDescent="0.2">
      <c r="A107" s="43">
        <f>Berechnung2!B68</f>
        <v>2018</v>
      </c>
      <c r="C107" s="43"/>
      <c r="D107" s="43">
        <f>Berechnung2!D68</f>
        <v>0</v>
      </c>
      <c r="E107" s="43"/>
      <c r="F107" s="43"/>
      <c r="G107" s="43"/>
      <c r="H107" s="43">
        <f>Berechnung2!E68</f>
        <v>0</v>
      </c>
      <c r="I107" s="43">
        <f>Berechnung2!F68</f>
        <v>0</v>
      </c>
      <c r="J107" s="43"/>
      <c r="K107" s="43"/>
      <c r="L107" s="55">
        <f>Berechnung2!G68</f>
        <v>0</v>
      </c>
      <c r="M107" s="55">
        <f>Berechnung2!H68</f>
        <v>0</v>
      </c>
      <c r="N107" s="43">
        <f>Berechnung2!I68</f>
        <v>0</v>
      </c>
      <c r="O107" s="55">
        <f>Berechnung2!J68</f>
        <v>0</v>
      </c>
      <c r="P107" s="43">
        <f>Berechnung2!K68</f>
        <v>0</v>
      </c>
      <c r="Q107" s="43" t="str">
        <f>Berechnung2!L68</f>
        <v>DFS auffällig niedrig oder hoch</v>
      </c>
      <c r="R107" s="43"/>
      <c r="S107" s="43" t="str">
        <f>Berechnung2!M68</f>
        <v>DFS auffällig niedrig oder hoch</v>
      </c>
      <c r="T107" s="43"/>
      <c r="U107" s="43"/>
      <c r="V107" s="43"/>
      <c r="AC107" s="3"/>
    </row>
    <row r="108" spans="1:29" ht="14.25" hidden="1" customHeight="1" x14ac:dyDescent="0.2">
      <c r="A108" s="43">
        <f>Berechnung2!B69</f>
        <v>2019</v>
      </c>
      <c r="C108" s="43"/>
      <c r="D108" s="43">
        <f>Berechnung2!D69</f>
        <v>0</v>
      </c>
      <c r="E108" s="43"/>
      <c r="F108" s="43"/>
      <c r="G108" s="43"/>
      <c r="H108" s="43">
        <f>Berechnung2!E69</f>
        <v>0</v>
      </c>
      <c r="I108" s="43">
        <f>Berechnung2!F69</f>
        <v>0</v>
      </c>
      <c r="J108" s="43"/>
      <c r="K108" s="43"/>
      <c r="L108" s="55">
        <f>Berechnung2!G69</f>
        <v>0</v>
      </c>
      <c r="M108" s="55">
        <f>Berechnung2!H69</f>
        <v>0</v>
      </c>
      <c r="N108" s="43">
        <f>Berechnung2!I69</f>
        <v>0</v>
      </c>
      <c r="O108" s="55">
        <f>Berechnung2!J69</f>
        <v>0</v>
      </c>
      <c r="P108" s="43">
        <f>Berechnung2!K69</f>
        <v>0</v>
      </c>
      <c r="Q108" s="43" t="str">
        <f>Berechnung2!L69</f>
        <v>DFS auffällig niedrig oder hoch</v>
      </c>
      <c r="R108" s="43"/>
      <c r="S108" s="43" t="str">
        <f>Berechnung2!M69</f>
        <v>DFS auffällig niedrig oder hoch</v>
      </c>
      <c r="T108" s="43"/>
      <c r="U108" s="43"/>
      <c r="V108" s="43"/>
      <c r="AC108" s="3"/>
    </row>
    <row r="109" spans="1:29" ht="14.25" hidden="1" customHeight="1" x14ac:dyDescent="0.2">
      <c r="A109" s="43">
        <f>Berechnung2!B70</f>
        <v>2020</v>
      </c>
      <c r="C109" s="43"/>
      <c r="D109" s="314">
        <f>Berechnung2!D70</f>
        <v>0</v>
      </c>
      <c r="E109" s="314"/>
      <c r="F109" s="314"/>
      <c r="G109" s="314"/>
      <c r="H109" s="314">
        <f>Berechnung2!E70</f>
        <v>0</v>
      </c>
      <c r="I109" s="315">
        <f>Berechnung2!F70</f>
        <v>0.2999</v>
      </c>
      <c r="J109" s="315"/>
      <c r="K109" s="315"/>
      <c r="L109" s="314">
        <f>Berechnung2!G70</f>
        <v>0.2999</v>
      </c>
      <c r="M109" s="314">
        <f>Berechnung2!H70</f>
        <v>0</v>
      </c>
      <c r="N109" s="315">
        <f>Berechnung2!I70</f>
        <v>0.70001000000000002</v>
      </c>
      <c r="O109" s="314">
        <f>Berechnung2!J70</f>
        <v>0.70001000000000002</v>
      </c>
      <c r="P109" s="43">
        <f>Berechnung2!K70</f>
        <v>0</v>
      </c>
      <c r="Q109" s="43" t="str">
        <f>Berechnung2!L70</f>
        <v>DFS auffällig niedrig oder hoch</v>
      </c>
      <c r="R109" s="43"/>
      <c r="S109" s="43" t="str">
        <f>Berechnung2!M70</f>
        <v>DFS auffällig niedrig oder hoch</v>
      </c>
      <c r="T109" s="43"/>
      <c r="U109" s="43"/>
      <c r="V109" s="43"/>
      <c r="AC109" s="3"/>
    </row>
    <row r="110" spans="1:29" ht="14.25" hidden="1" customHeight="1" x14ac:dyDescent="0.2">
      <c r="A110" s="313">
        <f>Berechnung2!B71</f>
        <v>0</v>
      </c>
      <c r="C110" s="43"/>
      <c r="D110" s="314">
        <f>Berechnung2!D71</f>
        <v>0</v>
      </c>
      <c r="E110" s="314"/>
      <c r="F110" s="314"/>
      <c r="G110" s="314"/>
      <c r="H110" s="314">
        <f>Berechnung2!E71</f>
        <v>0</v>
      </c>
      <c r="I110" s="315">
        <f>Berechnung2!F71</f>
        <v>0</v>
      </c>
      <c r="J110" s="315"/>
      <c r="K110" s="315"/>
      <c r="L110" s="314">
        <f>Berechnung2!G71</f>
        <v>0</v>
      </c>
      <c r="M110" s="314">
        <f>Berechnung2!H71</f>
        <v>0</v>
      </c>
      <c r="N110" s="315">
        <f>Berechnung2!I71</f>
        <v>0</v>
      </c>
      <c r="O110" s="314">
        <f>Berechnung2!J71</f>
        <v>0</v>
      </c>
      <c r="P110" s="43">
        <f>Berechnung2!K71</f>
        <v>0</v>
      </c>
      <c r="Q110" s="43">
        <f>Berechnung2!L71</f>
        <v>0</v>
      </c>
      <c r="R110" s="43"/>
      <c r="S110" s="43">
        <f>Berechnung2!M71</f>
        <v>0</v>
      </c>
      <c r="T110" s="43"/>
      <c r="U110" s="43"/>
      <c r="V110" s="43"/>
      <c r="AC110" s="3"/>
    </row>
    <row r="111" spans="1:29" ht="14.25" hidden="1" customHeight="1" x14ac:dyDescent="0.2">
      <c r="A111" s="43">
        <f>Berechnung2!B72</f>
        <v>0</v>
      </c>
      <c r="C111" s="43"/>
      <c r="D111" s="43">
        <f>Berechnung2!D72</f>
        <v>0</v>
      </c>
      <c r="E111" s="43"/>
      <c r="F111" s="43"/>
      <c r="G111" s="43"/>
      <c r="H111" s="43">
        <f>Berechnung2!E72</f>
        <v>0</v>
      </c>
      <c r="I111" s="43">
        <f>Berechnung2!F72</f>
        <v>0</v>
      </c>
      <c r="J111" s="43"/>
      <c r="K111" s="43"/>
      <c r="L111" s="43">
        <f>Berechnung2!G72</f>
        <v>0</v>
      </c>
      <c r="M111" s="43">
        <f>Berechnung2!H72</f>
        <v>0</v>
      </c>
      <c r="N111" s="43">
        <f>Berechnung2!I72</f>
        <v>0</v>
      </c>
      <c r="O111" s="55">
        <f>Berechnung2!J72</f>
        <v>0</v>
      </c>
      <c r="P111" s="43">
        <f>Berechnung2!K72</f>
        <v>0</v>
      </c>
      <c r="Q111" s="43">
        <f>Berechnung2!L72</f>
        <v>0</v>
      </c>
      <c r="R111" s="43"/>
      <c r="S111" s="43">
        <f>Berechnung2!M72</f>
        <v>0</v>
      </c>
      <c r="T111" s="43"/>
      <c r="U111" s="43"/>
      <c r="V111" s="43"/>
      <c r="AC111" s="3"/>
    </row>
    <row r="112" spans="1:29" ht="14.25" hidden="1" customHeight="1" x14ac:dyDescent="0.2">
      <c r="A112" s="43" t="str">
        <f>Berechnung2!B73</f>
        <v>OAS</v>
      </c>
      <c r="C112" s="43"/>
      <c r="D112" s="43">
        <f>Berechnung2!D73</f>
        <v>0</v>
      </c>
      <c r="E112" s="43"/>
      <c r="F112" s="43"/>
      <c r="G112" s="43"/>
      <c r="H112" s="43">
        <f>Berechnung2!E73</f>
        <v>0</v>
      </c>
      <c r="I112" s="43">
        <f>Berechnung2!F73</f>
        <v>0</v>
      </c>
      <c r="J112" s="43"/>
      <c r="K112" s="43"/>
      <c r="L112" s="43" t="str">
        <f>Berechnung2!G73</f>
        <v>untere Grenze</v>
      </c>
      <c r="M112" s="43">
        <f>Berechnung2!H73</f>
        <v>0</v>
      </c>
      <c r="N112" s="43">
        <f>Berechnung2!I73</f>
        <v>0</v>
      </c>
      <c r="O112" s="43" t="str">
        <f>Berechnung2!J73</f>
        <v>obere Grenze</v>
      </c>
      <c r="P112" s="43">
        <f>Berechnung2!K73</f>
        <v>0</v>
      </c>
      <c r="Q112" s="43">
        <f>Berechnung2!L73</f>
        <v>0</v>
      </c>
      <c r="R112" s="43"/>
      <c r="S112" s="43">
        <f>Berechnung2!M73</f>
        <v>0</v>
      </c>
      <c r="T112" s="43"/>
      <c r="U112" s="43"/>
      <c r="V112" s="43"/>
      <c r="AC112" s="3"/>
    </row>
    <row r="113" spans="1:29" ht="14.25" hidden="1" customHeight="1" x14ac:dyDescent="0.2">
      <c r="A113" s="43">
        <f>Berechnung2!B74</f>
        <v>0</v>
      </c>
      <c r="C113" s="43"/>
      <c r="D113" s="43">
        <f>Berechnung2!D74</f>
        <v>0</v>
      </c>
      <c r="E113" s="43"/>
      <c r="F113" s="43"/>
      <c r="G113" s="43"/>
      <c r="H113" s="43">
        <f>Berechnung2!E74</f>
        <v>0</v>
      </c>
      <c r="I113" s="43">
        <f>Berechnung2!F74</f>
        <v>0</v>
      </c>
      <c r="J113" s="43"/>
      <c r="K113" s="43"/>
      <c r="L113" s="55">
        <f>Berechnung2!G74</f>
        <v>0</v>
      </c>
      <c r="M113" s="55">
        <f>Berechnung2!H74</f>
        <v>0</v>
      </c>
      <c r="N113" s="43">
        <f>Berechnung2!I74</f>
        <v>0</v>
      </c>
      <c r="O113" s="55">
        <f>Berechnung2!J74</f>
        <v>0</v>
      </c>
      <c r="P113" s="43">
        <f>Berechnung2!K74</f>
        <v>0</v>
      </c>
      <c r="Q113" s="43">
        <f>Berechnung2!L74</f>
        <v>0</v>
      </c>
      <c r="R113" s="43"/>
      <c r="S113" s="43">
        <f>Berechnung2!M74</f>
        <v>0</v>
      </c>
      <c r="T113" s="43"/>
      <c r="U113" s="43"/>
      <c r="V113" s="43"/>
      <c r="AC113" s="3"/>
    </row>
    <row r="114" spans="1:29" ht="14.25" hidden="1" customHeight="1" x14ac:dyDescent="0.2">
      <c r="A114" s="43">
        <f>Berechnung2!B75</f>
        <v>2016</v>
      </c>
      <c r="C114" s="43"/>
      <c r="D114" s="43">
        <f>Berechnung2!D75</f>
        <v>0</v>
      </c>
      <c r="E114" s="43"/>
      <c r="F114" s="43"/>
      <c r="G114" s="43"/>
      <c r="H114" s="43">
        <f>Berechnung2!E75</f>
        <v>0</v>
      </c>
      <c r="I114" s="43">
        <f>Berechnung2!F75</f>
        <v>0</v>
      </c>
      <c r="J114" s="43"/>
      <c r="K114" s="43"/>
      <c r="L114" s="55">
        <f>Berechnung2!G75</f>
        <v>0</v>
      </c>
      <c r="M114" s="55">
        <f>Berechnung2!H75</f>
        <v>0</v>
      </c>
      <c r="N114" s="43">
        <f>Berechnung2!I75</f>
        <v>0</v>
      </c>
      <c r="O114" s="55">
        <f>Berechnung2!J75</f>
        <v>0</v>
      </c>
      <c r="P114" s="43">
        <f>Berechnung2!K75</f>
        <v>0</v>
      </c>
      <c r="Q114" s="43">
        <f>Berechnung2!L75</f>
        <v>0</v>
      </c>
      <c r="R114" s="43"/>
      <c r="S114" s="43">
        <f>Berechnung2!M75</f>
        <v>0</v>
      </c>
      <c r="T114" s="43"/>
      <c r="U114" s="43"/>
      <c r="V114" s="43"/>
      <c r="AC114" s="3"/>
    </row>
    <row r="115" spans="1:29" ht="14.25" hidden="1" customHeight="1" x14ac:dyDescent="0.2">
      <c r="A115" s="43">
        <f>Berechnung2!B76</f>
        <v>2017</v>
      </c>
      <c r="C115" s="43"/>
      <c r="D115" s="43">
        <f>Berechnung2!D76</f>
        <v>0</v>
      </c>
      <c r="E115" s="43"/>
      <c r="F115" s="43"/>
      <c r="G115" s="43"/>
      <c r="H115" s="43">
        <f>Berechnung2!E76</f>
        <v>0</v>
      </c>
      <c r="I115" s="43">
        <f>Berechnung2!F76</f>
        <v>0</v>
      </c>
      <c r="J115" s="43"/>
      <c r="K115" s="43"/>
      <c r="L115" s="55">
        <f>Berechnung2!G76</f>
        <v>0</v>
      </c>
      <c r="M115" s="55">
        <f>Berechnung2!H76</f>
        <v>0</v>
      </c>
      <c r="N115" s="43">
        <f>Berechnung2!I76</f>
        <v>0</v>
      </c>
      <c r="O115" s="55">
        <f>Berechnung2!J76</f>
        <v>0</v>
      </c>
      <c r="P115" s="43">
        <f>Berechnung2!K76</f>
        <v>0</v>
      </c>
      <c r="Q115" s="43" t="str">
        <f>Berechnung2!L76</f>
        <v>OAS auffällig niedrig oder hoch</v>
      </c>
      <c r="R115" s="43"/>
      <c r="S115" s="43" t="str">
        <f>Berechnung2!M76</f>
        <v>OAS auffällig niedrig oder hoch</v>
      </c>
      <c r="T115" s="43"/>
      <c r="U115" s="43"/>
      <c r="V115" s="43"/>
      <c r="AC115" s="3"/>
    </row>
    <row r="116" spans="1:29" ht="14.25" hidden="1" customHeight="1" x14ac:dyDescent="0.2">
      <c r="A116" s="43">
        <f>Berechnung2!B77</f>
        <v>2018</v>
      </c>
      <c r="C116" s="43"/>
      <c r="D116" s="43">
        <f>Berechnung2!D77</f>
        <v>0</v>
      </c>
      <c r="E116" s="43"/>
      <c r="F116" s="43"/>
      <c r="G116" s="43"/>
      <c r="H116" s="43">
        <f>Berechnung2!E77</f>
        <v>0</v>
      </c>
      <c r="I116" s="43">
        <f>Berechnung2!F77</f>
        <v>0</v>
      </c>
      <c r="J116" s="43"/>
      <c r="K116" s="43"/>
      <c r="L116" s="55">
        <f>Berechnung2!G77</f>
        <v>0</v>
      </c>
      <c r="M116" s="55">
        <f>Berechnung2!H77</f>
        <v>0</v>
      </c>
      <c r="N116" s="43">
        <f>Berechnung2!I77</f>
        <v>0</v>
      </c>
      <c r="O116" s="55">
        <f>Berechnung2!J77</f>
        <v>0</v>
      </c>
      <c r="P116" s="43">
        <f>Berechnung2!K77</f>
        <v>0</v>
      </c>
      <c r="Q116" s="43" t="str">
        <f>Berechnung2!L77</f>
        <v>OAS auffällig niedrig oder hoch</v>
      </c>
      <c r="R116" s="43"/>
      <c r="S116" s="43" t="str">
        <f>Berechnung2!M77</f>
        <v>OAS auffällig niedrig oder hoch</v>
      </c>
      <c r="T116" s="43"/>
      <c r="U116" s="43"/>
      <c r="V116" s="43"/>
      <c r="AC116" s="3"/>
    </row>
    <row r="117" spans="1:29" ht="14.25" hidden="1" customHeight="1" x14ac:dyDescent="0.2">
      <c r="A117" s="43">
        <f>Berechnung2!B78</f>
        <v>2019</v>
      </c>
      <c r="C117" s="43"/>
      <c r="D117" s="314">
        <f>Berechnung2!D78</f>
        <v>0</v>
      </c>
      <c r="E117" s="314"/>
      <c r="F117" s="314"/>
      <c r="G117" s="314"/>
      <c r="H117" s="314">
        <f>Berechnung2!E78</f>
        <v>0</v>
      </c>
      <c r="I117" s="315">
        <f>Berechnung2!F78</f>
        <v>0.19989999999999999</v>
      </c>
      <c r="J117" s="315"/>
      <c r="K117" s="315"/>
      <c r="L117" s="314">
        <f>Berechnung2!G78</f>
        <v>0.19989999999999999</v>
      </c>
      <c r="M117" s="314">
        <f>Berechnung2!H78</f>
        <v>0</v>
      </c>
      <c r="N117" s="315">
        <f>Berechnung2!I78</f>
        <v>0.50000999999999995</v>
      </c>
      <c r="O117" s="314">
        <f>Berechnung2!J78</f>
        <v>0.50000999999999995</v>
      </c>
      <c r="P117" s="314">
        <f>Berechnung2!K78</f>
        <v>0</v>
      </c>
      <c r="Q117" s="43" t="str">
        <f>Berechnung2!L78</f>
        <v>OAS auffällig niedrig oder hoch</v>
      </c>
      <c r="R117" s="43"/>
      <c r="S117" s="43" t="str">
        <f>Berechnung2!M78</f>
        <v>OAS auffällig niedrig oder hoch</v>
      </c>
      <c r="T117" s="43"/>
      <c r="U117" s="43"/>
      <c r="V117" s="43"/>
      <c r="AC117" s="3"/>
    </row>
    <row r="118" spans="1:29" ht="14.25" hidden="1" customHeight="1" x14ac:dyDescent="0.2">
      <c r="A118" s="43">
        <f>Berechnung2!B79</f>
        <v>2020</v>
      </c>
      <c r="C118" s="43"/>
      <c r="D118" s="314">
        <f>Berechnung2!D79</f>
        <v>0</v>
      </c>
      <c r="E118" s="314"/>
      <c r="F118" s="314"/>
      <c r="G118" s="314"/>
      <c r="H118" s="314">
        <f>Berechnung2!E79</f>
        <v>0</v>
      </c>
      <c r="I118" s="315">
        <f>Berechnung2!F79</f>
        <v>0.2999</v>
      </c>
      <c r="J118" s="315"/>
      <c r="K118" s="315"/>
      <c r="L118" s="314">
        <f>Berechnung2!G79</f>
        <v>0.2999</v>
      </c>
      <c r="M118" s="314">
        <f>Berechnung2!H79</f>
        <v>0</v>
      </c>
      <c r="N118" s="315">
        <f>Berechnung2!I79</f>
        <v>0.60001000000000004</v>
      </c>
      <c r="O118" s="314">
        <f>Berechnung2!J79</f>
        <v>0.60001000000000004</v>
      </c>
      <c r="P118" s="314">
        <f>Berechnung2!K79</f>
        <v>0</v>
      </c>
      <c r="Q118" s="43" t="str">
        <f>Berechnung2!L79</f>
        <v>OAS auffällig niedrig oder hoch</v>
      </c>
      <c r="R118" s="43"/>
      <c r="S118" s="43" t="str">
        <f>Berechnung2!M79</f>
        <v>OAS auffällig niedrig oder hoch</v>
      </c>
      <c r="T118" s="43"/>
      <c r="U118" s="43"/>
      <c r="V118" s="43"/>
      <c r="AC118" s="3"/>
    </row>
    <row r="119" spans="1:29" ht="14.25" hidden="1" customHeight="1" x14ac:dyDescent="0.2">
      <c r="A119" s="313">
        <f>Berechnung2!B80</f>
        <v>0</v>
      </c>
      <c r="C119" s="43"/>
      <c r="D119" s="314">
        <f>Berechnung2!D80</f>
        <v>0</v>
      </c>
      <c r="E119" s="314"/>
      <c r="F119" s="314"/>
      <c r="G119" s="314"/>
      <c r="H119" s="314">
        <f>Berechnung2!E80</f>
        <v>0</v>
      </c>
      <c r="I119" s="315">
        <f>Berechnung2!F80</f>
        <v>0</v>
      </c>
      <c r="J119" s="315"/>
      <c r="K119" s="315"/>
      <c r="L119" s="314">
        <f>Berechnung2!G80</f>
        <v>0</v>
      </c>
      <c r="M119" s="314">
        <f>Berechnung2!H80</f>
        <v>0</v>
      </c>
      <c r="N119" s="315">
        <f>Berechnung2!I80</f>
        <v>0</v>
      </c>
      <c r="O119" s="314">
        <f>Berechnung2!J80</f>
        <v>0</v>
      </c>
      <c r="P119" s="314">
        <f>Berechnung2!K80</f>
        <v>0</v>
      </c>
      <c r="Q119" s="43">
        <f>Berechnung2!L80</f>
        <v>0</v>
      </c>
      <c r="R119" s="43"/>
      <c r="S119" s="43">
        <f>Berechnung2!M80</f>
        <v>0</v>
      </c>
      <c r="T119" s="43"/>
      <c r="U119" s="43"/>
      <c r="V119" s="43"/>
      <c r="AC119" s="3"/>
    </row>
    <row r="120" spans="1:29" ht="14.25" customHeight="1" x14ac:dyDescent="0.2">
      <c r="AC120" s="3"/>
    </row>
    <row r="121" spans="1:29" ht="14.25" customHeight="1" x14ac:dyDescent="0.2">
      <c r="AC121" s="3"/>
    </row>
    <row r="122" spans="1:29" ht="14.25" customHeight="1" x14ac:dyDescent="0.2">
      <c r="AC122" s="3"/>
    </row>
    <row r="123" spans="1:29" ht="14.25" customHeight="1" x14ac:dyDescent="0.2">
      <c r="AC123" s="3"/>
    </row>
  </sheetData>
  <sheetProtection algorithmName="SHA-512" hashValue="UU+8oM2jc5qVFtvrqPWZ9qvy29P1in6B5I281G4K7HGrGrNFOhqhrP9ISxctZeh4CmD8NjK6htqYh3t7kdfTMA==" saltValue="dBS8/CxizKvbKm0E3impvQ==" spinCount="100000" sheet="1" objects="1" scenarios="1" selectLockedCells="1"/>
  <dataConsolidate/>
  <mergeCells count="123">
    <mergeCell ref="A84:B84"/>
    <mergeCell ref="F81:H81"/>
    <mergeCell ref="F84:H84"/>
    <mergeCell ref="C84:E84"/>
    <mergeCell ref="A81:B81"/>
    <mergeCell ref="I72:AC72"/>
    <mergeCell ref="C81:E81"/>
    <mergeCell ref="I74:AC74"/>
    <mergeCell ref="I73:AC73"/>
    <mergeCell ref="F76:H76"/>
    <mergeCell ref="F73:H73"/>
    <mergeCell ref="C75:E75"/>
    <mergeCell ref="F75:H75"/>
    <mergeCell ref="A80:B80"/>
    <mergeCell ref="A79:B79"/>
    <mergeCell ref="A76:B76"/>
    <mergeCell ref="C72:E72"/>
    <mergeCell ref="F72:H72"/>
    <mergeCell ref="A83:B83"/>
    <mergeCell ref="C83:E83"/>
    <mergeCell ref="F83:H83"/>
    <mergeCell ref="F80:H80"/>
    <mergeCell ref="C76:E76"/>
    <mergeCell ref="F79:H79"/>
    <mergeCell ref="A82:B82"/>
    <mergeCell ref="C82:E82"/>
    <mergeCell ref="F82:H82"/>
    <mergeCell ref="C21:C22"/>
    <mergeCell ref="A65:B65"/>
    <mergeCell ref="A66:B66"/>
    <mergeCell ref="I69:AC69"/>
    <mergeCell ref="I70:AC70"/>
    <mergeCell ref="A69:B69"/>
    <mergeCell ref="AB21:AB22"/>
    <mergeCell ref="V21:V22"/>
    <mergeCell ref="U21:U22"/>
    <mergeCell ref="T21:T22"/>
    <mergeCell ref="X21:X22"/>
    <mergeCell ref="C67:E67"/>
    <mergeCell ref="F67:H67"/>
    <mergeCell ref="A21:A22"/>
    <mergeCell ref="B21:B22"/>
    <mergeCell ref="A67:B67"/>
    <mergeCell ref="A68:B68"/>
    <mergeCell ref="A46:AC46"/>
    <mergeCell ref="N29:R29"/>
    <mergeCell ref="T29:Z29"/>
    <mergeCell ref="AB29:AC29"/>
    <mergeCell ref="E6:T6"/>
    <mergeCell ref="B13:F13"/>
    <mergeCell ref="G13:M13"/>
    <mergeCell ref="N13:S13"/>
    <mergeCell ref="Q8:T8"/>
    <mergeCell ref="A11:AC11"/>
    <mergeCell ref="Y13:AC13"/>
    <mergeCell ref="E8:G8"/>
    <mergeCell ref="T13:X13"/>
    <mergeCell ref="N19:Z19"/>
    <mergeCell ref="AB19:AC19"/>
    <mergeCell ref="Z21:Z22"/>
    <mergeCell ref="N14:S14"/>
    <mergeCell ref="I66:AC66"/>
    <mergeCell ref="G14:M14"/>
    <mergeCell ref="C19:L19"/>
    <mergeCell ref="J21:J22"/>
    <mergeCell ref="K21:K22"/>
    <mergeCell ref="N28:R28"/>
    <mergeCell ref="T28:Z28"/>
    <mergeCell ref="AB28:AC28"/>
    <mergeCell ref="B14:F14"/>
    <mergeCell ref="T14:X14"/>
    <mergeCell ref="G21:G22"/>
    <mergeCell ref="Y21:Y22"/>
    <mergeCell ref="W21:W22"/>
    <mergeCell ref="R21:R22"/>
    <mergeCell ref="H21:H22"/>
    <mergeCell ref="I21:I22"/>
    <mergeCell ref="L21:L22"/>
    <mergeCell ref="P21:P22"/>
    <mergeCell ref="N21:N22"/>
    <mergeCell ref="Y14:AC14"/>
    <mergeCell ref="C80:E80"/>
    <mergeCell ref="C79:E79"/>
    <mergeCell ref="I71:AC71"/>
    <mergeCell ref="F21:F22"/>
    <mergeCell ref="D21:D22"/>
    <mergeCell ref="E21:E22"/>
    <mergeCell ref="AC21:AC22"/>
    <mergeCell ref="O21:O22"/>
    <mergeCell ref="A47:AC47"/>
    <mergeCell ref="Q21:Q22"/>
    <mergeCell ref="A70:B70"/>
    <mergeCell ref="F70:H70"/>
    <mergeCell ref="C70:E70"/>
    <mergeCell ref="C65:E65"/>
    <mergeCell ref="F65:H65"/>
    <mergeCell ref="F66:H66"/>
    <mergeCell ref="I65:AC65"/>
    <mergeCell ref="C66:E66"/>
    <mergeCell ref="A35:AC35"/>
    <mergeCell ref="A36:AC36"/>
    <mergeCell ref="I67:AC67"/>
    <mergeCell ref="I68:AC68"/>
    <mergeCell ref="A48:AC48"/>
    <mergeCell ref="A71:B71"/>
    <mergeCell ref="A77:B77"/>
    <mergeCell ref="C77:E77"/>
    <mergeCell ref="F77:H77"/>
    <mergeCell ref="A78:B78"/>
    <mergeCell ref="C78:E78"/>
    <mergeCell ref="F78:H78"/>
    <mergeCell ref="C74:E74"/>
    <mergeCell ref="F74:H74"/>
    <mergeCell ref="C73:E73"/>
    <mergeCell ref="C71:E71"/>
    <mergeCell ref="F71:H71"/>
    <mergeCell ref="C69:E69"/>
    <mergeCell ref="F68:H68"/>
    <mergeCell ref="C68:E68"/>
    <mergeCell ref="F69:H69"/>
    <mergeCell ref="A72:B72"/>
    <mergeCell ref="A74:B74"/>
    <mergeCell ref="A73:B73"/>
  </mergeCells>
  <phoneticPr fontId="38" type="noConversion"/>
  <conditionalFormatting sqref="B23">
    <cfRule type="expression" dxfId="109" priority="421" stopIfTrue="1">
      <formula>OR(A23="nicht relevant",A23="EZ")</formula>
    </cfRule>
  </conditionalFormatting>
  <conditionalFormatting sqref="B25:B29">
    <cfRule type="expression" dxfId="108" priority="25" stopIfTrue="1">
      <formula>OR(A25="nicht relevant",A25="EZ")</formula>
    </cfRule>
  </conditionalFormatting>
  <conditionalFormatting sqref="B13:F13">
    <cfRule type="expression" dxfId="107" priority="111" stopIfTrue="1">
      <formula>$B$13="Nicht in Ordnung"</formula>
    </cfRule>
  </conditionalFormatting>
  <conditionalFormatting sqref="B14:F14">
    <cfRule type="expression" dxfId="106" priority="112" stopIfTrue="1">
      <formula>$B$14="die inkorrekten und unvollständigen Einträge beheben"</formula>
    </cfRule>
  </conditionalFormatting>
  <conditionalFormatting sqref="C23">
    <cfRule type="cellIs" dxfId="105" priority="1798" stopIfTrue="1" operator="lessThan">
      <formula>$L$94</formula>
    </cfRule>
  </conditionalFormatting>
  <conditionalFormatting sqref="C25:C27">
    <cfRule type="cellIs" dxfId="104" priority="40" stopIfTrue="1" operator="lessThan">
      <formula>$L$94</formula>
    </cfRule>
  </conditionalFormatting>
  <conditionalFormatting sqref="C25:C29">
    <cfRule type="expression" dxfId="103" priority="39" stopIfTrue="1">
      <formula>OR($A25="nicht relevant",$A25="EZ")</formula>
    </cfRule>
  </conditionalFormatting>
  <conditionalFormatting sqref="C28:C29">
    <cfRule type="cellIs" dxfId="102" priority="1800" stopIfTrue="1" operator="lessThan">
      <formula>$L$94</formula>
    </cfRule>
  </conditionalFormatting>
  <conditionalFormatting sqref="C23:Y23">
    <cfRule type="expression" dxfId="101" priority="90" stopIfTrue="1">
      <formula>OR($A23="nicht relevant",$A23="EZ")</formula>
    </cfRule>
  </conditionalFormatting>
  <conditionalFormatting sqref="D23:I23 K23 O23:Q23">
    <cfRule type="expression" dxfId="100" priority="425" stopIfTrue="1">
      <formula>LEN(TRIM(D23))=0</formula>
    </cfRule>
  </conditionalFormatting>
  <conditionalFormatting sqref="D25:I25 O25:Q25">
    <cfRule type="expression" dxfId="99" priority="6" stopIfTrue="1">
      <formula>LEN(TRIM(D25))=0</formula>
    </cfRule>
  </conditionalFormatting>
  <conditionalFormatting sqref="D25:I25">
    <cfRule type="expression" dxfId="98" priority="5" stopIfTrue="1">
      <formula>OR($A25="nicht relevant",$A25="EZ")</formula>
    </cfRule>
  </conditionalFormatting>
  <conditionalFormatting sqref="D26:I26 O26:Q26">
    <cfRule type="expression" dxfId="97" priority="29" stopIfTrue="1">
      <formula>LEN(TRIM(D26))=0</formula>
    </cfRule>
  </conditionalFormatting>
  <conditionalFormatting sqref="D27:L29">
    <cfRule type="expression" dxfId="96" priority="48" stopIfTrue="1">
      <formula>LEN(TRIM(D27))=0</formula>
    </cfRule>
    <cfRule type="expression" dxfId="95" priority="47" stopIfTrue="1">
      <formula>OR($A27="nicht relevant",$A27="EZ")</formula>
    </cfRule>
  </conditionalFormatting>
  <conditionalFormatting sqref="D26:Q26">
    <cfRule type="expression" dxfId="94" priority="24" stopIfTrue="1">
      <formula>OR($A26="nicht relevant",$A26="EZ")</formula>
    </cfRule>
  </conditionalFormatting>
  <conditionalFormatting sqref="J25:L26">
    <cfRule type="expression" dxfId="93" priority="2" stopIfTrue="1">
      <formula>OR($A25="nicht relevant",$A25="EZ")</formula>
    </cfRule>
    <cfRule type="expression" dxfId="92" priority="3" stopIfTrue="1">
      <formula>LEN(TRIM(J25))=0</formula>
    </cfRule>
  </conditionalFormatting>
  <conditionalFormatting sqref="N23">
    <cfRule type="expression" dxfId="91" priority="426" stopIfTrue="1">
      <formula>LEN(TRIM(N23))=0</formula>
    </cfRule>
    <cfRule type="cellIs" dxfId="90" priority="427" stopIfTrue="1" operator="greaterThan">
      <formula>$C23</formula>
    </cfRule>
  </conditionalFormatting>
  <conditionalFormatting sqref="N25:N26">
    <cfRule type="expression" dxfId="89" priority="30" stopIfTrue="1">
      <formula>LEN(TRIM(N25))=0</formula>
    </cfRule>
    <cfRule type="cellIs" dxfId="88" priority="31" stopIfTrue="1" operator="greaterThan">
      <formula>$C25</formula>
    </cfRule>
    <cfRule type="expression" dxfId="87" priority="27" stopIfTrue="1">
      <formula>OR($A25="nicht relevant",$A25="EZ")</formula>
    </cfRule>
  </conditionalFormatting>
  <conditionalFormatting sqref="N27">
    <cfRule type="expression" dxfId="86" priority="65" stopIfTrue="1">
      <formula>LEN(TRIM(N27))=0</formula>
    </cfRule>
    <cfRule type="cellIs" dxfId="85" priority="66" stopIfTrue="1" operator="greaterThan">
      <formula>$C27</formula>
    </cfRule>
  </conditionalFormatting>
  <conditionalFormatting sqref="N27:Z27">
    <cfRule type="expression" dxfId="84" priority="53" stopIfTrue="1">
      <formula>OR($A27="nicht relevant",$A27="EZ")</formula>
    </cfRule>
  </conditionalFormatting>
  <conditionalFormatting sqref="O25:Q25">
    <cfRule type="expression" dxfId="83" priority="4" stopIfTrue="1">
      <formula>OR($A25="nicht relevant",$A25="EZ")</formula>
    </cfRule>
  </conditionalFormatting>
  <conditionalFormatting sqref="O27:Q27">
    <cfRule type="expression" dxfId="82" priority="64" stopIfTrue="1">
      <formula>LEN(TRIM(O27))=0</formula>
    </cfRule>
  </conditionalFormatting>
  <conditionalFormatting sqref="R23">
    <cfRule type="expression" dxfId="81" priority="107" stopIfTrue="1">
      <formula>LEN(TRIM(R23))=0</formula>
    </cfRule>
  </conditionalFormatting>
  <conditionalFormatting sqref="R25:R26">
    <cfRule type="expression" dxfId="80" priority="35" stopIfTrue="1">
      <formula>LEN(TRIM(R25))=0</formula>
    </cfRule>
    <cfRule type="cellIs" dxfId="79" priority="36" stopIfTrue="1" operator="between">
      <formula>$L$96</formula>
      <formula>$N$96</formula>
    </cfRule>
    <cfRule type="expression" dxfId="78" priority="34" stopIfTrue="1">
      <formula>OR($A25="nicht relevant",$A25="EZ")</formula>
    </cfRule>
  </conditionalFormatting>
  <conditionalFormatting sqref="R27">
    <cfRule type="expression" dxfId="77" priority="1793" stopIfTrue="1">
      <formula>LEN(TRIM(R27))=0</formula>
    </cfRule>
    <cfRule type="cellIs" dxfId="76" priority="1794" stopIfTrue="1" operator="between">
      <formula>$L$96</formula>
      <formula>$N$96</formula>
    </cfRule>
  </conditionalFormatting>
  <conditionalFormatting sqref="R31">
    <cfRule type="cellIs" dxfId="75" priority="433" stopIfTrue="1" operator="between">
      <formula>$L$97</formula>
      <formula>$N$97</formula>
    </cfRule>
    <cfRule type="cellIs" dxfId="74" priority="429" operator="equal">
      <formula>"---"</formula>
    </cfRule>
    <cfRule type="cellIs" dxfId="73" priority="434" stopIfTrue="1" operator="between">
      <formula>$M$98</formula>
      <formula>$N$98</formula>
    </cfRule>
  </conditionalFormatting>
  <conditionalFormatting sqref="T23">
    <cfRule type="cellIs" dxfId="72" priority="428" stopIfTrue="1" operator="lessThan">
      <formula>0</formula>
    </cfRule>
  </conditionalFormatting>
  <conditionalFormatting sqref="T25:T26">
    <cfRule type="cellIs" dxfId="71" priority="32" stopIfTrue="1" operator="lessThan">
      <formula>0</formula>
    </cfRule>
  </conditionalFormatting>
  <conditionalFormatting sqref="T27">
    <cfRule type="cellIs" dxfId="70" priority="67" stopIfTrue="1" operator="lessThan">
      <formula>0</formula>
    </cfRule>
  </conditionalFormatting>
  <conditionalFormatting sqref="T23:Z23">
    <cfRule type="expression" dxfId="69" priority="390" stopIfTrue="1">
      <formula>OR($A23="nicht relevant",$A23="EZ")</formula>
    </cfRule>
  </conditionalFormatting>
  <conditionalFormatting sqref="T25:Z26">
    <cfRule type="expression" dxfId="68" priority="14" stopIfTrue="1">
      <formula>OR($A25="nicht relevant",$A25="EZ")</formula>
    </cfRule>
  </conditionalFormatting>
  <conditionalFormatting sqref="U23 U27">
    <cfRule type="cellIs" dxfId="67" priority="1796" stopIfTrue="1" operator="between">
      <formula>$L$92</formula>
      <formula>$N$92</formula>
    </cfRule>
  </conditionalFormatting>
  <conditionalFormatting sqref="U25:U26">
    <cfRule type="cellIs" dxfId="66" priority="38" stopIfTrue="1" operator="between">
      <formula>$L$92</formula>
      <formula>$N$92</formula>
    </cfRule>
  </conditionalFormatting>
  <conditionalFormatting sqref="V23:Y23">
    <cfRule type="expression" dxfId="65" priority="91" stopIfTrue="1">
      <formula>LEN(TRIM(V23))=0</formula>
    </cfRule>
  </conditionalFormatting>
  <conditionalFormatting sqref="V25:Z26">
    <cfRule type="expression" dxfId="64" priority="15" stopIfTrue="1">
      <formula>LEN(TRIM(V25))=0</formula>
    </cfRule>
  </conditionalFormatting>
  <conditionalFormatting sqref="V27:Z27">
    <cfRule type="expression" dxfId="63" priority="54" stopIfTrue="1">
      <formula>LEN(TRIM(V27))=0</formula>
    </cfRule>
  </conditionalFormatting>
  <conditionalFormatting sqref="X27:Y27">
    <cfRule type="expression" dxfId="62" priority="50" stopIfTrue="1">
      <formula>LEN(TRIM(X27))=0</formula>
    </cfRule>
    <cfRule type="expression" dxfId="61" priority="49" stopIfTrue="1">
      <formula>OR($A27="nicht relevant",$A27="EZ")</formula>
    </cfRule>
  </conditionalFormatting>
  <conditionalFormatting sqref="Z23">
    <cfRule type="expression" dxfId="60" priority="391" stopIfTrue="1">
      <formula>LEN(TRIM(Z23))=0</formula>
    </cfRule>
  </conditionalFormatting>
  <conditionalFormatting sqref="AB23">
    <cfRule type="expression" dxfId="59" priority="1507" stopIfTrue="1">
      <formula>LEN(TRIM(AB23))=0</formula>
    </cfRule>
  </conditionalFormatting>
  <conditionalFormatting sqref="AB25:AB27">
    <cfRule type="expression" dxfId="58" priority="10" stopIfTrue="1">
      <formula>LEN(TRIM(AB25))=0</formula>
    </cfRule>
  </conditionalFormatting>
  <conditionalFormatting sqref="AB27">
    <cfRule type="cellIs" dxfId="57" priority="46" operator="between">
      <formula>$D$109</formula>
      <formula>$I$109</formula>
    </cfRule>
    <cfRule type="cellIs" dxfId="56" priority="68" operator="greaterThan">
      <formula>$O$109</formula>
    </cfRule>
  </conditionalFormatting>
  <conditionalFormatting sqref="AC23">
    <cfRule type="expression" dxfId="55" priority="110" stopIfTrue="1">
      <formula>LEN(TRIM(AC23))=0</formula>
    </cfRule>
  </conditionalFormatting>
  <conditionalFormatting sqref="AC25">
    <cfRule type="expression" dxfId="54" priority="1">
      <formula>LEN(TRIM(AC25))=0</formula>
    </cfRule>
  </conditionalFormatting>
  <conditionalFormatting sqref="AC26">
    <cfRule type="cellIs" dxfId="53" priority="9" operator="greaterThan">
      <formula>$O$117</formula>
    </cfRule>
    <cfRule type="cellIs" dxfId="52" priority="8" operator="between">
      <formula>$D$117</formula>
      <formula>$I$117</formula>
    </cfRule>
  </conditionalFormatting>
  <conditionalFormatting sqref="AC26:AC27">
    <cfRule type="expression" dxfId="51" priority="7">
      <formula>LEN(TRIM(AC26))=0</formula>
    </cfRule>
  </conditionalFormatting>
  <conditionalFormatting sqref="AC27">
    <cfRule type="cellIs" dxfId="50" priority="44" operator="greaterThan">
      <formula>$O$118</formula>
    </cfRule>
    <cfRule type="cellIs" dxfId="49" priority="43" operator="between">
      <formula>$D$118</formula>
      <formula>$I$118</formula>
    </cfRule>
  </conditionalFormatting>
  <dataValidations count="10">
    <dataValidation type="whole" errorStyle="information" allowBlank="1" showInputMessage="1" showErrorMessage="1" errorTitle="Ausfüllhinweis" error="Nur postive ganze Zahlen verwenden." sqref="M23:M29" xr:uid="{00000000-0002-0000-0D00-000000000000}">
      <formula1>0</formula1>
      <formula2>5000</formula2>
    </dataValidation>
    <dataValidation type="whole" operator="greaterThanOrEqual" allowBlank="1" showInputMessage="1" showErrorMessage="1" errorTitle="Error" error="Minuszahlen..." sqref="C23:C29" xr:uid="{00000000-0002-0000-0D00-000001000000}">
      <formula1>0</formula1>
    </dataValidation>
    <dataValidation type="whole" allowBlank="1" showInputMessage="1" showErrorMessage="1" errorTitle="Eingabefehler" error="Ganze Zahl zwischen 0 und 5000 eingeben." sqref="D23:L28 O23:Q27" xr:uid="{00000000-0002-0000-0D00-000002000000}">
      <formula1>0</formula1>
      <formula2>5000</formula2>
    </dataValidation>
    <dataValidation type="decimal" allowBlank="1" showInputMessage="1" showErrorMessage="1" errorTitle="Aufüllhinweis" error="Nur Prozentwerte zwischen 0% und 100% können verwendet werden." sqref="AB28:AB29 AB23:AC27" xr:uid="{00000000-0002-0000-0D00-000003000000}">
      <formula1>0</formula1>
      <formula2>1</formula2>
    </dataValidation>
    <dataValidation type="whole" showInputMessage="1" showErrorMessage="1" errorTitle="Eingabefehler" error="Summe Spalten V+W+X+Y+Z (Patienten mit Ereignisse) darf nicht größer als Summe Spalten O+P (Patientenrückmeldungen) sein." sqref="V23:V27" xr:uid="{00000000-0002-0000-0D00-000004000000}">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xr:uid="{00000000-0002-0000-0D00-000005000000}">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xr:uid="{00000000-0002-0000-0D00-000006000000}">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xr:uid="{00000000-0002-0000-0D00-000007000000}">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xr:uid="{00000000-0002-0000-0D00-000008000000}">
      <formula1>0</formula1>
      <formula2>SUM($O23:$P23)-$W23-$X23-$Y23-$V23</formula2>
    </dataValidation>
    <dataValidation allowBlank="1" showInputMessage="1" showErrorMessage="1" errorTitle="Eingabefehler" error="Ganze Zahl zwischen 0 und 5000 eingeben." sqref="D29:L29" xr:uid="{00000000-0002-0000-0D00-000009000000}"/>
  </dataValidations>
  <pageMargins left="0.39370078740157483" right="0.19685039370078741" top="0.59055118110236227" bottom="0.39370078740157483" header="0.11811023622047245" footer="0.11811023622047245"/>
  <pageSetup paperSize="9" scale="92" fitToHeight="0" orientation="landscape" r:id="rId1"/>
  <headerFooter>
    <oddFooter>&amp;L&amp;"Arial,Standard"&amp;7&amp;F&amp;C&amp;"Arial,Standard"&amp;7 © DKG  Alle Rechte vorbehalten&amp;R&amp;"Arial,Standard"&amp;7&amp;P</oddFooter>
  </headerFooter>
  <rowBreaks count="2" manualBreakCount="2">
    <brk id="32" max="16383" man="1"/>
    <brk id="58" max="16383" man="1"/>
  </rowBreaks>
  <ignoredErrors>
    <ignoredError sqref="C23"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Z14"/>
  <sheetViews>
    <sheetView topLeftCell="B1" workbookViewId="0">
      <selection activeCell="R22" sqref="R22"/>
    </sheetView>
  </sheetViews>
  <sheetFormatPr defaultColWidth="11.42578125" defaultRowHeight="15" x14ac:dyDescent="0.25"/>
  <cols>
    <col min="1" max="1" width="13.140625" style="160" customWidth="1"/>
    <col min="2" max="2" width="11.28515625" style="160" customWidth="1"/>
    <col min="3" max="3" width="13.42578125" style="160" customWidth="1"/>
    <col min="4" max="5" width="7.42578125" style="160" customWidth="1"/>
    <col min="6" max="12" width="8.7109375" style="160" customWidth="1"/>
    <col min="13" max="13" width="12.140625" style="160" customWidth="1"/>
    <col min="14" max="14" width="12.42578125" style="160" customWidth="1"/>
    <col min="15" max="15" width="9.140625" style="160" customWidth="1"/>
    <col min="16" max="16" width="12.28515625" style="160" customWidth="1"/>
    <col min="17" max="19" width="9.140625" style="160" customWidth="1"/>
    <col min="20" max="20" width="16.7109375" style="160" customWidth="1"/>
    <col min="21" max="21" width="12.28515625" style="160" customWidth="1"/>
    <col min="22" max="22" width="15.140625" style="160" customWidth="1"/>
    <col min="23" max="23" width="12.42578125" style="160" customWidth="1"/>
    <col min="24" max="24" width="9.140625" style="160" customWidth="1"/>
    <col min="25" max="25" width="10.85546875" style="160" customWidth="1"/>
    <col min="26" max="26" width="10.7109375" style="160" customWidth="1"/>
    <col min="27" max="258" width="9.140625" style="160" customWidth="1"/>
    <col min="259" max="16384" width="11.42578125" style="160"/>
  </cols>
  <sheetData>
    <row r="1" spans="1:26" s="157" customFormat="1" ht="93.75" customHeight="1" x14ac:dyDescent="0.25">
      <c r="A1" s="230" t="str">
        <f>Matrix_Lunge!A21</f>
        <v>Relevante Nachsorgejahre</v>
      </c>
      <c r="B1" s="230" t="str">
        <f>Matrix_Lunge!B21</f>
        <v>Jahr der Erstdiagnose</v>
      </c>
      <c r="C1" s="230" t="str">
        <f>Matrix_Lunge!C21</f>
        <v>Anzahl Primärpat.</v>
      </c>
      <c r="D1" s="230" t="str">
        <f>LEFT(Matrix_Lunge!D21,7)</f>
        <v>UICC IA</v>
      </c>
      <c r="E1" s="230" t="str">
        <f>LEFT(Matrix_Lunge!E21,7)</f>
        <v>UICC IB</v>
      </c>
      <c r="F1" s="230" t="str">
        <f>LEFT(Matrix_Lunge!F21,8)</f>
        <v>UICC IIA</v>
      </c>
      <c r="G1" s="230" t="str">
        <f>LEFT(Matrix_Lunge!G21,8)</f>
        <v>UICC IIB</v>
      </c>
      <c r="H1" s="230" t="str">
        <f>LEFT(Matrix_Lunge!H21,9)</f>
        <v>UICC IIIA</v>
      </c>
      <c r="I1" s="230" t="str">
        <f>LEFT(Matrix_Lunge!I21,9)</f>
        <v>UICC IIIB</v>
      </c>
      <c r="J1" s="230" t="str">
        <f>LEFT(Matrix_Lunge!J21,9)</f>
        <v>UICC IIIC</v>
      </c>
      <c r="K1" s="230" t="str">
        <f>LEFT(Matrix_Lunge!K21,9)</f>
        <v xml:space="preserve">UICC IVA </v>
      </c>
      <c r="L1" s="230" t="str">
        <f>LEFT(Matrix_Lunge!L21,8)</f>
        <v>UICC IVB</v>
      </c>
      <c r="M1" s="230" t="str">
        <f>LEFT(Matrix_Lunge!N21,52)</f>
        <v>Pat. „im Follow-Up“
(aus Grundgesamtheit Primärpat.)</v>
      </c>
      <c r="N1" s="230" t="str">
        <f>LEFT(Matrix_Lunge!O21,33)</f>
        <v>Follow-Up-Daten vom Krebsregister</v>
      </c>
      <c r="O1" s="230" t="str">
        <f>LEFT(Matrix_Lunge!P21,56)</f>
        <v>Follow-Up-Daten vom Zentrum 
(bzw. Quelle nicht bekannt)</v>
      </c>
      <c r="P1" s="230" t="str">
        <f>LEFT(Matrix_Lunge!Q21,19)</f>
        <v xml:space="preserve">Keine Rückmeldung  </v>
      </c>
      <c r="Q1" s="230" t="str">
        <f>Matrix_Lunge!R21</f>
        <v>Follow-Up Quote in %
= (O + P) / N</v>
      </c>
      <c r="R1" s="204" t="str">
        <f>CONCATENATE(LEFT(Matrix_Lunge!T21,16),RIGHT(Matrix_Lunge!T21,18))</f>
        <v>Pat. tumorfrei  
- ohne Ereignis -</v>
      </c>
      <c r="S1" s="230" t="s">
        <v>367</v>
      </c>
      <c r="T1" s="203" t="str">
        <f>CONCATENATE(LEFT(Matrix_Lunge!V21,16),RIGHT(Matrix_Lunge!V21,43))</f>
        <v>Pat.  tumorfrei - mit Ereignis (Rezidive, Fernmetastasen) -</v>
      </c>
      <c r="U1" s="203" t="str">
        <f>CONCATENATE(LEFT(Matrix_Lunge!W21,22),RIGHT(Matrix_Lunge!W21,17))</f>
        <v>Pat. nicht tumorfrei  - ohne Progress -</v>
      </c>
      <c r="V1" s="203" t="str">
        <f>CONCATENATE(LEFT(Matrix_Lunge!X21,22),RIGHT(Matrix_Lunge!X21,43))</f>
        <v>Pat. nicht tumorfrei  - mit Progress u. / o. mit Fernmetastasen -</v>
      </c>
      <c r="W1" s="203" t="str">
        <f>Matrix_Lunge!Y21</f>
        <v>Tumorbedingt gestorben 
(bezüglich jeder Tumorentität)</v>
      </c>
      <c r="X1" s="203" t="str">
        <f>Matrix_Lunge!Z21</f>
        <v>Nicht tumorbedingt gestorben bzw. Todesursache unbekannt</v>
      </c>
      <c r="Y1" s="203" t="str">
        <f>Matrix_Lunge!AB21</f>
        <v>DFS nach Kaplan-Meier
(Disease Free Survival) in %</v>
      </c>
      <c r="Z1" s="203" t="str">
        <f>Matrix_Lunge!AC21</f>
        <v>OAS nach Kaplan-Meier    
(Overall Survival) in %</v>
      </c>
    </row>
    <row r="2" spans="1:26" s="159" customFormat="1" ht="15" customHeight="1" x14ac:dyDescent="0.25">
      <c r="A2" s="158" t="str">
        <f>Matrix_Lunge!A23</f>
        <v>nicht relevant</v>
      </c>
      <c r="B2" s="136">
        <f>Matrix_Lunge!B23</f>
        <v>2016</v>
      </c>
      <c r="C2" s="136">
        <f>IF(Matrix_Lunge!C23="","",Matrix_Lunge!C23)</f>
        <v>0</v>
      </c>
      <c r="D2" s="136" t="str">
        <f>IF(Matrix_Lunge!D23="","",Matrix_Lunge!D23)</f>
        <v/>
      </c>
      <c r="E2" s="136" t="str">
        <f>IF(Matrix_Lunge!E23="","",Matrix_Lunge!E23)</f>
        <v/>
      </c>
      <c r="F2" s="136" t="str">
        <f>IF(Matrix_Lunge!F23="","",Matrix_Lunge!F23)</f>
        <v/>
      </c>
      <c r="G2" s="136" t="str">
        <f>IF(Matrix_Lunge!G23="","",Matrix_Lunge!G23)</f>
        <v/>
      </c>
      <c r="H2" s="136" t="str">
        <f>IF(Matrix_Lunge!H23="","",Matrix_Lunge!H23)</f>
        <v/>
      </c>
      <c r="I2" s="136" t="str">
        <f>IF(Matrix_Lunge!I23="","",Matrix_Lunge!I23)</f>
        <v/>
      </c>
      <c r="J2" s="136" t="str">
        <f>IF(Matrix_Lunge!J23="","",Matrix_Lunge!J23)</f>
        <v/>
      </c>
      <c r="K2" s="136" t="str">
        <f>IF(Matrix_Lunge!K23="","",Matrix_Lunge!K23)</f>
        <v/>
      </c>
      <c r="L2" s="136" t="str">
        <f>IF(Matrix_Lunge!L23="","",Matrix_Lunge!L23)</f>
        <v/>
      </c>
      <c r="M2" s="136" t="str">
        <f>IF(Matrix_Lunge!N23="","",Matrix_Lunge!N23)</f>
        <v/>
      </c>
      <c r="N2" s="136" t="str">
        <f>IF(Matrix_Lunge!O23="","",Matrix_Lunge!O23)</f>
        <v/>
      </c>
      <c r="O2" s="136" t="str">
        <f>IF(Matrix_Lunge!P23="","",Matrix_Lunge!P23)</f>
        <v/>
      </c>
      <c r="P2" s="136" t="str">
        <f>IF(Matrix_Lunge!Q23="","",Matrix_Lunge!Q23)</f>
        <v/>
      </c>
      <c r="Q2" s="212" t="str">
        <f>IF(Matrix_Lunge!R23="","",Matrix_Lunge!R23*100)</f>
        <v/>
      </c>
      <c r="R2" s="136" t="str">
        <f>IF(Matrix_Lunge!T23="","",Matrix_Lunge!T23)</f>
        <v/>
      </c>
      <c r="S2" s="212" t="str">
        <f>IF(Matrix_Lunge!U23="","",Matrix_Lunge!U23*100)</f>
        <v/>
      </c>
      <c r="T2" s="136" t="str">
        <f>IF(Matrix_Lunge!V23="","",Matrix_Lunge!V23)</f>
        <v/>
      </c>
      <c r="U2" s="136" t="str">
        <f>IF(Matrix_Lunge!W23="","",Matrix_Lunge!W23)</f>
        <v/>
      </c>
      <c r="V2" s="136" t="str">
        <f>IF(Matrix_Lunge!X23="","",Matrix_Lunge!X23)</f>
        <v/>
      </c>
      <c r="W2" s="136" t="str">
        <f>IF(Matrix_Lunge!Y23="","",Matrix_Lunge!Y23)</f>
        <v/>
      </c>
      <c r="X2" s="136" t="str">
        <f>IF(Matrix_Lunge!Z23="","",Matrix_Lunge!Z23)</f>
        <v/>
      </c>
      <c r="Y2" s="212" t="str">
        <f>IF(Matrix_Lunge!AB23="","",Matrix_Lunge!AB23*100)</f>
        <v/>
      </c>
      <c r="Z2" s="212" t="str">
        <f>IF(Matrix_Lunge!AC23="","",Matrix_Lunge!AC23*100)</f>
        <v/>
      </c>
    </row>
    <row r="3" spans="1:26" s="159" customFormat="1" ht="15" customHeight="1" x14ac:dyDescent="0.25">
      <c r="A3" s="158" t="str">
        <f>Matrix_Lunge!A24</f>
        <v>nicht relevant</v>
      </c>
      <c r="B3" s="136">
        <f>Matrix_Lunge!B24</f>
        <v>2017</v>
      </c>
      <c r="C3" s="136">
        <f>IF(Matrix_Lunge!C24="","",Matrix_Lunge!C24)</f>
        <v>0</v>
      </c>
      <c r="D3" s="136" t="str">
        <f>IF(Matrix_Lunge!D24="","",Matrix_Lunge!D24)</f>
        <v/>
      </c>
      <c r="E3" s="136" t="str">
        <f>IF(Matrix_Lunge!E24="","",Matrix_Lunge!E24)</f>
        <v/>
      </c>
      <c r="F3" s="136" t="str">
        <f>IF(Matrix_Lunge!F24="","",Matrix_Lunge!F24)</f>
        <v/>
      </c>
      <c r="G3" s="136" t="str">
        <f>IF(Matrix_Lunge!G24="","",Matrix_Lunge!G24)</f>
        <v/>
      </c>
      <c r="H3" s="136" t="str">
        <f>IF(Matrix_Lunge!H24="","",Matrix_Lunge!H24)</f>
        <v/>
      </c>
      <c r="I3" s="136" t="str">
        <f>IF(Matrix_Lunge!I24="","",Matrix_Lunge!I24)</f>
        <v/>
      </c>
      <c r="J3" s="136" t="str">
        <f>IF(Matrix_Lunge!J24="","",Matrix_Lunge!J24)</f>
        <v/>
      </c>
      <c r="K3" s="136" t="str">
        <f>IF(Matrix_Lunge!K24="","",Matrix_Lunge!K24)</f>
        <v/>
      </c>
      <c r="L3" s="136" t="str">
        <f>IF(Matrix_Lunge!L24="","",Matrix_Lunge!L24)</f>
        <v/>
      </c>
      <c r="M3" s="136" t="str">
        <f>IF(Matrix_Lunge!N24="","",Matrix_Lunge!N24)</f>
        <v/>
      </c>
      <c r="N3" s="136" t="str">
        <f>IF(Matrix_Lunge!O24="","",Matrix_Lunge!O24)</f>
        <v/>
      </c>
      <c r="O3" s="136" t="str">
        <f>IF(Matrix_Lunge!P24="","",Matrix_Lunge!P24)</f>
        <v/>
      </c>
      <c r="P3" s="136" t="str">
        <f>IF(Matrix_Lunge!Q24="","",Matrix_Lunge!Q24)</f>
        <v/>
      </c>
      <c r="Q3" s="212" t="str">
        <f>IF(Matrix_Lunge!R24="","",Matrix_Lunge!R24*100)</f>
        <v/>
      </c>
      <c r="R3" s="136" t="str">
        <f>IF(Matrix_Lunge!T24="","",Matrix_Lunge!T24)</f>
        <v/>
      </c>
      <c r="S3" s="212" t="str">
        <f>IF(Matrix_Lunge!U24="","",Matrix_Lunge!U24*100)</f>
        <v/>
      </c>
      <c r="T3" s="136" t="str">
        <f>IF(Matrix_Lunge!V24="","",Matrix_Lunge!V24)</f>
        <v/>
      </c>
      <c r="U3" s="136" t="str">
        <f>IF(Matrix_Lunge!W24="","",Matrix_Lunge!W24)</f>
        <v/>
      </c>
      <c r="V3" s="136" t="str">
        <f>IF(Matrix_Lunge!X24="","",Matrix_Lunge!X24)</f>
        <v/>
      </c>
      <c r="W3" s="136" t="str">
        <f>IF(Matrix_Lunge!Y24="","",Matrix_Lunge!Y24)</f>
        <v/>
      </c>
      <c r="X3" s="136" t="str">
        <f>IF(Matrix_Lunge!Z24="","",Matrix_Lunge!Z24)</f>
        <v/>
      </c>
      <c r="Y3" s="212" t="str">
        <f>IF(Matrix_Lunge!AB24="","",Matrix_Lunge!AB24*100)</f>
        <v/>
      </c>
      <c r="Z3" s="212" t="str">
        <f>IF(Matrix_Lunge!AC24="","",Matrix_Lunge!AC24*100)</f>
        <v/>
      </c>
    </row>
    <row r="4" spans="1:26" s="159" customFormat="1" ht="15" customHeight="1" x14ac:dyDescent="0.25">
      <c r="A4" s="158" t="str">
        <f>Matrix_Lunge!A25</f>
        <v>nicht relevant</v>
      </c>
      <c r="B4" s="136">
        <f>Matrix_Lunge!B25</f>
        <v>2018</v>
      </c>
      <c r="C4" s="136">
        <f>IF(Matrix_Lunge!C25="","",Matrix_Lunge!C25)</f>
        <v>0</v>
      </c>
      <c r="D4" s="136" t="str">
        <f>IF(Matrix_Lunge!D25="","",Matrix_Lunge!D25)</f>
        <v/>
      </c>
      <c r="E4" s="136" t="str">
        <f>IF(Matrix_Lunge!E25="","",Matrix_Lunge!E25)</f>
        <v/>
      </c>
      <c r="F4" s="136" t="str">
        <f>IF(Matrix_Lunge!F25="","",Matrix_Lunge!F25)</f>
        <v/>
      </c>
      <c r="G4" s="136" t="str">
        <f>IF(Matrix_Lunge!G25="","",Matrix_Lunge!G25)</f>
        <v/>
      </c>
      <c r="H4" s="136" t="str">
        <f>IF(Matrix_Lunge!H25="","",Matrix_Lunge!H25)</f>
        <v/>
      </c>
      <c r="I4" s="136" t="str">
        <f>IF(Matrix_Lunge!I25="","",Matrix_Lunge!I25)</f>
        <v/>
      </c>
      <c r="J4" s="136" t="str">
        <f>IF(Matrix_Lunge!J25="","",Matrix_Lunge!J25)</f>
        <v/>
      </c>
      <c r="K4" s="136" t="str">
        <f>IF(Matrix_Lunge!K25="","",Matrix_Lunge!K25)</f>
        <v/>
      </c>
      <c r="L4" s="136" t="str">
        <f>IF(Matrix_Lunge!L25="","",Matrix_Lunge!L25)</f>
        <v/>
      </c>
      <c r="M4" s="136" t="str">
        <f>IF(Matrix_Lunge!N25="","",Matrix_Lunge!N25)</f>
        <v/>
      </c>
      <c r="N4" s="136" t="str">
        <f>IF(Matrix_Lunge!O25="","",Matrix_Lunge!O25)</f>
        <v/>
      </c>
      <c r="O4" s="136" t="str">
        <f>IF(Matrix_Lunge!P25="","",Matrix_Lunge!P25)</f>
        <v/>
      </c>
      <c r="P4" s="136" t="str">
        <f>IF(Matrix_Lunge!Q25="","",Matrix_Lunge!Q25)</f>
        <v/>
      </c>
      <c r="Q4" s="212" t="str">
        <f>IF(Matrix_Lunge!R25="","",Matrix_Lunge!R25*100)</f>
        <v/>
      </c>
      <c r="R4" s="136" t="str">
        <f>IF(Matrix_Lunge!T25="","",Matrix_Lunge!T25)</f>
        <v/>
      </c>
      <c r="S4" s="212" t="str">
        <f>IF(Matrix_Lunge!U25="","",Matrix_Lunge!U25*100)</f>
        <v/>
      </c>
      <c r="T4" s="136" t="str">
        <f>IF(Matrix_Lunge!V25="","",Matrix_Lunge!V25)</f>
        <v/>
      </c>
      <c r="U4" s="136" t="str">
        <f>IF(Matrix_Lunge!W25="","",Matrix_Lunge!W25)</f>
        <v/>
      </c>
      <c r="V4" s="136" t="str">
        <f>IF(Matrix_Lunge!X25="","",Matrix_Lunge!X25)</f>
        <v/>
      </c>
      <c r="W4" s="136" t="str">
        <f>IF(Matrix_Lunge!Y25="","",Matrix_Lunge!Y25)</f>
        <v/>
      </c>
      <c r="X4" s="136" t="str">
        <f>IF(Matrix_Lunge!Z25="","",Matrix_Lunge!Z25)</f>
        <v/>
      </c>
      <c r="Y4" s="212" t="str">
        <f>IF(Matrix_Lunge!AB25="","",Matrix_Lunge!AB25*100)</f>
        <v/>
      </c>
      <c r="Z4" s="212" t="str">
        <f>IF(Matrix_Lunge!AC25="","",Matrix_Lunge!AC25*100)</f>
        <v/>
      </c>
    </row>
    <row r="5" spans="1:26" s="159" customFormat="1" ht="15" customHeight="1" x14ac:dyDescent="0.25">
      <c r="A5" s="158" t="str">
        <f>Matrix_Lunge!A26</f>
        <v>nicht relevant</v>
      </c>
      <c r="B5" s="136">
        <f>Matrix_Lunge!B26</f>
        <v>2019</v>
      </c>
      <c r="C5" s="136">
        <f>IF(Matrix_Lunge!C26="","",Matrix_Lunge!C26)</f>
        <v>0</v>
      </c>
      <c r="D5" s="136" t="str">
        <f>IF(Matrix_Lunge!D26="","",Matrix_Lunge!D26)</f>
        <v/>
      </c>
      <c r="E5" s="136" t="str">
        <f>IF(Matrix_Lunge!E26="","",Matrix_Lunge!E26)</f>
        <v/>
      </c>
      <c r="F5" s="136" t="str">
        <f>IF(Matrix_Lunge!F26="","",Matrix_Lunge!F26)</f>
        <v/>
      </c>
      <c r="G5" s="136" t="str">
        <f>IF(Matrix_Lunge!G26="","",Matrix_Lunge!G26)</f>
        <v/>
      </c>
      <c r="H5" s="136" t="str">
        <f>IF(Matrix_Lunge!H26="","",Matrix_Lunge!H26)</f>
        <v/>
      </c>
      <c r="I5" s="136" t="str">
        <f>IF(Matrix_Lunge!I26="","",Matrix_Lunge!I26)</f>
        <v/>
      </c>
      <c r="J5" s="136" t="str">
        <f>IF(Matrix_Lunge!J26="","",Matrix_Lunge!J26)</f>
        <v/>
      </c>
      <c r="K5" s="136" t="str">
        <f>IF(Matrix_Lunge!K26="","",Matrix_Lunge!K26)</f>
        <v/>
      </c>
      <c r="L5" s="136" t="str">
        <f>IF(Matrix_Lunge!L26="","",Matrix_Lunge!L26)</f>
        <v/>
      </c>
      <c r="M5" s="136" t="str">
        <f>IF(Matrix_Lunge!N26="","",Matrix_Lunge!N26)</f>
        <v/>
      </c>
      <c r="N5" s="136" t="str">
        <f>IF(Matrix_Lunge!O26="","",Matrix_Lunge!O26)</f>
        <v/>
      </c>
      <c r="O5" s="136" t="str">
        <f>IF(Matrix_Lunge!P26="","",Matrix_Lunge!P26)</f>
        <v/>
      </c>
      <c r="P5" s="136" t="str">
        <f>IF(Matrix_Lunge!Q26="","",Matrix_Lunge!Q26)</f>
        <v/>
      </c>
      <c r="Q5" s="212" t="str">
        <f>IF(Matrix_Lunge!R26="","",Matrix_Lunge!R26*100)</f>
        <v/>
      </c>
      <c r="R5" s="136" t="str">
        <f>IF(Matrix_Lunge!T26="","",Matrix_Lunge!T26)</f>
        <v/>
      </c>
      <c r="S5" s="212" t="str">
        <f>IF(Matrix_Lunge!U26="","",Matrix_Lunge!U26*100)</f>
        <v/>
      </c>
      <c r="T5" s="136" t="str">
        <f>IF(Matrix_Lunge!V26="","",Matrix_Lunge!V26)</f>
        <v/>
      </c>
      <c r="U5" s="136" t="str">
        <f>IF(Matrix_Lunge!W26="","",Matrix_Lunge!W26)</f>
        <v/>
      </c>
      <c r="V5" s="136" t="str">
        <f>IF(Matrix_Lunge!X26="","",Matrix_Lunge!X26)</f>
        <v/>
      </c>
      <c r="W5" s="136" t="str">
        <f>IF(Matrix_Lunge!Y26="","",Matrix_Lunge!Y26)</f>
        <v/>
      </c>
      <c r="X5" s="136" t="str">
        <f>IF(Matrix_Lunge!Z26="","",Matrix_Lunge!Z26)</f>
        <v/>
      </c>
      <c r="Y5" s="212" t="str">
        <f>IF(Matrix_Lunge!AB26="","",Matrix_Lunge!AB26*100)</f>
        <v/>
      </c>
      <c r="Z5" s="212" t="str">
        <f>IF(Matrix_Lunge!AC26="","",Matrix_Lunge!AC26*100)</f>
        <v/>
      </c>
    </row>
    <row r="6" spans="1:26" s="159" customFormat="1" ht="15" customHeight="1" x14ac:dyDescent="0.25">
      <c r="A6" s="158" t="str">
        <f>Matrix_Lunge!A27</f>
        <v>nicht relevant</v>
      </c>
      <c r="B6" s="136">
        <f>Matrix_Lunge!B27</f>
        <v>2020</v>
      </c>
      <c r="C6" s="136">
        <f>IF(Matrix_Lunge!C27="","",Matrix_Lunge!C27)</f>
        <v>0</v>
      </c>
      <c r="D6" s="136" t="str">
        <f>IF(Matrix_Lunge!D27="","",Matrix_Lunge!D27)</f>
        <v/>
      </c>
      <c r="E6" s="136" t="str">
        <f>IF(Matrix_Lunge!E27="","",Matrix_Lunge!E27)</f>
        <v/>
      </c>
      <c r="F6" s="136" t="str">
        <f>IF(Matrix_Lunge!F27="","",Matrix_Lunge!F27)</f>
        <v/>
      </c>
      <c r="G6" s="136" t="str">
        <f>IF(Matrix_Lunge!G27="","",Matrix_Lunge!G27)</f>
        <v/>
      </c>
      <c r="H6" s="136" t="str">
        <f>IF(Matrix_Lunge!H27="","",Matrix_Lunge!H27)</f>
        <v/>
      </c>
      <c r="I6" s="136" t="str">
        <f>IF(Matrix_Lunge!I27="","",Matrix_Lunge!I27)</f>
        <v/>
      </c>
      <c r="J6" s="136" t="str">
        <f>IF(Matrix_Lunge!J27="","",Matrix_Lunge!J27)</f>
        <v/>
      </c>
      <c r="K6" s="136" t="str">
        <f>IF(Matrix_Lunge!K27="","",Matrix_Lunge!K27)</f>
        <v/>
      </c>
      <c r="L6" s="136" t="str">
        <f>IF(Matrix_Lunge!L27="","",Matrix_Lunge!L27)</f>
        <v/>
      </c>
      <c r="M6" s="136" t="str">
        <f>IF(Matrix_Lunge!N27="","",Matrix_Lunge!N27)</f>
        <v/>
      </c>
      <c r="N6" s="136" t="str">
        <f>IF(Matrix_Lunge!O27="","",Matrix_Lunge!O27)</f>
        <v/>
      </c>
      <c r="O6" s="136" t="str">
        <f>IF(Matrix_Lunge!P27="","",Matrix_Lunge!P27)</f>
        <v/>
      </c>
      <c r="P6" s="136" t="str">
        <f>IF(Matrix_Lunge!Q27="","",Matrix_Lunge!Q27)</f>
        <v/>
      </c>
      <c r="Q6" s="212" t="str">
        <f>IF(Matrix_Lunge!R27="","",Matrix_Lunge!R27*100)</f>
        <v/>
      </c>
      <c r="R6" s="136" t="str">
        <f>IF(Matrix_Lunge!T27="","",Matrix_Lunge!T27)</f>
        <v/>
      </c>
      <c r="S6" s="212" t="str">
        <f>IF(Matrix_Lunge!U27="","",Matrix_Lunge!U27*100)</f>
        <v/>
      </c>
      <c r="T6" s="136" t="str">
        <f>IF(Matrix_Lunge!V27="","",Matrix_Lunge!V27)</f>
        <v/>
      </c>
      <c r="U6" s="136" t="str">
        <f>IF(Matrix_Lunge!W27="","",Matrix_Lunge!W27)</f>
        <v/>
      </c>
      <c r="V6" s="136" t="str">
        <f>IF(Matrix_Lunge!X27="","",Matrix_Lunge!X27)</f>
        <v/>
      </c>
      <c r="W6" s="136" t="str">
        <f>IF(Matrix_Lunge!Y27="","",Matrix_Lunge!Y27)</f>
        <v/>
      </c>
      <c r="X6" s="136" t="str">
        <f>IF(Matrix_Lunge!Z27="","",Matrix_Lunge!Z27)</f>
        <v/>
      </c>
      <c r="Y6" s="212" t="str">
        <f>IF(Matrix_Lunge!AB27="","",Matrix_Lunge!AB27*100)</f>
        <v/>
      </c>
      <c r="Z6" s="212" t="str">
        <f>IF(Matrix_Lunge!AC27="","",Matrix_Lunge!AC27*100)</f>
        <v/>
      </c>
    </row>
    <row r="7" spans="1:26" x14ac:dyDescent="0.25">
      <c r="A7" s="158" t="str">
        <f>Matrix_Lunge!A28</f>
        <v>nicht relevant</v>
      </c>
      <c r="B7" s="136" t="str">
        <f>LEFT(Matrix_Lunge!B28,4)</f>
        <v>2021</v>
      </c>
      <c r="C7" s="136">
        <f>IF(Matrix_Lunge!C28="","",Matrix_Lunge!C28)</f>
        <v>0</v>
      </c>
      <c r="D7" s="136" t="str">
        <f>IF(Matrix_Lunge!D28="","",Matrix_Lunge!D28)</f>
        <v/>
      </c>
      <c r="E7" s="136" t="str">
        <f>IF(Matrix_Lunge!E28="","",Matrix_Lunge!E28)</f>
        <v/>
      </c>
      <c r="F7" s="136" t="str">
        <f>IF(Matrix_Lunge!F28="","",Matrix_Lunge!F28)</f>
        <v/>
      </c>
      <c r="G7" s="136" t="str">
        <f>IF(Matrix_Lunge!G28="","",Matrix_Lunge!G28)</f>
        <v/>
      </c>
      <c r="H7" s="136" t="str">
        <f>IF(Matrix_Lunge!H28="","",Matrix_Lunge!H28)</f>
        <v/>
      </c>
      <c r="I7" s="136" t="str">
        <f>IF(Matrix_Lunge!I28="","",Matrix_Lunge!I28)</f>
        <v/>
      </c>
      <c r="J7" s="136" t="str">
        <f>IF(Matrix_Lunge!J28="","",Matrix_Lunge!J28)</f>
        <v/>
      </c>
      <c r="K7" s="136" t="str">
        <f>IF(Matrix_Lunge!K28="","",Matrix_Lunge!K28)</f>
        <v/>
      </c>
      <c r="L7" s="136" t="str">
        <f>IF(Matrix_Lunge!L28="","",Matrix_Lunge!L28)</f>
        <v/>
      </c>
      <c r="M7" s="136" t="str">
        <f>IF(Matrix_Lunge!N28="","",Matrix_Lunge!N28)</f>
        <v/>
      </c>
      <c r="N7" s="136" t="str">
        <f>IF(Matrix_Lunge!O28="","",Matrix_Lunge!O28)</f>
        <v/>
      </c>
      <c r="O7" s="136" t="str">
        <f>IF(Matrix_Lunge!P28="","",Matrix_Lunge!P28)</f>
        <v/>
      </c>
      <c r="P7" s="136" t="str">
        <f>IF(Matrix_Lunge!Q28="","",Matrix_Lunge!Q28)</f>
        <v/>
      </c>
      <c r="Q7" s="212" t="str">
        <f>IF(Matrix_Lunge!R28="","",Matrix_Lunge!R28*100)</f>
        <v/>
      </c>
      <c r="R7" s="136" t="str">
        <f>IF(Matrix_Lunge!T28="","",Matrix_Lunge!T28)</f>
        <v/>
      </c>
      <c r="S7" s="212" t="str">
        <f>IF(Matrix_Lunge!U28="","",Matrix_Lunge!U28*100)</f>
        <v/>
      </c>
      <c r="T7" s="136" t="str">
        <f>IF(Matrix_Lunge!V28="","",Matrix_Lunge!V28)</f>
        <v/>
      </c>
      <c r="U7" s="136" t="str">
        <f>IF(Matrix_Lunge!W28="","",Matrix_Lunge!W28)</f>
        <v/>
      </c>
      <c r="V7" s="136" t="str">
        <f>IF(Matrix_Lunge!X28="","",Matrix_Lunge!X28)</f>
        <v/>
      </c>
      <c r="W7" s="136" t="str">
        <f>IF(Matrix_Lunge!Y28="","",Matrix_Lunge!Y28)</f>
        <v/>
      </c>
      <c r="X7" s="136" t="str">
        <f>IF(Matrix_Lunge!Z28="","",Matrix_Lunge!Z28)</f>
        <v/>
      </c>
      <c r="Y7" s="212" t="str">
        <f>IF(Matrix_Lunge!AB28="","",Matrix_Lunge!AB28*100)</f>
        <v/>
      </c>
      <c r="Z7" s="212" t="str">
        <f>IF(Matrix_Lunge!AC28="","",Matrix_Lunge!AC28*100)</f>
        <v/>
      </c>
    </row>
    <row r="8" spans="1:26" x14ac:dyDescent="0.25">
      <c r="A8" s="158" t="str">
        <f>Matrix_Lunge!A29</f>
        <v>nicht relevant</v>
      </c>
      <c r="B8" s="136" t="str">
        <f>LEFT(Matrix_Lunge!B29, 4)</f>
        <v>2022</v>
      </c>
      <c r="C8" s="136">
        <f>IF(Matrix_Lunge!C29="","",Matrix_Lunge!C29)</f>
        <v>0</v>
      </c>
      <c r="D8" s="136" t="str">
        <f>IF(Matrix_Lunge!D29="","",Matrix_Lunge!D29)</f>
        <v/>
      </c>
      <c r="E8" s="136" t="str">
        <f>IF(Matrix_Lunge!E29="","",Matrix_Lunge!E29)</f>
        <v/>
      </c>
      <c r="F8" s="136" t="str">
        <f>IF(Matrix_Lunge!F29="","",Matrix_Lunge!F29)</f>
        <v/>
      </c>
      <c r="G8" s="136" t="str">
        <f>IF(Matrix_Lunge!G29="","",Matrix_Lunge!G29)</f>
        <v/>
      </c>
      <c r="H8" s="136" t="str">
        <f>IF(Matrix_Lunge!H29="","",Matrix_Lunge!H29)</f>
        <v/>
      </c>
      <c r="I8" s="136" t="str">
        <f>IF(Matrix_Lunge!I29="","",Matrix_Lunge!I29)</f>
        <v/>
      </c>
      <c r="J8" s="136" t="str">
        <f>IF(Matrix_Lunge!J29="","",Matrix_Lunge!J29)</f>
        <v/>
      </c>
      <c r="K8" s="136" t="str">
        <f>IF(Matrix_Lunge!K29="","",Matrix_Lunge!K29)</f>
        <v/>
      </c>
      <c r="L8" s="136" t="str">
        <f>IF(Matrix_Lunge!L29="","",Matrix_Lunge!L29)</f>
        <v/>
      </c>
      <c r="M8" s="136" t="str">
        <f>IF(Matrix_Lunge!N29="","",Matrix_Lunge!N29)</f>
        <v/>
      </c>
      <c r="N8" s="136" t="str">
        <f>IF(Matrix_Lunge!O29="","",Matrix_Lunge!O29)</f>
        <v/>
      </c>
      <c r="O8" s="136" t="str">
        <f>IF(Matrix_Lunge!P29="","",Matrix_Lunge!P29)</f>
        <v/>
      </c>
      <c r="P8" s="136" t="str">
        <f>IF(Matrix_Lunge!Q29="","",Matrix_Lunge!Q29)</f>
        <v/>
      </c>
      <c r="Q8" s="212" t="str">
        <f>IF(Matrix_Lunge!R29="","",Matrix_Lunge!R29*100)</f>
        <v/>
      </c>
      <c r="R8" s="136" t="str">
        <f>IF(Matrix_Lunge!T29="","",Matrix_Lunge!T29)</f>
        <v/>
      </c>
      <c r="S8" s="212" t="str">
        <f>IF(Matrix_Lunge!U29="","",Matrix_Lunge!U29*100)</f>
        <v/>
      </c>
      <c r="T8" s="136" t="str">
        <f>IF(Matrix_Lunge!V29="","",Matrix_Lunge!V29)</f>
        <v/>
      </c>
      <c r="U8" s="136" t="str">
        <f>IF(Matrix_Lunge!W29="","",Matrix_Lunge!W29)</f>
        <v/>
      </c>
      <c r="V8" s="136" t="str">
        <f>IF(Matrix_Lunge!X29="","",Matrix_Lunge!X29)</f>
        <v/>
      </c>
      <c r="W8" s="136" t="str">
        <f>IF(Matrix_Lunge!Y29="","",Matrix_Lunge!Y29)</f>
        <v/>
      </c>
      <c r="X8" s="136" t="str">
        <f>IF(Matrix_Lunge!Z29="","",Matrix_Lunge!Z29)</f>
        <v/>
      </c>
      <c r="Y8" s="212" t="str">
        <f>IF(Matrix_Lunge!AB29="","",Matrix_Lunge!AB29*100)</f>
        <v/>
      </c>
      <c r="Z8" s="212" t="str">
        <f>IF(Matrix_Lunge!AC29="","",Matrix_Lunge!AC29*100)</f>
        <v/>
      </c>
    </row>
    <row r="14" spans="1:26" x14ac:dyDescent="0.25">
      <c r="L14" s="503"/>
    </row>
  </sheetData>
  <phoneticPr fontId="38"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9"/>
  <dimension ref="A1:BJ81"/>
  <sheetViews>
    <sheetView topLeftCell="A37" zoomScaleNormal="100" workbookViewId="0">
      <selection activeCell="A77" sqref="A77:XFD77"/>
    </sheetView>
  </sheetViews>
  <sheetFormatPr defaultColWidth="9" defaultRowHeight="11.25" x14ac:dyDescent="0.25"/>
  <cols>
    <col min="1" max="1" width="20.7109375" style="32" customWidth="1"/>
    <col min="2" max="2" width="35.140625" style="32" customWidth="1"/>
    <col min="3" max="3" width="27.7109375" style="32" customWidth="1"/>
    <col min="4" max="4" width="22.140625" style="32" customWidth="1"/>
    <col min="5" max="5" width="29.7109375" style="32" customWidth="1"/>
    <col min="6" max="6" width="31.42578125" style="32" customWidth="1"/>
    <col min="7" max="7" width="24.5703125" style="177" customWidth="1"/>
    <col min="8" max="8" width="22.5703125" style="176" customWidth="1"/>
    <col min="9" max="9" width="30.7109375" style="176" customWidth="1"/>
    <col min="10" max="10" width="44.5703125" style="192" customWidth="1"/>
    <col min="11" max="11" width="29.85546875" style="32" customWidth="1"/>
    <col min="12" max="12" width="50.140625" style="32" customWidth="1"/>
    <col min="13" max="13" width="30.28515625" style="32" customWidth="1"/>
    <col min="14" max="14" width="35.7109375" style="192" customWidth="1"/>
    <col min="15" max="15" width="23.7109375" style="32" customWidth="1"/>
    <col min="16" max="16" width="11.42578125" style="32" customWidth="1"/>
    <col min="17" max="17" width="27.140625" style="32" customWidth="1"/>
    <col min="18" max="18" width="27.5703125" style="32" customWidth="1"/>
    <col min="19" max="19" width="21.7109375" style="32" customWidth="1"/>
    <col min="20" max="20" width="19.7109375" style="32" customWidth="1"/>
    <col min="21" max="21" width="18.7109375" style="32" customWidth="1"/>
    <col min="22" max="160" width="11.42578125" style="32" customWidth="1"/>
    <col min="161" max="16384" width="9" style="32"/>
  </cols>
  <sheetData>
    <row r="1" spans="1:62" x14ac:dyDescent="0.25">
      <c r="G1" s="32"/>
      <c r="H1" s="32"/>
      <c r="I1" s="32"/>
    </row>
    <row r="2" spans="1:62" ht="12.75" customHeight="1" x14ac:dyDescent="0.25">
      <c r="A2" s="119" t="s">
        <v>395</v>
      </c>
      <c r="G2" s="32"/>
      <c r="H2" s="32"/>
      <c r="I2" s="32"/>
      <c r="AI2" s="176"/>
      <c r="BJ2" s="177"/>
    </row>
    <row r="3" spans="1:62" ht="14.25" customHeight="1" x14ac:dyDescent="0.25">
      <c r="AI3" s="176"/>
      <c r="BJ3" s="177"/>
    </row>
    <row r="4" spans="1:62" x14ac:dyDescent="0.25">
      <c r="G4" s="32"/>
      <c r="H4" s="32"/>
      <c r="I4" s="32"/>
      <c r="AI4" s="176"/>
      <c r="BJ4" s="177"/>
    </row>
    <row r="5" spans="1:62" ht="15" customHeight="1" x14ac:dyDescent="0.25">
      <c r="B5" s="161" t="s">
        <v>182</v>
      </c>
      <c r="C5" s="162" t="s">
        <v>164</v>
      </c>
      <c r="D5" s="163" t="s">
        <v>27</v>
      </c>
      <c r="E5" s="164" t="s">
        <v>184</v>
      </c>
      <c r="F5" s="165" t="s">
        <v>186</v>
      </c>
      <c r="G5" s="32"/>
      <c r="H5" s="32"/>
      <c r="I5" s="32"/>
      <c r="AI5" s="176"/>
      <c r="BI5" s="104"/>
    </row>
    <row r="6" spans="1:62" ht="25.5" customHeight="1" x14ac:dyDescent="0.25">
      <c r="B6" s="172" t="str">
        <f>IF(AND(E6=0,F6=0,Berechnung3!A7="relevant"),B8,IF(OR(Berechnung3!A7="nicht relevant",Berechnung3!A7="EZ"),"",B9))</f>
        <v/>
      </c>
      <c r="C6" s="166">
        <f>Berechnung3!J52</f>
        <v>0</v>
      </c>
      <c r="D6" s="167">
        <f>Berechnung3!J53</f>
        <v>0</v>
      </c>
      <c r="E6" s="168">
        <f>Berechnung3!J51</f>
        <v>0</v>
      </c>
      <c r="F6" s="169">
        <f>Berechnung3!J50</f>
        <v>0</v>
      </c>
      <c r="G6" s="32"/>
      <c r="H6" s="32"/>
      <c r="I6" s="32"/>
      <c r="AI6" s="176"/>
    </row>
    <row r="7" spans="1:62" x14ac:dyDescent="0.25">
      <c r="G7" s="32"/>
      <c r="H7" s="32"/>
      <c r="I7" s="32"/>
      <c r="AI7" s="176"/>
    </row>
    <row r="8" spans="1:62" x14ac:dyDescent="0.25">
      <c r="A8" s="119" t="s">
        <v>1</v>
      </c>
      <c r="B8" s="32" t="s">
        <v>406</v>
      </c>
      <c r="G8" s="32"/>
      <c r="H8" s="32"/>
      <c r="I8" s="32"/>
      <c r="AI8" s="176"/>
    </row>
    <row r="9" spans="1:62" x14ac:dyDescent="0.25">
      <c r="B9" s="32" t="s">
        <v>15</v>
      </c>
      <c r="G9" s="32"/>
      <c r="H9" s="32"/>
      <c r="I9" s="32"/>
      <c r="AI9" s="176"/>
    </row>
    <row r="10" spans="1:62" x14ac:dyDescent="0.25">
      <c r="G10" s="32"/>
      <c r="H10" s="32"/>
      <c r="I10" s="32"/>
      <c r="AI10" s="176"/>
    </row>
    <row r="11" spans="1:62" x14ac:dyDescent="0.25">
      <c r="A11" s="176"/>
      <c r="B11" s="119" t="s">
        <v>217</v>
      </c>
      <c r="G11" s="32"/>
      <c r="H11" s="32"/>
      <c r="I11" s="32"/>
      <c r="AI11" s="176"/>
    </row>
    <row r="12" spans="1:62" x14ac:dyDescent="0.25">
      <c r="A12" s="176"/>
      <c r="G12" s="32"/>
      <c r="H12" s="32"/>
      <c r="I12" s="32"/>
      <c r="AI12" s="176"/>
    </row>
    <row r="13" spans="1:62" x14ac:dyDescent="0.25">
      <c r="A13" s="176"/>
      <c r="B13" s="915" t="s">
        <v>203</v>
      </c>
      <c r="C13" s="917" t="s">
        <v>219</v>
      </c>
      <c r="D13" s="853" t="s">
        <v>202</v>
      </c>
      <c r="E13" s="919" t="s">
        <v>453</v>
      </c>
      <c r="G13" s="32"/>
      <c r="H13" s="32"/>
      <c r="I13" s="32"/>
      <c r="AI13" s="176"/>
    </row>
    <row r="14" spans="1:62" ht="12" x14ac:dyDescent="0.25">
      <c r="A14" s="176"/>
      <c r="B14" s="916"/>
      <c r="C14" s="918"/>
      <c r="D14" s="853"/>
      <c r="E14" s="920"/>
      <c r="G14" s="32"/>
      <c r="H14" s="32"/>
      <c r="I14" s="186" t="s">
        <v>453</v>
      </c>
      <c r="J14" s="187" t="s">
        <v>454</v>
      </c>
      <c r="AI14" s="176"/>
    </row>
    <row r="15" spans="1:62" ht="38.1" customHeight="1" x14ac:dyDescent="0.25">
      <c r="A15" s="104" t="s">
        <v>216</v>
      </c>
      <c r="B15" s="30" t="str">
        <f>CONCATENATE(IF(Berechnung3!$H$2=Berechnung2!$L$52,Berechnung3!$B$2,""),IF(Berechnung3!$H$3=Berechnung2!$L$52,Berechnung3!$B$3,""),IF(Berechnung3!$H$4=Berechnung2!$L$52,Berechnung3!$B$4,""),IF(Berechnung3!$H$5=Berechnung2!$L$52,Berechnung3!$B$5,""),IF(Berechnung3!$H$6=Berechnung2!$L$52,Berechnung3!$B$6,""),IF(Berechnung3!$H$7=Berechnung2!$L$52,Berechnung3!$B$7,""),IF(Berechnung3!$H$8=Berechnung2!$L$52,Berechnung3!$B$8,""))</f>
        <v/>
      </c>
      <c r="C15" s="30">
        <f>IF(LEN(B15)&gt;0,"X",0)</f>
        <v>0</v>
      </c>
      <c r="D15" s="30" t="str">
        <f>IF(COUNTIF(Berechnung3!$H$2:$H$8,Berechnung2!$L$52)&gt;0,CONCATENATE(Berechnung2!$F$5,"                                     ",Berechnung2!$L$52),"")</f>
        <v/>
      </c>
      <c r="E15" s="47" t="str">
        <f>IF(COUNTIF(Berechnung3!$H$2:$H$8,Berechnung2!$L$52)&gt;0,"a","")</f>
        <v/>
      </c>
      <c r="G15" s="148" t="e">
        <f t="array" ref="G15">INDEX(B:B,SMALL(IF($C$15:$C$24="X",ROW($15:$24)),1))</f>
        <v>#NUM!</v>
      </c>
      <c r="H15" s="148" t="e">
        <f t="array" ref="H15">INDEX(D:D,SMALL(IF($C$15:$C$24="X",ROW($15:$24)),1))</f>
        <v>#NUM!</v>
      </c>
      <c r="I15" s="47" t="e">
        <f t="array" ref="I15">INDEX(E:E,SMALL(IF($C$15:$C$24="X",ROW($15:$24)),1))</f>
        <v>#NUM!</v>
      </c>
      <c r="J15" s="193" t="e">
        <f>IF(AND(Datendefizite_Matrix_Lunge!C19="",I15&lt;&gt;""),"Anmerkung OnkoZert : Keine Erläuterung vorhanden",Datendefizite_Matrix_Lunge!C19)</f>
        <v>#NUM!</v>
      </c>
      <c r="AI15" s="176"/>
    </row>
    <row r="16" spans="1:62" ht="38.1" customHeight="1" x14ac:dyDescent="0.25">
      <c r="A16" s="104" t="s">
        <v>220</v>
      </c>
      <c r="B16" s="30" t="str">
        <f>CONCATENATE(IF(Berechnung3!$H$9=Berechnung2!$L$56,Berechnung3!$B$2,""),IF(Berechnung3!$H$10=Berechnung2!$L$56,Berechnung3!$B$3,""),IF(Berechnung3!$H$11=Berechnung2!$L$56,Berechnung3!$B$4,""),IF(Berechnung3!$H$12=Berechnung2!$L$56,Berechnung3!$B$5,""),IF(Berechnung3!$H$13=Berechnung2!$L$56,Berechnung3!$B$6,""))</f>
        <v/>
      </c>
      <c r="C16" s="30">
        <f>IF(LEN(B16)&gt;0,"X",0)</f>
        <v>0</v>
      </c>
      <c r="D16" s="30" t="str">
        <f>IF(COUNTIF(Berechnung3!$H$9:$H$13,Berechnung2!$L$56)&gt;0,CONCATENATE(Berechnung2!$E$5,"                                     ",Berechnung2!$L$56),"")</f>
        <v/>
      </c>
      <c r="E16" s="47" t="str">
        <f>IF(COUNTIF(Berechnung3!$H$9:$H$13,Berechnung2!$L$56)&gt;0,"b","")</f>
        <v/>
      </c>
      <c r="G16" s="148" t="e">
        <f t="array" ref="G16">INDEX(B:B,SMALL(IF($C$15:$C$24="X",ROW($15:$24)),2))</f>
        <v>#NUM!</v>
      </c>
      <c r="H16" s="148" t="e">
        <f t="array" ref="H16">INDEX(D:D,SMALL(IF($C$15:$C$24="X",ROW($15:$24)),2))</f>
        <v>#NUM!</v>
      </c>
      <c r="I16" s="47" t="e">
        <f t="array" ref="I16">INDEX(E:E,SMALL(IF($C$15:$C$24="X",ROW($15:$24)),2))</f>
        <v>#NUM!</v>
      </c>
      <c r="J16" s="193" t="e">
        <f>IF(AND(Datendefizite_Matrix_Lunge!C20="",I16&lt;&gt;""),"Anmerkung OnkoZert : Keine Erläuterung vorhanden",Datendefizite_Matrix_Lunge!C20)</f>
        <v>#NUM!</v>
      </c>
      <c r="AI16" s="176"/>
      <c r="BJ16" s="188"/>
    </row>
    <row r="17" spans="1:62" ht="38.1" customHeight="1" x14ac:dyDescent="0.25">
      <c r="A17" s="104" t="s">
        <v>221</v>
      </c>
      <c r="B17" s="30" t="str">
        <f>CONCATENATE(IF(Berechnung3!$H$14=Berechnung2!$L$62,Berechnung3!$B$2,""),IF(Berechnung3!$H$15=Berechnung2!$L$62,Berechnung3!$B$3,""),IF(Berechnung3!$H$16=Berechnung2!$L$62,Berechnung3!$B$4,""),IF(Berechnung3!$H$17=Berechnung2!$L$62,Berechnung3!$B$5,""),IF(Berechnung3!$H$18=Berechnung2!$L$62,Berechnung3!$B$6,""))</f>
        <v/>
      </c>
      <c r="C17" s="30">
        <f>IF(LEN(B17)&gt;0,"X",0)</f>
        <v>0</v>
      </c>
      <c r="D17" s="30" t="str">
        <f>IF(COUNTIF(Berechnung3!$H$14:$H$18,Berechnung2!$L$62)&gt;0,CONCATENATE(Berechnung2!$E$5,"                                     ",Berechnung2!$L$62),"")</f>
        <v/>
      </c>
      <c r="E17" s="47" t="str">
        <f>IF(COUNTIF(Berechnung3!$H$14:$H$18,Berechnung2!$L$62)&gt;0,"c","")</f>
        <v/>
      </c>
      <c r="G17" s="148" t="e">
        <f t="array" ref="G17">INDEX(B:B,SMALL(IF($C$15:$C$24="X",ROW($15:$24)),3))</f>
        <v>#NUM!</v>
      </c>
      <c r="H17" s="148" t="e">
        <f t="array" ref="H17">INDEX(D:D,SMALL(IF($C$15:$C$24="X",ROW($15:$24)),3))</f>
        <v>#NUM!</v>
      </c>
      <c r="I17" s="47" t="e">
        <f t="array" ref="I17">INDEX(E:E,SMALL(IF($C$15:$C$24="X",ROW($15:$24)),3))</f>
        <v>#NUM!</v>
      </c>
      <c r="J17" s="193" t="e">
        <f>IF(AND(Datendefizite_Matrix_Lunge!C21="",I17&lt;&gt;""),"Anmerkung OnkoZert : Keine Erläuterung vorhanden",Datendefizite_Matrix_Lunge!C21)</f>
        <v>#NUM!</v>
      </c>
      <c r="AI17" s="176"/>
    </row>
    <row r="18" spans="1:62" ht="38.1" customHeight="1" x14ac:dyDescent="0.25">
      <c r="A18" s="191" t="s">
        <v>464</v>
      </c>
      <c r="B18" s="30" t="s">
        <v>1041</v>
      </c>
      <c r="C18" s="30">
        <f>IF(LEN(D18)&gt;0,"X",0)</f>
        <v>0</v>
      </c>
      <c r="D18" s="30" t="str">
        <f>IF(COUNTIF(Berechnung3!$H$19,Berechnung2!$L$58)&gt;0,CONCATENATE(Berechnung2!$D$5,"                                     ",Berechnung2!$L$58),"")</f>
        <v/>
      </c>
      <c r="E18" s="47" t="str">
        <f>IF(COUNTIF(Berechnung3!$H$19,Berechnung2!$L$58)&gt;0,"d","")</f>
        <v/>
      </c>
      <c r="G18" s="148" t="e">
        <f t="array" ref="G18">INDEX(B:B,SMALL(IF($C$15:$C$24="X",ROW($15:$24)),4))</f>
        <v>#NUM!</v>
      </c>
      <c r="H18" s="148" t="e">
        <f t="array" ref="H18">INDEX(D:D,SMALL(IF($C$15:$C$24="X",ROW($15:$24)),4))</f>
        <v>#NUM!</v>
      </c>
      <c r="I18" s="47" t="e">
        <f t="array" ref="I18">INDEX(E:E,SMALL(IF($C$15:$C$24="X",ROW($15:$24)),4))</f>
        <v>#NUM!</v>
      </c>
      <c r="J18" s="193" t="e">
        <f>IF(AND(Datendefizite_Matrix_Lunge!C22="",I18&lt;&gt;""),"Anmerkung OnkoZert : Keine Erläuterung vorhanden",Datendefizite_Matrix_Lunge!C22)</f>
        <v>#NUM!</v>
      </c>
      <c r="AI18" s="176"/>
      <c r="BJ18" s="177"/>
    </row>
    <row r="19" spans="1:62" ht="38.1" customHeight="1" x14ac:dyDescent="0.25">
      <c r="A19" s="104" t="s">
        <v>222</v>
      </c>
      <c r="B19" s="30" t="str">
        <f>CONCATENATE(IF(Berechnung3!$H$20=Berechnung2!$L$55,Berechnung3!$B$2,""),IF(Berechnung3!$H$21=Berechnung2!$L$55,Berechnung3!$B$3,""),IF(Berechnung3!$H$22=Berechnung2!$L$55,Berechnung3!$B$4,""),IF(Berechnung3!$H$23=Berechnung2!$L$55,Berechnung3!$B$5,""),IF(Berechnung3!$H$24=Berechnung2!$L$55,Berechnung3!$B$6,""),IF(Berechnung3!$H$25=Berechnung2!$L$55,Berechnung3!$B$7,""),IF(Berechnung3!$H$26=Berechnung2!$L$55,Berechnung3!$B$8,""))</f>
        <v/>
      </c>
      <c r="C19" s="30">
        <f>IF(LEN(B19)&gt;0,"X",0)</f>
        <v>0</v>
      </c>
      <c r="D19" s="30" t="str">
        <f>IF(COUNTIF(Berechnung3!$H$20:$H$26,Berechnung2!$L$55)&gt;0,CONCATENATE(Berechnung2!$C$5,"                                     ",Berechnung2!$L$55),"")</f>
        <v/>
      </c>
      <c r="E19" s="47" t="str">
        <f>IF(COUNTIF(Berechnung3!$H$20:$H$26,Berechnung2!$L$55)&gt;0,"e","")</f>
        <v/>
      </c>
      <c r="G19" s="148" t="e">
        <f t="array" ref="G19">INDEX(B:B,SMALL(IF($C$15:$C$24="X",ROW($15:$24)),5))</f>
        <v>#NUM!</v>
      </c>
      <c r="H19" s="148" t="e">
        <f t="array" ref="H19">INDEX(D:D,SMALL(IF($C$15:$C$24="X",ROW($15:$24)),5))</f>
        <v>#NUM!</v>
      </c>
      <c r="I19" s="47" t="e">
        <f t="array" ref="I19">INDEX(E:E,SMALL(IF($C$15:$C$24="X",ROW($15:$24)),5))</f>
        <v>#NUM!</v>
      </c>
      <c r="J19" s="193" t="e">
        <f>IF(AND(Datendefizite_Matrix_Lunge!C23="",I19&lt;&gt;""),"Anmerkung OnkoZert : Keine Erläuterung vorhanden",Datendefizite_Matrix_Lunge!C23)</f>
        <v>#NUM!</v>
      </c>
    </row>
    <row r="20" spans="1:62" ht="38.1" customHeight="1" x14ac:dyDescent="0.25">
      <c r="A20" s="191" t="s">
        <v>465</v>
      </c>
      <c r="B20" s="30" t="s">
        <v>1041</v>
      </c>
      <c r="C20" s="30">
        <f>IF(LEN(D20)&gt;0,"X",0)</f>
        <v>0</v>
      </c>
      <c r="D20" s="30" t="str">
        <f>IF(COUNTIF(Berechnung3!$H$27,Berechnung2!$L$59),CONCATENATE(Berechnung2!$C$5,"                                     ",Berechnung2!$L$59),"")</f>
        <v/>
      </c>
      <c r="E20" s="47" t="str">
        <f>IF(COUNTIF(Berechnung3!$H$27,Berechnung2!$L$59)&gt;0,"f","")</f>
        <v/>
      </c>
      <c r="G20" s="148" t="e">
        <f t="array" ref="G20">INDEX(B:B,SMALL(IF($C$15:$C$24="X",ROW($15:$24)),6))</f>
        <v>#NUM!</v>
      </c>
      <c r="H20" s="148" t="e">
        <f t="array" ref="H20">INDEX(D:D,SMALL(IF($C$15:$C$24="X",ROW($15:$24)),6))</f>
        <v>#NUM!</v>
      </c>
      <c r="I20" s="47" t="e">
        <f t="array" ref="I20">INDEX(E:E,SMALL(IF($C$15:$C$24="X",ROW($15:$24)),6))</f>
        <v>#NUM!</v>
      </c>
      <c r="J20" s="193" t="e">
        <f>IF(AND(Datendefizite_Matrix_Lunge!C24="",I20&lt;&gt;""),"Anmerkung OnkoZert : Keine Erläuterung vorhanden",Datendefizite_Matrix_Lunge!C24)</f>
        <v>#NUM!</v>
      </c>
    </row>
    <row r="21" spans="1:62" ht="41.25" customHeight="1" x14ac:dyDescent="0.25">
      <c r="A21" s="104" t="s">
        <v>223</v>
      </c>
      <c r="B21" s="30" t="str">
        <f>CONCATENATE(IF(Berechnung3!$H$28=Berechnung2!$L$57,Berechnung3!$B$2,""),IF(Berechnung3!$H$29=Berechnung2!$L$57,Berechnung3!$B$3,""),IF(Berechnung3!$H$30=Berechnung2!$L$57,Berechnung3!$B$4,""),IF(Berechnung3!$H$31=Berechnung2!$L$57,Berechnung3!$B$5,""),IF(Berechnung3!$H$32=Berechnung2!$L$57,Berechnung3!$B$6,""))</f>
        <v/>
      </c>
      <c r="C21" s="30">
        <f>IF(LEN(B21)&gt;0,"X",0)</f>
        <v>0</v>
      </c>
      <c r="D21" s="30" t="str">
        <f>IF(COUNTIF(Berechnung3!H28:H32,Berechnung2!$L$57)&gt;0,CONCATENATE(Berechnung2!$C$5,"                                     ",Berechnung2!$L$57),"")</f>
        <v/>
      </c>
      <c r="E21" s="47" t="str">
        <f>IF(COUNTIF(Berechnung3!$H$28:$H$32,Berechnung2!$L$57)&gt;0,"g","")</f>
        <v/>
      </c>
      <c r="G21" s="148" t="e">
        <f t="array" ref="G21">INDEX(B:B,SMALL(IF($C$15:$C$24="X",ROW($15:$24)),7))</f>
        <v>#NUM!</v>
      </c>
      <c r="H21" s="148" t="e">
        <f t="array" ref="H21">INDEX(D:D,SMALL(IF($C$15:$C$24="X",ROW($15:$24)),7))</f>
        <v>#NUM!</v>
      </c>
      <c r="I21" s="47" t="e">
        <f t="array" ref="I21">INDEX(E:E,SMALL(IF($C$15:$C$24="X",ROW($15:$24)),7))</f>
        <v>#NUM!</v>
      </c>
      <c r="J21" s="193" t="e">
        <f>IF(AND(Datendefizite_Matrix_Lunge!C25="",I21&lt;&gt;""),"Anmerkung OnkoZert : Keine Erläuterung vorhanden",Datendefizite_Matrix_Lunge!C25)</f>
        <v>#NUM!</v>
      </c>
    </row>
    <row r="22" spans="1:62" ht="49.5" customHeight="1" x14ac:dyDescent="0.25">
      <c r="A22" s="104" t="s">
        <v>224</v>
      </c>
      <c r="B22" s="30" t="str">
        <f>CONCATENATE(IF(Berechnung3!$H$33=Berechnung2!$L$53,Berechnung3!$B$2,""),IF(Berechnung3!$H$34=Berechnung2!$L$53,Berechnung3!$B$3,""),IF(Berechnung3!$H$35=Berechnung2!$L$53,Berechnung3!$B$4,""),IF(Berechnung3!$H$36=Berechnung2!$L$53,Berechnung3!$B$5,""),IF(Berechnung3!$H$37=Berechnung2!$L$53,Berechnung3!$B$6,""))</f>
        <v/>
      </c>
      <c r="C22" s="30">
        <f>IF(LEN(B22)&gt;0,"X",0)</f>
        <v>0</v>
      </c>
      <c r="D22" s="30" t="str">
        <f>IF(COUNTIF(Berechnung3!$H$33:$H$37,Berechnung2!$L$53)&gt;0,CONCATENATE(Berechnung2!$C$5,"                                     ",Berechnung2!$L$53),"")</f>
        <v/>
      </c>
      <c r="E22" s="47" t="str">
        <f>IF(COUNTIF(Berechnung3!$H$33:$H$37,Berechnung2!$L$53)&gt;0,"h","")</f>
        <v/>
      </c>
      <c r="G22" s="148" t="e">
        <f t="array" ref="G22">INDEX(B:B,SMALL(IF($C$15:$C$24="X",ROW($15:$24)),8))</f>
        <v>#NUM!</v>
      </c>
      <c r="H22" s="148" t="e">
        <f t="array" ref="H22">INDEX(D:D,SMALL(IF($C$15:$C$24="X",ROW($15:$24)),8))</f>
        <v>#NUM!</v>
      </c>
      <c r="I22" s="47" t="e">
        <f t="array" ref="I22">INDEX(E:E,SMALL(IF($C$15:$C$24="X",ROW($15:$24)),8))</f>
        <v>#NUM!</v>
      </c>
      <c r="J22" s="193" t="e">
        <f>IF(AND(Datendefizite_Matrix_Lunge!C26="",I22&lt;&gt;""),"Anmerkung OnkoZert : Keine Erläuterung vorhanden",Datendefizite_Matrix_Lunge!C26)</f>
        <v>#NUM!</v>
      </c>
    </row>
    <row r="23" spans="1:62" ht="38.1" customHeight="1" x14ac:dyDescent="0.25">
      <c r="A23" s="104" t="s">
        <v>190</v>
      </c>
      <c r="B23" s="30" t="str">
        <f>CONCATENATE(IF(Berechnung3!$H$38=Berechnung2!$L$67,Berechnung3!$B$2,""),IF(Berechnung3!$H$39=Berechnung2!$L$67,Berechnung3!$B$3,""),IF(Berechnung3!$H$40=Berechnung2!$L$67,Berechnung3!$B$4,""),IF(Berechnung3!$H$41=Berechnung2!$L$67,Berechnung3!$B$5,""),IF(Berechnung3!$H$42=Berechnung2!$L$67,Berechnung3!$B$6,""))</f>
        <v/>
      </c>
      <c r="C23" s="30">
        <f>IF(LEN(B23)&gt;0,"X",0)</f>
        <v>0</v>
      </c>
      <c r="D23" s="30" t="str">
        <f>IF(COUNTIF(Berechnung3!$H$38:$H$42,Berechnung2!$L$67)&gt;0,CONCATENATE(Berechnung2!$C$5,"                  ",Berechnung2!$L$67),"")</f>
        <v/>
      </c>
      <c r="E23" s="47" t="str">
        <f>IF(COUNTIF(Berechnung3!$H$38:$H$42,Berechnung2!$L$67)&gt;0,"i","")</f>
        <v/>
      </c>
      <c r="G23" s="148" t="e">
        <f t="array" ref="G23">INDEX(B:B,SMALL(IF($C$15:$C$24="X",ROW($15:$24)),9))</f>
        <v>#NUM!</v>
      </c>
      <c r="H23" s="148" t="e">
        <f t="array" ref="H23">INDEX(D:D,SMALL(IF($C$15:$C$24="X",ROW($15:$24)),9))</f>
        <v>#NUM!</v>
      </c>
      <c r="I23" s="47" t="e">
        <f t="array" ref="I23">INDEX(E:E,SMALL(IF($C$15:$C$24="X",ROW($15:$24)),9))</f>
        <v>#NUM!</v>
      </c>
      <c r="J23" s="193" t="e">
        <f>IF(AND(Datendefizite_Matrix_Lunge!C27="",I23&lt;&gt;""),"Anmerkung OnkoZert : Keine Erläuterung vorhanden",Datendefizite_Matrix_Lunge!C27)</f>
        <v>#NUM!</v>
      </c>
    </row>
    <row r="24" spans="1:62" ht="38.1" customHeight="1" x14ac:dyDescent="0.25">
      <c r="A24" s="104" t="s">
        <v>111</v>
      </c>
      <c r="B24" s="30" t="str">
        <f>CONCATENATE(IF(Berechnung3!$H$43=Berechnung2!$L$76,Berechnung3!$B$2,""),IF(Berechnung3!$H$44=Berechnung2!$L$76,Berechnung3!$B$3,""),IF(Berechnung3!$H$45=Berechnung2!$L$76,Berechnung3!$B$4,""),IF(Berechnung3!$H$46=Berechnung2!$L$76,Berechnung3!$B$5,""),IF(Berechnung3!$H$47=Berechnung2!$L$76,Berechnung3!$B$6,""))</f>
        <v/>
      </c>
      <c r="C24" s="30">
        <f>IF(LEN(B24)&gt;0,"X",0)</f>
        <v>0</v>
      </c>
      <c r="D24" s="30" t="str">
        <f>IF(COUNTIF(Berechnung3!$H$43:$H$47,Berechnung2!$L$76)&gt;0,CONCATENATE(Berechnung2!$C$5,"                 ",Berechnung2!$L$76),"")</f>
        <v/>
      </c>
      <c r="E24" s="47" t="str">
        <f>IF(COUNTIF(Berechnung3!$H$43:$H$47,Berechnung2!$L$76)&gt;0,"j","")</f>
        <v/>
      </c>
      <c r="G24" s="148" t="e">
        <f t="array" ref="G24">INDEX(B:B,SMALL(IF($C$15:$C$24="X",ROW($15:$24)),10))</f>
        <v>#NUM!</v>
      </c>
      <c r="H24" s="148" t="e">
        <f t="array" ref="H24">INDEX(D:D,SMALL(IF($C$15:$C$24="X",ROW($15:$24)),10))</f>
        <v>#NUM!</v>
      </c>
      <c r="I24" s="47" t="e">
        <f t="array" ref="I24">INDEX(E:E,SMALL(IF($C$15:$C$24="X",ROW($15:$24)),10))</f>
        <v>#NUM!</v>
      </c>
      <c r="J24" s="193" t="e">
        <f>IF(AND(Datendefizite_Matrix_Lunge!C28="",I24&lt;&gt;""),"Anmerkung OnkoZert : Keine Erläuterung vorhanden",Datendefizite_Matrix_Lunge!C28)</f>
        <v>#NUM!</v>
      </c>
    </row>
    <row r="25" spans="1:62" x14ac:dyDescent="0.25">
      <c r="A25" s="176"/>
      <c r="F25" s="189"/>
      <c r="G25" s="189"/>
      <c r="H25" s="32"/>
      <c r="I25" s="32"/>
    </row>
    <row r="26" spans="1:62" x14ac:dyDescent="0.25">
      <c r="G26" s="32"/>
      <c r="H26" s="32"/>
    </row>
    <row r="49" spans="1:16" s="159" customFormat="1" x14ac:dyDescent="0.25">
      <c r="B49" s="119" t="s">
        <v>201</v>
      </c>
      <c r="J49" s="157"/>
      <c r="N49" s="157"/>
    </row>
    <row r="50" spans="1:16" x14ac:dyDescent="0.25">
      <c r="A50" s="159"/>
      <c r="B50" s="190" t="s">
        <v>213</v>
      </c>
      <c r="C50" s="190"/>
      <c r="D50" s="190"/>
      <c r="E50" s="126"/>
      <c r="F50" s="134" t="s">
        <v>211</v>
      </c>
      <c r="G50" s="126"/>
      <c r="H50" s="126"/>
      <c r="I50" s="126"/>
      <c r="J50" s="194"/>
      <c r="K50" s="190"/>
      <c r="L50" s="190" t="s">
        <v>3</v>
      </c>
      <c r="M50" s="190"/>
      <c r="N50" s="309" t="s">
        <v>4</v>
      </c>
      <c r="O50" s="190"/>
      <c r="P50" s="159"/>
    </row>
    <row r="51" spans="1:16" x14ac:dyDescent="0.25">
      <c r="A51" s="159"/>
      <c r="B51" s="184" t="s">
        <v>404</v>
      </c>
      <c r="C51" s="190"/>
      <c r="D51" s="158" t="s">
        <v>214</v>
      </c>
      <c r="E51" s="126"/>
      <c r="F51" s="127"/>
      <c r="G51" s="126"/>
      <c r="H51" s="126"/>
      <c r="I51" s="126" t="s">
        <v>403</v>
      </c>
      <c r="J51" s="233" t="str">
        <f>Basisdaten_Lunge!$K$33</f>
        <v/>
      </c>
      <c r="K51" s="190"/>
      <c r="L51" s="184" t="s">
        <v>402</v>
      </c>
      <c r="M51" s="184"/>
      <c r="N51" s="193"/>
      <c r="O51" s="184"/>
      <c r="P51" s="159"/>
    </row>
    <row r="52" spans="1:16" x14ac:dyDescent="0.25">
      <c r="B52" s="158"/>
      <c r="C52" s="158"/>
      <c r="D52" s="158" t="s">
        <v>216</v>
      </c>
      <c r="E52" s="136"/>
      <c r="F52" s="135"/>
      <c r="G52" s="136"/>
      <c r="H52" s="136"/>
      <c r="I52" s="136"/>
      <c r="J52" s="195"/>
      <c r="K52" s="136"/>
      <c r="L52" s="184" t="s">
        <v>381</v>
      </c>
      <c r="M52" s="184"/>
      <c r="N52" s="193"/>
      <c r="O52" s="158"/>
      <c r="P52" s="159"/>
    </row>
    <row r="53" spans="1:16" s="322" customFormat="1" x14ac:dyDescent="0.25">
      <c r="B53" s="323" t="s">
        <v>200</v>
      </c>
      <c r="C53" s="323"/>
      <c r="D53" s="323" t="s">
        <v>214</v>
      </c>
      <c r="E53" s="324" t="s">
        <v>389</v>
      </c>
      <c r="F53" s="325">
        <v>-1</v>
      </c>
      <c r="G53" s="325">
        <v>-1</v>
      </c>
      <c r="H53" s="325">
        <v>-1</v>
      </c>
      <c r="I53" s="325">
        <v>-1</v>
      </c>
      <c r="J53" s="326">
        <v>-1</v>
      </c>
      <c r="K53" s="324"/>
      <c r="L53" s="327" t="s">
        <v>229</v>
      </c>
      <c r="M53" s="327"/>
      <c r="N53" s="328"/>
      <c r="O53" s="323"/>
      <c r="P53" s="329"/>
    </row>
    <row r="54" spans="1:16" x14ac:dyDescent="0.25">
      <c r="B54" s="158" t="s">
        <v>204</v>
      </c>
      <c r="C54" s="158"/>
      <c r="D54" s="158" t="s">
        <v>191</v>
      </c>
      <c r="E54" s="136" t="s">
        <v>196</v>
      </c>
      <c r="F54" s="138">
        <v>0</v>
      </c>
      <c r="G54" s="138">
        <v>0</v>
      </c>
      <c r="H54" s="138"/>
      <c r="I54" s="136"/>
      <c r="J54" s="195">
        <v>1</v>
      </c>
      <c r="K54" s="136"/>
      <c r="L54" s="184"/>
      <c r="M54" s="184"/>
      <c r="N54" s="193"/>
      <c r="O54" s="158"/>
      <c r="P54" s="159"/>
    </row>
    <row r="55" spans="1:16" x14ac:dyDescent="0.25">
      <c r="B55" s="158" t="s">
        <v>205</v>
      </c>
      <c r="C55" s="158"/>
      <c r="D55" s="158" t="s">
        <v>214</v>
      </c>
      <c r="E55" s="136" t="s">
        <v>197</v>
      </c>
      <c r="F55" s="136"/>
      <c r="G55" s="136">
        <v>150</v>
      </c>
      <c r="H55" s="136"/>
      <c r="I55" s="136"/>
      <c r="J55" s="195"/>
      <c r="K55" s="136"/>
      <c r="L55" s="184" t="s">
        <v>230</v>
      </c>
      <c r="M55" s="184"/>
      <c r="N55" s="193"/>
      <c r="O55" s="158"/>
      <c r="P55" s="159"/>
    </row>
    <row r="56" spans="1:16" x14ac:dyDescent="0.25">
      <c r="B56" s="158" t="s">
        <v>206</v>
      </c>
      <c r="C56" s="158"/>
      <c r="D56" s="158" t="s">
        <v>191</v>
      </c>
      <c r="E56" s="136"/>
      <c r="F56" s="136"/>
      <c r="G56" s="136"/>
      <c r="H56" s="136"/>
      <c r="I56" s="136"/>
      <c r="J56" s="195"/>
      <c r="K56" s="136"/>
      <c r="L56" s="184" t="s">
        <v>246</v>
      </c>
      <c r="M56" s="184"/>
      <c r="N56" s="193" t="s">
        <v>9</v>
      </c>
      <c r="O56" s="158"/>
      <c r="P56" s="159"/>
    </row>
    <row r="57" spans="1:16" x14ac:dyDescent="0.25">
      <c r="B57" s="158" t="s">
        <v>400</v>
      </c>
      <c r="C57" s="158"/>
      <c r="D57" s="158" t="s">
        <v>214</v>
      </c>
      <c r="E57" s="136" t="s">
        <v>197</v>
      </c>
      <c r="F57" s="138">
        <v>0</v>
      </c>
      <c r="G57" s="138">
        <v>0</v>
      </c>
      <c r="H57" s="138"/>
      <c r="I57" s="137">
        <v>0.39999000000000001</v>
      </c>
      <c r="J57" s="195">
        <v>0.39999000000000001</v>
      </c>
      <c r="K57" s="136"/>
      <c r="L57" s="184" t="s">
        <v>388</v>
      </c>
      <c r="M57" s="184"/>
      <c r="N57" s="193"/>
      <c r="O57" s="158"/>
      <c r="P57" s="159"/>
    </row>
    <row r="58" spans="1:16" x14ac:dyDescent="0.25">
      <c r="B58" s="184" t="s">
        <v>1048</v>
      </c>
      <c r="C58" s="158"/>
      <c r="D58" s="158" t="s">
        <v>215</v>
      </c>
      <c r="E58" s="136" t="s">
        <v>197</v>
      </c>
      <c r="F58" s="138">
        <v>0</v>
      </c>
      <c r="G58" s="138">
        <v>0</v>
      </c>
      <c r="H58" s="138"/>
      <c r="I58" s="137">
        <v>0.79998999999999998</v>
      </c>
      <c r="J58" s="196">
        <v>0.79998999999999998</v>
      </c>
      <c r="K58" s="136"/>
      <c r="L58" s="184" t="s">
        <v>524</v>
      </c>
      <c r="M58" s="184"/>
      <c r="N58" s="193"/>
      <c r="O58" s="158"/>
      <c r="P58" s="159"/>
    </row>
    <row r="59" spans="1:16" x14ac:dyDescent="0.25">
      <c r="B59" s="184" t="s">
        <v>1049</v>
      </c>
      <c r="C59" s="158"/>
      <c r="D59" s="158" t="s">
        <v>214</v>
      </c>
      <c r="E59" s="136" t="s">
        <v>196</v>
      </c>
      <c r="F59" s="137"/>
      <c r="G59" s="138">
        <v>0</v>
      </c>
      <c r="H59" s="138">
        <v>0.95001000000000002</v>
      </c>
      <c r="I59" s="137">
        <v>1</v>
      </c>
      <c r="J59" s="195">
        <v>0.95001000000000002</v>
      </c>
      <c r="K59" s="136"/>
      <c r="L59" s="184" t="s">
        <v>401</v>
      </c>
      <c r="M59" s="184"/>
      <c r="N59" s="193"/>
      <c r="O59" s="158"/>
      <c r="P59" s="159"/>
    </row>
    <row r="60" spans="1:16" x14ac:dyDescent="0.25">
      <c r="B60" s="158" t="s">
        <v>207</v>
      </c>
      <c r="C60" s="158"/>
      <c r="D60" s="158" t="s">
        <v>191</v>
      </c>
      <c r="E60" s="136"/>
      <c r="F60" s="136"/>
      <c r="G60" s="136"/>
      <c r="H60" s="136"/>
      <c r="I60" s="136"/>
      <c r="J60" s="195"/>
      <c r="K60" s="136"/>
      <c r="L60" s="184" t="s">
        <v>387</v>
      </c>
      <c r="M60" s="184"/>
      <c r="N60" s="193"/>
      <c r="O60" s="158"/>
      <c r="P60" s="159"/>
    </row>
    <row r="61" spans="1:16" x14ac:dyDescent="0.25">
      <c r="B61" s="158"/>
      <c r="C61" s="158"/>
      <c r="D61" s="158"/>
      <c r="E61" s="136"/>
      <c r="F61" s="136"/>
      <c r="G61" s="136"/>
      <c r="H61" s="136"/>
      <c r="I61" s="136"/>
      <c r="J61" s="195"/>
      <c r="K61" s="136"/>
      <c r="L61" s="184"/>
      <c r="M61" s="184"/>
      <c r="N61" s="193"/>
      <c r="O61" s="158"/>
      <c r="P61" s="159"/>
    </row>
    <row r="62" spans="1:16" ht="33.75" x14ac:dyDescent="0.25">
      <c r="B62" s="158" t="s">
        <v>208</v>
      </c>
      <c r="C62" s="158"/>
      <c r="D62" s="158" t="s">
        <v>191</v>
      </c>
      <c r="E62" s="136" t="s">
        <v>197</v>
      </c>
      <c r="F62" s="136"/>
      <c r="G62" s="136">
        <v>0</v>
      </c>
      <c r="H62" s="136"/>
      <c r="I62" s="136"/>
      <c r="J62" s="195"/>
      <c r="K62" s="136"/>
      <c r="L62" s="184" t="s">
        <v>386</v>
      </c>
      <c r="M62" s="184"/>
      <c r="N62" s="193" t="s">
        <v>773</v>
      </c>
      <c r="O62" s="158"/>
      <c r="P62" s="159"/>
    </row>
    <row r="63" spans="1:16" x14ac:dyDescent="0.25">
      <c r="A63" s="159"/>
      <c r="B63" s="158"/>
      <c r="C63" s="158"/>
      <c r="D63" s="158"/>
      <c r="E63" s="136"/>
      <c r="F63" s="136"/>
      <c r="G63" s="136"/>
      <c r="H63" s="136"/>
      <c r="I63" s="136"/>
      <c r="J63" s="197"/>
      <c r="K63" s="158"/>
      <c r="L63" s="184"/>
      <c r="M63" s="184"/>
      <c r="N63" s="193"/>
      <c r="O63" s="158"/>
      <c r="P63" s="159"/>
    </row>
    <row r="64" spans="1:16" ht="22.5" x14ac:dyDescent="0.25">
      <c r="A64" s="159"/>
      <c r="B64" s="158" t="s">
        <v>190</v>
      </c>
      <c r="C64" s="158"/>
      <c r="D64" s="158"/>
      <c r="E64" s="136" t="s">
        <v>212</v>
      </c>
      <c r="F64" s="136"/>
      <c r="G64" s="136" t="s">
        <v>209</v>
      </c>
      <c r="H64" s="136"/>
      <c r="I64" s="136"/>
      <c r="J64" s="197" t="s">
        <v>210</v>
      </c>
      <c r="K64" s="158"/>
      <c r="L64" s="184"/>
      <c r="M64" s="184"/>
      <c r="N64" s="193" t="s">
        <v>382</v>
      </c>
      <c r="O64" s="190"/>
      <c r="P64" s="159"/>
    </row>
    <row r="65" spans="1:16" x14ac:dyDescent="0.25">
      <c r="A65" s="159"/>
      <c r="B65" s="158"/>
      <c r="C65" s="138"/>
      <c r="D65" s="138"/>
      <c r="E65" s="138"/>
      <c r="F65" s="137"/>
      <c r="G65" s="138"/>
      <c r="H65" s="139"/>
      <c r="I65" s="137"/>
      <c r="J65" s="196"/>
      <c r="K65" s="158"/>
      <c r="L65" s="184"/>
      <c r="M65" s="184"/>
      <c r="N65" s="193"/>
      <c r="O65" s="158"/>
      <c r="P65" s="159"/>
    </row>
    <row r="66" spans="1:16" x14ac:dyDescent="0.25">
      <c r="A66" s="159"/>
      <c r="B66" s="345">
        <v>2016</v>
      </c>
      <c r="C66" s="138"/>
      <c r="D66" s="138"/>
      <c r="E66" s="138"/>
      <c r="F66" s="137"/>
      <c r="G66" s="138"/>
      <c r="H66" s="139"/>
      <c r="I66" s="137"/>
      <c r="J66" s="196"/>
      <c r="K66" s="158"/>
      <c r="L66" s="184"/>
      <c r="M66" s="184"/>
      <c r="N66" s="193"/>
      <c r="O66" s="158"/>
      <c r="P66" s="159"/>
    </row>
    <row r="67" spans="1:16" x14ac:dyDescent="0.25">
      <c r="A67" s="159"/>
      <c r="B67" s="345">
        <v>2017</v>
      </c>
      <c r="C67" s="138"/>
      <c r="D67" s="138"/>
      <c r="E67" s="138"/>
      <c r="F67" s="137"/>
      <c r="G67" s="138"/>
      <c r="H67" s="139"/>
      <c r="I67" s="137"/>
      <c r="J67" s="196"/>
      <c r="K67" s="158"/>
      <c r="L67" s="184" t="s">
        <v>234</v>
      </c>
      <c r="M67" s="184" t="s">
        <v>234</v>
      </c>
      <c r="N67" s="193"/>
      <c r="O67" s="158"/>
      <c r="P67" s="159"/>
    </row>
    <row r="68" spans="1:16" x14ac:dyDescent="0.25">
      <c r="A68" s="159"/>
      <c r="B68" s="345">
        <v>2018</v>
      </c>
      <c r="C68" s="138"/>
      <c r="D68" s="138"/>
      <c r="E68" s="138"/>
      <c r="F68" s="137"/>
      <c r="G68" s="138"/>
      <c r="H68" s="139"/>
      <c r="I68" s="137"/>
      <c r="J68" s="196"/>
      <c r="K68" s="158"/>
      <c r="L68" s="184" t="s">
        <v>234</v>
      </c>
      <c r="M68" s="184" t="s">
        <v>234</v>
      </c>
      <c r="N68" s="193"/>
      <c r="O68" s="158"/>
      <c r="P68" s="159"/>
    </row>
    <row r="69" spans="1:16" x14ac:dyDescent="0.25">
      <c r="A69" s="159"/>
      <c r="B69" s="345">
        <v>2019</v>
      </c>
      <c r="C69" s="138"/>
      <c r="D69" s="138"/>
      <c r="E69" s="138"/>
      <c r="F69" s="137"/>
      <c r="G69" s="138"/>
      <c r="H69" s="139"/>
      <c r="I69" s="137"/>
      <c r="J69" s="196"/>
      <c r="K69" s="158"/>
      <c r="L69" s="184" t="s">
        <v>234</v>
      </c>
      <c r="M69" s="184" t="s">
        <v>234</v>
      </c>
      <c r="N69" s="193"/>
      <c r="O69" s="158"/>
      <c r="P69" s="159"/>
    </row>
    <row r="70" spans="1:16" x14ac:dyDescent="0.25">
      <c r="A70" s="159"/>
      <c r="B70" s="345">
        <v>2020</v>
      </c>
      <c r="C70" s="138"/>
      <c r="D70" s="138"/>
      <c r="E70" s="138">
        <v>0</v>
      </c>
      <c r="F70" s="137">
        <v>0.2999</v>
      </c>
      <c r="G70" s="137">
        <v>0.2999</v>
      </c>
      <c r="H70" s="139"/>
      <c r="I70" s="137">
        <v>0.70001000000000002</v>
      </c>
      <c r="J70" s="195">
        <v>0.70001000000000002</v>
      </c>
      <c r="K70" s="158"/>
      <c r="L70" s="184" t="s">
        <v>234</v>
      </c>
      <c r="M70" s="184" t="s">
        <v>234</v>
      </c>
      <c r="N70" s="193"/>
      <c r="O70" s="158"/>
      <c r="P70" s="159"/>
    </row>
    <row r="71" spans="1:16" x14ac:dyDescent="0.25">
      <c r="A71" s="159"/>
      <c r="B71" s="345"/>
      <c r="C71" s="138"/>
      <c r="D71" s="138"/>
      <c r="E71" s="138"/>
      <c r="F71" s="137"/>
      <c r="G71" s="137"/>
      <c r="H71" s="139"/>
      <c r="I71" s="137"/>
      <c r="J71" s="195"/>
      <c r="K71" s="158"/>
      <c r="L71" s="184"/>
      <c r="M71" s="184"/>
      <c r="N71" s="193"/>
      <c r="O71" s="158"/>
      <c r="P71" s="159"/>
    </row>
    <row r="72" spans="1:16" x14ac:dyDescent="0.25">
      <c r="A72" s="159"/>
      <c r="B72" s="158"/>
      <c r="C72" s="136"/>
      <c r="D72" s="136"/>
      <c r="E72" s="136"/>
      <c r="F72" s="136"/>
      <c r="G72" s="136"/>
      <c r="H72" s="136"/>
      <c r="I72" s="136"/>
      <c r="J72" s="198"/>
      <c r="K72" s="158"/>
      <c r="L72" s="184"/>
      <c r="M72" s="184"/>
      <c r="N72" s="193"/>
      <c r="O72" s="158"/>
      <c r="P72" s="159"/>
    </row>
    <row r="73" spans="1:16" x14ac:dyDescent="0.25">
      <c r="A73" s="159"/>
      <c r="B73" s="158" t="s">
        <v>111</v>
      </c>
      <c r="C73" s="136"/>
      <c r="D73" s="136"/>
      <c r="E73" s="136"/>
      <c r="F73" s="136"/>
      <c r="G73" s="136" t="s">
        <v>209</v>
      </c>
      <c r="H73" s="136"/>
      <c r="I73" s="136"/>
      <c r="J73" s="197" t="s">
        <v>210</v>
      </c>
      <c r="K73" s="158"/>
      <c r="L73" s="184"/>
      <c r="M73" s="184"/>
      <c r="N73" s="193"/>
      <c r="O73" s="158"/>
      <c r="P73" s="159"/>
    </row>
    <row r="74" spans="1:16" x14ac:dyDescent="0.25">
      <c r="A74" s="159"/>
      <c r="B74" s="158"/>
      <c r="C74" s="138"/>
      <c r="D74" s="138"/>
      <c r="E74" s="138"/>
      <c r="F74" s="137"/>
      <c r="G74" s="138"/>
      <c r="H74" s="139"/>
      <c r="I74" s="137"/>
      <c r="J74" s="196"/>
      <c r="K74" s="158"/>
      <c r="L74" s="184"/>
      <c r="M74" s="184"/>
      <c r="N74" s="193"/>
      <c r="O74" s="158"/>
      <c r="P74" s="159"/>
    </row>
    <row r="75" spans="1:16" x14ac:dyDescent="0.25">
      <c r="A75" s="159"/>
      <c r="B75" s="345">
        <v>2016</v>
      </c>
      <c r="C75" s="138"/>
      <c r="D75" s="138"/>
      <c r="E75" s="138"/>
      <c r="F75" s="137"/>
      <c r="G75" s="138"/>
      <c r="H75" s="139"/>
      <c r="I75" s="137"/>
      <c r="J75" s="196"/>
      <c r="K75" s="158"/>
      <c r="L75" s="184"/>
      <c r="M75" s="184"/>
      <c r="N75" s="193"/>
      <c r="O75" s="158"/>
      <c r="P75" s="159"/>
    </row>
    <row r="76" spans="1:16" x14ac:dyDescent="0.25">
      <c r="A76" s="159"/>
      <c r="B76" s="345">
        <v>2017</v>
      </c>
      <c r="C76" s="138"/>
      <c r="D76" s="138"/>
      <c r="E76" s="138"/>
      <c r="F76" s="137"/>
      <c r="G76" s="138"/>
      <c r="H76" s="139"/>
      <c r="I76" s="137"/>
      <c r="J76" s="196"/>
      <c r="K76" s="158"/>
      <c r="L76" s="184" t="s">
        <v>235</v>
      </c>
      <c r="M76" s="184" t="s">
        <v>235</v>
      </c>
      <c r="N76" s="193"/>
      <c r="O76" s="158"/>
      <c r="P76" s="159"/>
    </row>
    <row r="77" spans="1:16" x14ac:dyDescent="0.25">
      <c r="A77" s="159"/>
      <c r="B77" s="345">
        <v>2018</v>
      </c>
      <c r="C77" s="138"/>
      <c r="D77" s="138"/>
      <c r="E77" s="138"/>
      <c r="F77" s="137"/>
      <c r="G77" s="138"/>
      <c r="H77" s="139"/>
      <c r="I77" s="137"/>
      <c r="J77" s="196"/>
      <c r="K77" s="158"/>
      <c r="L77" s="184" t="s">
        <v>235</v>
      </c>
      <c r="M77" s="184" t="s">
        <v>235</v>
      </c>
      <c r="N77" s="193"/>
      <c r="O77" s="158"/>
      <c r="P77" s="159"/>
    </row>
    <row r="78" spans="1:16" x14ac:dyDescent="0.25">
      <c r="A78" s="159"/>
      <c r="B78" s="345">
        <v>2019</v>
      </c>
      <c r="C78" s="138"/>
      <c r="D78" s="138"/>
      <c r="E78" s="138">
        <v>0</v>
      </c>
      <c r="F78" s="137">
        <v>0.19989999999999999</v>
      </c>
      <c r="G78" s="137">
        <v>0.19989999999999999</v>
      </c>
      <c r="H78" s="139"/>
      <c r="I78" s="137">
        <v>0.50000999999999995</v>
      </c>
      <c r="J78" s="195">
        <v>0.50000999999999995</v>
      </c>
      <c r="K78" s="158"/>
      <c r="L78" s="184" t="s">
        <v>235</v>
      </c>
      <c r="M78" s="184" t="s">
        <v>235</v>
      </c>
      <c r="N78" s="193"/>
      <c r="O78" s="158"/>
      <c r="P78" s="159"/>
    </row>
    <row r="79" spans="1:16" x14ac:dyDescent="0.25">
      <c r="A79" s="159"/>
      <c r="B79" s="345">
        <v>2020</v>
      </c>
      <c r="C79" s="138"/>
      <c r="D79" s="138"/>
      <c r="E79" s="138">
        <v>0</v>
      </c>
      <c r="F79" s="137">
        <v>0.2999</v>
      </c>
      <c r="G79" s="137">
        <v>0.2999</v>
      </c>
      <c r="H79" s="139"/>
      <c r="I79" s="137">
        <v>0.60001000000000004</v>
      </c>
      <c r="J79" s="195">
        <v>0.60001000000000004</v>
      </c>
      <c r="K79" s="158"/>
      <c r="L79" s="184" t="s">
        <v>235</v>
      </c>
      <c r="M79" s="184" t="s">
        <v>235</v>
      </c>
      <c r="N79" s="193"/>
      <c r="O79" s="158"/>
      <c r="P79" s="159"/>
    </row>
    <row r="80" spans="1:16" x14ac:dyDescent="0.25">
      <c r="A80" s="159"/>
      <c r="B80" s="345"/>
      <c r="C80" s="138"/>
      <c r="D80" s="138"/>
      <c r="E80" s="138"/>
      <c r="F80" s="137"/>
      <c r="G80" s="137"/>
      <c r="H80" s="139"/>
      <c r="I80" s="137"/>
      <c r="J80" s="195"/>
      <c r="K80" s="158"/>
      <c r="L80" s="184"/>
      <c r="M80" s="184"/>
      <c r="N80" s="193"/>
      <c r="O80" s="158"/>
      <c r="P80" s="159"/>
    </row>
    <row r="81" spans="6:9" x14ac:dyDescent="0.25">
      <c r="F81" s="177"/>
      <c r="G81" s="176"/>
      <c r="I81" s="32"/>
    </row>
  </sheetData>
  <mergeCells count="4">
    <mergeCell ref="B13:B14"/>
    <mergeCell ref="C13:C14"/>
    <mergeCell ref="D13:D14"/>
    <mergeCell ref="E13:E14"/>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7"/>
  <dimension ref="A1:U53"/>
  <sheetViews>
    <sheetView topLeftCell="A15" zoomScaleNormal="100" workbookViewId="0">
      <selection activeCell="H42" sqref="H42"/>
    </sheetView>
  </sheetViews>
  <sheetFormatPr defaultColWidth="9" defaultRowHeight="11.25" x14ac:dyDescent="0.25"/>
  <cols>
    <col min="1" max="1" width="11" style="32" customWidth="1"/>
    <col min="2" max="3" width="9" style="32"/>
    <col min="4" max="4" width="21" style="32" customWidth="1"/>
    <col min="5" max="5" width="12.5703125" style="32" customWidth="1"/>
    <col min="6" max="6" width="11.85546875" style="32" customWidth="1"/>
    <col min="7" max="7" width="12.28515625" style="32" customWidth="1"/>
    <col min="8" max="8" width="63.28515625" style="32" customWidth="1"/>
    <col min="9" max="9" width="67" style="32" customWidth="1"/>
    <col min="10" max="10" width="9.7109375" style="104" customWidth="1"/>
    <col min="11" max="11" width="27.5703125" style="176" customWidth="1"/>
    <col min="12" max="12" width="14.7109375" style="191" customWidth="1"/>
    <col min="13" max="13" width="9.5703125" style="191" customWidth="1"/>
    <col min="14" max="14" width="20.42578125" style="191" customWidth="1"/>
    <col min="15" max="15" width="55.28515625" style="192" customWidth="1"/>
    <col min="16" max="16" width="61.85546875" style="192" customWidth="1"/>
    <col min="17" max="17" width="27.140625" style="32" customWidth="1"/>
    <col min="18" max="16384" width="9" style="32"/>
  </cols>
  <sheetData>
    <row r="1" spans="1:21" ht="30.75" thickBot="1" x14ac:dyDescent="0.3">
      <c r="L1" s="229" t="s">
        <v>218</v>
      </c>
      <c r="M1" s="227" t="s">
        <v>453</v>
      </c>
      <c r="N1" s="227" t="s">
        <v>467</v>
      </c>
      <c r="O1" s="229" t="s">
        <v>112</v>
      </c>
      <c r="P1" s="229" t="s">
        <v>413</v>
      </c>
    </row>
    <row r="2" spans="1:21" ht="15" customHeight="1" x14ac:dyDescent="0.25">
      <c r="A2" s="184" t="str">
        <f>IF(Datenquelle!$E$2&gt;6,IF(Datenquelle!$E$2=7,"EZ",IF(Datenquelle!$E$2&gt;7,"relevant","?")),"nicht relevant")</f>
        <v>nicht relevant</v>
      </c>
      <c r="B2" s="47" t="str">
        <f>CONCATENATE("2016;"," ")</f>
        <v xml:space="preserve">2016; </v>
      </c>
      <c r="C2" s="171"/>
      <c r="D2" s="183" t="s">
        <v>186</v>
      </c>
      <c r="E2" s="174" t="str">
        <f>IF(H2="","","2016")</f>
        <v/>
      </c>
      <c r="F2" s="174" t="str">
        <f t="shared" ref="F2:F6" si="0">IF(H2="","","a")</f>
        <v/>
      </c>
      <c r="G2" s="174" t="str">
        <f t="shared" ref="G2:G6" si="1">IF(H2="","",1)</f>
        <v/>
      </c>
      <c r="H2" s="436" t="str">
        <f>IF(A2="relevant",IF(COUNTIF(Matrix_Lunge!C23:Z23,"")&gt;4,Berechnung2!$L$52,""),"")</f>
        <v/>
      </c>
      <c r="I2" s="179" t="str">
        <f t="array" ref="I2">IF(H2="","",VLOOKUP(F2,Berechnung2!$I$15:$J$24,2,FALSE))</f>
        <v/>
      </c>
      <c r="J2" s="201" t="str">
        <f t="shared" ref="J2:J7" si="2">IF(H2&lt;&gt;"",1,"")</f>
        <v/>
      </c>
      <c r="K2" s="32"/>
      <c r="L2" s="30" t="str">
        <f t="array" aca="1" ref="L2" ca="1">IF(ROW()-ROW($F$2:$F$47)+1&gt;ROWS($E$2:$E$47)-COUNTBLANK($E$2:$E$47),"",INDIRECT(ADDRESS(SMALL((IF($E$2:$E$47&lt;&gt;"",ROW($E$2:$E$47),ROW()+ROWS($E$2:$E$47))),ROW()-ROW($F$2:$F$47)+1),COLUMN($E$2:$E$47),4)))</f>
        <v/>
      </c>
      <c r="M2" s="30" t="str">
        <f t="array" aca="1" ref="M2" ca="1">IF(ROW()-ROW($G$2:$G$47)+1&gt;ROWS($F$2:$F$47)-COUNTBLANK($F$2:$F$47),"",INDIRECT(ADDRESS(SMALL((IF($F$2:$F$47&lt;&gt;"",ROW($F$2:$F$47),ROW()+ROWS($F$2:$F$47))),ROW()-ROW($G$2:$G$47)+1),COLUMN($F$2:$F$47),4)))</f>
        <v/>
      </c>
      <c r="N2" s="30" t="str">
        <f t="array" aca="1" ref="N2" ca="1">IF(ROW()-ROW($H$2:$H$47)+1&gt;ROWS($G$2:$G$47)-COUNTBLANK($G$2:$G$47),"",INDIRECT(ADDRESS(SMALL((IF($G$2:$G$47&lt;&gt;"",ROW($G$2:$G$47),ROW()+ROWS($G$2:$G$47))),ROW()-ROW($H$2:$H$47)+1),COLUMN($G$2:$G$47),4)))</f>
        <v/>
      </c>
      <c r="O2" s="193" t="str">
        <f t="array" aca="1" ref="O2" ca="1">IF(ROW()-ROW($I$2:$I$47)+1&gt;ROWS($H$2:$H$47)-COUNTBLANK($H$2:$H$47),"",INDIRECT(ADDRESS(SMALL((IF($H$2:$H$47&lt;&gt;"",ROW($H$2:$H$47),ROW()+ROWS($H$2:$H$47))),ROW()-ROW($I$2:$I$47)+1),COLUMN($H$2:$H$47),4)))</f>
        <v/>
      </c>
      <c r="P2" s="193" t="str">
        <f t="array" aca="1" ref="P2" ca="1">IF(ROW()-ROW($J$2:$J$47)+1&gt;ROWS($I$2:$I$47)-COUNTBLANK($I$2:$I$47),"",INDIRECT(ADDRESS(SMALL((IF($I$2:$I$47&lt;&gt;"",ROW($I$2:$I$47),ROW()+ROWS($I$2:$I$47))),ROW()-ROW($J$2:$J$47)+1),COLUMN($I$2:$I$47),4)))</f>
        <v/>
      </c>
    </row>
    <row r="3" spans="1:21" ht="15" customHeight="1" x14ac:dyDescent="0.25">
      <c r="A3" s="448" t="s">
        <v>5</v>
      </c>
      <c r="B3" s="47" t="str">
        <f>CONCATENATE("2017;"," ")</f>
        <v xml:space="preserve">2017; </v>
      </c>
      <c r="C3" s="171"/>
      <c r="D3" s="922" t="s">
        <v>381</v>
      </c>
      <c r="E3" s="30" t="str">
        <f>IF(H3="","","2017")</f>
        <v/>
      </c>
      <c r="F3" s="47" t="str">
        <f t="shared" si="0"/>
        <v/>
      </c>
      <c r="G3" s="47" t="str">
        <f t="shared" si="1"/>
        <v/>
      </c>
      <c r="H3" s="435" t="str">
        <f>IF(A3="relevant",IF(COUNTIF(Matrix_Lunge!C24:Z24,"")&gt;4,Berechnung2!$L$52,""),"")</f>
        <v/>
      </c>
      <c r="I3" s="184" t="str">
        <f t="array" ref="I3">IF(H3="","",VLOOKUP(F3,Berechnung2!$I$15:$J$24,2,FALSE))</f>
        <v/>
      </c>
      <c r="J3" s="199" t="str">
        <f t="shared" si="2"/>
        <v/>
      </c>
      <c r="K3" s="32"/>
      <c r="L3" s="30" t="str">
        <f t="array" aca="1" ref="L3" ca="1">IF(ROW()-ROW($F$2:$F$47)+1&gt;ROWS($E$2:$E$47)-COUNTBLANK($E$2:$E$47),"",INDIRECT(ADDRESS(SMALL((IF($E$2:$E$47&lt;&gt;"",ROW($E$2:$E$47),ROW()+ROWS($E$2:$E$47))),ROW()-ROW($F$2:$F$47)+1),COLUMN($E$2:$E$47),4)))</f>
        <v/>
      </c>
      <c r="M3" s="30" t="str">
        <f t="array" aca="1" ref="M3" ca="1">IF(ROW()-ROW($G$2:$G$47)+1&gt;ROWS($F$2:$F$47)-COUNTBLANK($F$2:$F$47),"",INDIRECT(ADDRESS(SMALL((IF($F$2:$F$47&lt;&gt;"",ROW($F$2:$F$47),ROW()+ROWS($F$2:$F$47))),ROW()-ROW($G$2:$G$47)+1),COLUMN($F$2:$F$47),4)))</f>
        <v/>
      </c>
      <c r="N3" s="30" t="str">
        <f t="array" aca="1" ref="N3" ca="1">IF(ROW()-ROW($H$2:$H$47)+1&gt;ROWS($G$2:$G$47)-COUNTBLANK($G$2:$G$47),"",INDIRECT(ADDRESS(SMALL((IF($G$2:$G$47&lt;&gt;"",ROW($G$2:$G$47),ROW()+ROWS($G$2:$G$47))),ROW()-ROW($H$2:$H$47)+1),COLUMN($G$2:$G$47),4)))</f>
        <v/>
      </c>
      <c r="O3" s="193" t="str">
        <f t="array" aca="1" ref="O3" ca="1">IF(ROW()-ROW($I$2:$I$47)+1&gt;ROWS($H$2:$H$47)-COUNTBLANK($H$2:$H$47),"",INDIRECT(ADDRESS(SMALL((IF($H$2:$H$47&lt;&gt;"",ROW($H$2:$H$47),ROW()+ROWS($H$2:$H$47))),ROW()-ROW($I$2:$I$47)+1),COLUMN($H$2:$H$47),4)))</f>
        <v/>
      </c>
      <c r="P3" s="193" t="str">
        <f t="array" aca="1" ref="P3" ca="1">IF(ROW()-ROW($J$2:$J$47)+1&gt;ROWS($I$2:$I$47)-COUNTBLANK($I$2:$I$47),"",INDIRECT(ADDRESS(SMALL((IF($I$2:$I$47&lt;&gt;"",ROW($I$2:$I$47),ROW()+ROWS($I$2:$I$47))),ROW()-ROW($J$2:$J$47)+1),COLUMN($I$2:$I$47),4)))</f>
        <v/>
      </c>
    </row>
    <row r="4" spans="1:21" ht="15" customHeight="1" x14ac:dyDescent="0.25">
      <c r="A4" s="184" t="str">
        <f>IF(Datenquelle!$E$2&gt;4,IF(Datenquelle!$E$2=5,"EZ",IF(Datenquelle!$E$2&gt;5,"relevant","?")),"nicht relevant")</f>
        <v>nicht relevant</v>
      </c>
      <c r="B4" s="47" t="str">
        <f>CONCATENATE("2018;"," ")</f>
        <v xml:space="preserve">2018; </v>
      </c>
      <c r="C4" s="171"/>
      <c r="D4" s="922"/>
      <c r="E4" s="30" t="str">
        <f>IF(H4="","","2018")</f>
        <v/>
      </c>
      <c r="F4" s="47" t="str">
        <f t="shared" si="0"/>
        <v/>
      </c>
      <c r="G4" s="47" t="str">
        <f t="shared" si="1"/>
        <v/>
      </c>
      <c r="H4" s="435" t="str">
        <f>IF(A4="relevant",IF(COUNTIF(Matrix_Lunge!C25:Z25,"")&gt;4,Berechnung2!$L$52,""),"")</f>
        <v/>
      </c>
      <c r="I4" s="184" t="str">
        <f t="array" ref="I4">IF(H4="","",VLOOKUP(F4,Berechnung2!$I$15:$J$24,2,FALSE))</f>
        <v/>
      </c>
      <c r="J4" s="199" t="str">
        <f t="shared" si="2"/>
        <v/>
      </c>
      <c r="K4" s="32"/>
      <c r="L4" s="30" t="str">
        <f t="array" aca="1" ref="L4" ca="1">IF(ROW()-ROW($F$2:$F$47)+1&gt;ROWS($E$2:$E$47)-COUNTBLANK($E$2:$E$47),"",INDIRECT(ADDRESS(SMALL((IF($E$2:$E$47&lt;&gt;"",ROW($E$2:$E$47),ROW()+ROWS($E$2:$E$47))),ROW()-ROW($F$2:$F$47)+1),COLUMN($E$2:$E$47),4)))</f>
        <v/>
      </c>
      <c r="M4" s="30" t="str">
        <f t="array" aca="1" ref="M4" ca="1">IF(ROW()-ROW($G$2:$G$47)+1&gt;ROWS($F$2:$F$47)-COUNTBLANK($F$2:$F$47),"",INDIRECT(ADDRESS(SMALL((IF($F$2:$F$47&lt;&gt;"",ROW($F$2:$F$47),ROW()+ROWS($F$2:$F$47))),ROW()-ROW($G$2:$G$47)+1),COLUMN($F$2:$F$47),4)))</f>
        <v/>
      </c>
      <c r="N4" s="30" t="str">
        <f t="array" aca="1" ref="N4" ca="1">IF(ROW()-ROW($H$2:$H$47)+1&gt;ROWS($G$2:$G$47)-COUNTBLANK($G$2:$G$47),"",INDIRECT(ADDRESS(SMALL((IF($G$2:$G$47&lt;&gt;"",ROW($G$2:$G$47),ROW()+ROWS($G$2:$G$47))),ROW()-ROW($H$2:$H$47)+1),COLUMN($G$2:$G$47),4)))</f>
        <v/>
      </c>
      <c r="O4" s="193" t="str">
        <f t="array" aca="1" ref="O4" ca="1">IF(ROW()-ROW($I$2:$I$47)+1&gt;ROWS($H$2:$H$47)-COUNTBLANK($H$2:$H$47),"",INDIRECT(ADDRESS(SMALL((IF($H$2:$H$47&lt;&gt;"",ROW($H$2:$H$47),ROW()+ROWS($H$2:$H$47))),ROW()-ROW($I$2:$I$47)+1),COLUMN($H$2:$H$47),4)))</f>
        <v/>
      </c>
      <c r="P4" s="193" t="str">
        <f t="array" aca="1" ref="P4" ca="1">IF(ROW()-ROW($J$2:$J$47)+1&gt;ROWS($I$2:$I$47)-COUNTBLANK($I$2:$I$47),"",INDIRECT(ADDRESS(SMALL((IF($I$2:$I$47&lt;&gt;"",ROW($I$2:$I$47),ROW()+ROWS($I$2:$I$47))),ROW()-ROW($J$2:$J$47)+1),COLUMN($I$2:$I$47),4)))</f>
        <v/>
      </c>
    </row>
    <row r="5" spans="1:21" ht="15" customHeight="1" x14ac:dyDescent="0.25">
      <c r="A5" s="184" t="str">
        <f>IF(Datenquelle!$E$2&gt;3,IF(Datenquelle!$E$2=4,"EZ",IF(Datenquelle!$E$2&gt;4,"relevant","?")),"nicht relevant")</f>
        <v>nicht relevant</v>
      </c>
      <c r="B5" s="47" t="str">
        <f>CONCATENATE("2019;"," ")</f>
        <v xml:space="preserve">2019; </v>
      </c>
      <c r="C5" s="171"/>
      <c r="D5" s="922"/>
      <c r="E5" s="30" t="str">
        <f>IF(H5="","","2019")</f>
        <v/>
      </c>
      <c r="F5" s="47" t="str">
        <f t="shared" si="0"/>
        <v/>
      </c>
      <c r="G5" s="47" t="str">
        <f t="shared" si="1"/>
        <v/>
      </c>
      <c r="H5" s="435" t="str">
        <f>IF(A5="relevant",IF(COUNTIF(Matrix_Lunge!C26:Z26,"")&gt;2,Berechnung2!$L$52,""),"")</f>
        <v/>
      </c>
      <c r="I5" s="184" t="str">
        <f t="array" ref="I5">IF(H5="","",VLOOKUP(F5,Berechnung2!$I$15:$J$24,2,FALSE))</f>
        <v/>
      </c>
      <c r="J5" s="199" t="str">
        <f t="shared" si="2"/>
        <v/>
      </c>
      <c r="K5" s="32"/>
      <c r="L5" s="30" t="str">
        <f t="array" aca="1" ref="L5" ca="1">IF(ROW()-ROW($F$2:$F$47)+1&gt;ROWS($E$2:$E$47)-COUNTBLANK($E$2:$E$47),"",INDIRECT(ADDRESS(SMALL((IF($E$2:$E$47&lt;&gt;"",ROW($E$2:$E$47),ROW()+ROWS($E$2:$E$47))),ROW()-ROW($F$2:$F$47)+1),COLUMN($E$2:$E$47),4)))</f>
        <v/>
      </c>
      <c r="M5" s="30" t="str">
        <f t="array" aca="1" ref="M5" ca="1">IF(ROW()-ROW($G$2:$G$47)+1&gt;ROWS($F$2:$F$47)-COUNTBLANK($F$2:$F$47),"",INDIRECT(ADDRESS(SMALL((IF($F$2:$F$47&lt;&gt;"",ROW($F$2:$F$47),ROW()+ROWS($F$2:$F$47))),ROW()-ROW($G$2:$G$47)+1),COLUMN($F$2:$F$47),4)))</f>
        <v/>
      </c>
      <c r="N5" s="30" t="str">
        <f t="array" aca="1" ref="N5" ca="1">IF(ROW()-ROW($H$2:$H$47)+1&gt;ROWS($G$2:$G$47)-COUNTBLANK($G$2:$G$47),"",INDIRECT(ADDRESS(SMALL((IF($G$2:$G$47&lt;&gt;"",ROW($G$2:$G$47),ROW()+ROWS($G$2:$G$47))),ROW()-ROW($H$2:$H$47)+1),COLUMN($G$2:$G$47),4)))</f>
        <v/>
      </c>
      <c r="O5" s="193" t="str">
        <f t="array" aca="1" ref="O5" ca="1">IF(ROW()-ROW($I$2:$I$47)+1&gt;ROWS($H$2:$H$47)-COUNTBLANK($H$2:$H$47),"",INDIRECT(ADDRESS(SMALL((IF($H$2:$H$47&lt;&gt;"",ROW($H$2:$H$47),ROW()+ROWS($H$2:$H$47))),ROW()-ROW($I$2:$I$47)+1),COLUMN($H$2:$H$47),4)))</f>
        <v/>
      </c>
      <c r="P5" s="193" t="str">
        <f t="array" aca="1" ref="P5" ca="1">IF(ROW()-ROW($J$2:$J$47)+1&gt;ROWS($I$2:$I$47)-COUNTBLANK($I$2:$I$47),"",INDIRECT(ADDRESS(SMALL((IF($I$2:$I$47&lt;&gt;"",ROW($I$2:$I$47),ROW()+ROWS($I$2:$I$47))),ROW()-ROW($J$2:$J$47)+1),COLUMN($I$2:$I$47),4)))</f>
        <v/>
      </c>
    </row>
    <row r="6" spans="1:21" ht="15" customHeight="1" x14ac:dyDescent="0.25">
      <c r="A6" s="184" t="str">
        <f>IF(Datenquelle!$E$2&gt;2,IF(Datenquelle!$E$2=3,"EZ",IF(Datenquelle!$E$2&gt;3,"relevant","?")),"nicht relevant")</f>
        <v>nicht relevant</v>
      </c>
      <c r="B6" s="47" t="str">
        <f>CONCATENATE("2020;"," ")</f>
        <v xml:space="preserve">2020; </v>
      </c>
      <c r="C6" s="171"/>
      <c r="D6" s="922"/>
      <c r="E6" s="30" t="str">
        <f>IF(H6="","","2020")</f>
        <v/>
      </c>
      <c r="F6" s="47" t="str">
        <f t="shared" si="0"/>
        <v/>
      </c>
      <c r="G6" s="47" t="str">
        <f t="shared" si="1"/>
        <v/>
      </c>
      <c r="H6" s="435" t="str">
        <f>IF(A6="relevant",IF(COUNTIF(Matrix_Lunge!C27:Z27,"")&gt;2,Berechnung2!$L$52,""),"")</f>
        <v/>
      </c>
      <c r="I6" s="184" t="str">
        <f t="array" ref="I6">IF(H6="","",VLOOKUP(F6,Berechnung2!$I$15:$J$24,2,FALSE))</f>
        <v/>
      </c>
      <c r="J6" s="199" t="str">
        <f t="shared" si="2"/>
        <v/>
      </c>
      <c r="K6" s="32"/>
      <c r="L6" s="30" t="str">
        <f t="array" aca="1" ref="L6" ca="1">IF(ROW()-ROW($F$2:$F$47)+1&gt;ROWS($E$2:$E$47)-COUNTBLANK($E$2:$E$47),"",INDIRECT(ADDRESS(SMALL((IF($E$2:$E$47&lt;&gt;"",ROW($E$2:$E$47),ROW()+ROWS($E$2:$E$47))),ROW()-ROW($F$2:$F$47)+1),COLUMN($E$2:$E$47),4)))</f>
        <v/>
      </c>
      <c r="M6" s="30" t="str">
        <f t="array" aca="1" ref="M6" ca="1">IF(ROW()-ROW($G$2:$G$47)+1&gt;ROWS($F$2:$F$47)-COUNTBLANK($F$2:$F$47),"",INDIRECT(ADDRESS(SMALL((IF($F$2:$F$47&lt;&gt;"",ROW($F$2:$F$47),ROW()+ROWS($F$2:$F$47))),ROW()-ROW($G$2:$G$47)+1),COLUMN($F$2:$F$47),4)))</f>
        <v/>
      </c>
      <c r="N6" s="30" t="str">
        <f t="array" aca="1" ref="N6" ca="1">IF(ROW()-ROW($H$2:$H$47)+1&gt;ROWS($G$2:$G$47)-COUNTBLANK($G$2:$G$47),"",INDIRECT(ADDRESS(SMALL((IF($G$2:$G$47&lt;&gt;"",ROW($G$2:$G$47),ROW()+ROWS($G$2:$G$47))),ROW()-ROW($H$2:$H$47)+1),COLUMN($G$2:$G$47),4)))</f>
        <v/>
      </c>
      <c r="O6" s="193" t="str">
        <f t="array" aca="1" ref="O6" ca="1">IF(ROW()-ROW($I$2:$I$47)+1&gt;ROWS($H$2:$H$47)-COUNTBLANK($H$2:$H$47),"",INDIRECT(ADDRESS(SMALL((IF($H$2:$H$47&lt;&gt;"",ROW($H$2:$H$47),ROW()+ROWS($H$2:$H$47))),ROW()-ROW($I$2:$I$47)+1),COLUMN($H$2:$H$47),4)))</f>
        <v/>
      </c>
      <c r="P6" s="193" t="str">
        <f t="array" aca="1" ref="P6" ca="1">IF(ROW()-ROW($J$2:$J$47)+1&gt;ROWS($I$2:$I$47)-COUNTBLANK($I$2:$I$47),"",INDIRECT(ADDRESS(SMALL((IF($I$2:$I$47&lt;&gt;"",ROW($I$2:$I$47),ROW()+ROWS($I$2:$I$47))),ROW()-ROW($J$2:$J$47)+1),COLUMN($I$2:$I$47),4)))</f>
        <v/>
      </c>
    </row>
    <row r="7" spans="1:21" ht="15" customHeight="1" x14ac:dyDescent="0.25">
      <c r="A7" s="184" t="str">
        <f>IF(Datenquelle!$E$2&gt;1,IF(Datenquelle!$E$2=2,"EZ",IF(Datenquelle!$E$2&gt;2,"relevant","?")),"nicht relevant")</f>
        <v>nicht relevant</v>
      </c>
      <c r="B7" s="47" t="str">
        <f>CONCATENATE("2021;"," ")</f>
        <v xml:space="preserve">2021; </v>
      </c>
      <c r="C7" s="104"/>
      <c r="D7" s="420" t="s">
        <v>455</v>
      </c>
      <c r="E7" s="30" t="str">
        <f>IF(H7="","","2021")</f>
        <v/>
      </c>
      <c r="F7" s="47" t="str">
        <f t="shared" ref="F7" si="3">IF(H7="","","a")</f>
        <v/>
      </c>
      <c r="G7" s="47" t="str">
        <f t="shared" ref="G7" si="4">IF(H7="","",1)</f>
        <v/>
      </c>
      <c r="H7" s="226" t="str">
        <f>IF(A7="relevant",IF(COUNTIF(Matrix_Lunge!C28:L28,"")&gt;0,Berechnung2!$L$52,""),"")</f>
        <v/>
      </c>
      <c r="I7" s="184" t="str">
        <f t="array" ref="I7">IF(H7="","",VLOOKUP(F7,Berechnung2!$I$15:$J$24,2,FALSE))</f>
        <v/>
      </c>
      <c r="J7" s="199" t="str">
        <f t="shared" si="2"/>
        <v/>
      </c>
      <c r="K7" s="32"/>
      <c r="L7" s="30" t="str">
        <f t="array" aca="1" ref="L7" ca="1">IF(ROW()-ROW($F$2:$F$47)+1&gt;ROWS($E$2:$E$47)-COUNTBLANK($E$2:$E$47),"",INDIRECT(ADDRESS(SMALL((IF($E$2:$E$47&lt;&gt;"",ROW($E$2:$E$47),ROW()+ROWS($E$2:$E$47))),ROW()-ROW($F$2:$F$47)+1),COLUMN($E$2:$E$47),4)))</f>
        <v/>
      </c>
      <c r="M7" s="30" t="str">
        <f t="array" aca="1" ref="M7" ca="1">IF(ROW()-ROW($G$2:$G$47)+1&gt;ROWS($F$2:$F$47)-COUNTBLANK($F$2:$F$47),"",INDIRECT(ADDRESS(SMALL((IF($F$2:$F$47&lt;&gt;"",ROW($F$2:$F$47),ROW()+ROWS($F$2:$F$47))),ROW()-ROW($G$2:$G$47)+1),COLUMN($F$2:$F$47),4)))</f>
        <v/>
      </c>
      <c r="N7" s="30" t="str">
        <f t="array" aca="1" ref="N7" ca="1">IF(ROW()-ROW($H$2:$H$47)+1&gt;ROWS($G$2:$G$47)-COUNTBLANK($G$2:$G$47),"",INDIRECT(ADDRESS(SMALL((IF($G$2:$G$47&lt;&gt;"",ROW($G$2:$G$47),ROW()+ROWS($G$2:$G$47))),ROW()-ROW($H$2:$H$47)+1),COLUMN($G$2:$G$47),4)))</f>
        <v/>
      </c>
      <c r="O7" s="193" t="str">
        <f t="array" aca="1" ref="O7" ca="1">IF(ROW()-ROW($I$2:$I$47)+1&gt;ROWS($H$2:$H$47)-COUNTBLANK($H$2:$H$47),"",INDIRECT(ADDRESS(SMALL((IF($H$2:$H$47&lt;&gt;"",ROW($H$2:$H$47),ROW()+ROWS($H$2:$H$47))),ROW()-ROW($I$2:$I$47)+1),COLUMN($H$2:$H$47),4)))</f>
        <v/>
      </c>
      <c r="P7" s="193" t="str">
        <f t="array" aca="1" ref="P7" ca="1">IF(ROW()-ROW($J$2:$J$47)+1&gt;ROWS($I$2:$I$47)-COUNTBLANK($I$2:$I$47),"",INDIRECT(ADDRESS(SMALL((IF($I$2:$I$47&lt;&gt;"",ROW($I$2:$I$47),ROW()+ROWS($I$2:$I$47))),ROW()-ROW($J$2:$J$47)+1),COLUMN($I$2:$I$47),4)))</f>
        <v/>
      </c>
    </row>
    <row r="8" spans="1:21" ht="15" customHeight="1" thickBot="1" x14ac:dyDescent="0.3">
      <c r="A8" s="184" t="str">
        <f>IF(Datenquelle!$E$2&gt;0,IF(Datenquelle!$E$2=1,"EZ",IF(Datenquelle!$E$2&gt;1,"relevant","?")),"nicht relevant")</f>
        <v>nicht relevant</v>
      </c>
      <c r="B8" s="47" t="str">
        <f>CONCATENATE("2022;"," ")</f>
        <v xml:space="preserve">2022; </v>
      </c>
      <c r="D8" s="419"/>
      <c r="E8" s="30" t="str">
        <f>IF(H8="","","2022")</f>
        <v/>
      </c>
      <c r="F8" s="47" t="str">
        <f t="shared" ref="F8" si="5">IF(H8="","","a")</f>
        <v/>
      </c>
      <c r="G8" s="47" t="str">
        <f t="shared" ref="G8" si="6">IF(H8="","",1)</f>
        <v/>
      </c>
      <c r="H8" s="226" t="str">
        <f>IF(A8="relevant",IF(COUNTIF(Matrix_Lunge!C29:L29,"")&gt;0,Berechnung2!$L$52,""),"")</f>
        <v/>
      </c>
      <c r="I8" s="184" t="str">
        <f t="array" ref="I8">IF(H8="","",VLOOKUP(F8,Berechnung2!$I$15:$J$24,2,FALSE))</f>
        <v/>
      </c>
      <c r="J8" s="199" t="str">
        <f t="shared" ref="J8" si="7">IF(H8&lt;&gt;"",1,"")</f>
        <v/>
      </c>
      <c r="K8" s="32"/>
      <c r="L8" s="30" t="str">
        <f t="array" aca="1" ref="L8" ca="1">IF(ROW()-ROW($F$2:$F$47)+1&gt;ROWS($E$2:$E$47)-COUNTBLANK($E$2:$E$47),"",INDIRECT(ADDRESS(SMALL((IF($E$2:$E$47&lt;&gt;"",ROW($E$2:$E$47),ROW()+ROWS($E$2:$E$47))),ROW()-ROW($F$2:$F$47)+1),COLUMN($E$2:$E$47),4)))</f>
        <v/>
      </c>
      <c r="M8" s="30" t="str">
        <f t="array" aca="1" ref="M8" ca="1">IF(ROW()-ROW($G$2:$G$47)+1&gt;ROWS($F$2:$F$47)-COUNTBLANK($F$2:$F$47),"",INDIRECT(ADDRESS(SMALL((IF($F$2:$F$47&lt;&gt;"",ROW($F$2:$F$47),ROW()+ROWS($F$2:$F$47))),ROW()-ROW($G$2:$G$47)+1),COLUMN($F$2:$F$47),4)))</f>
        <v/>
      </c>
      <c r="N8" s="30" t="str">
        <f t="array" aca="1" ref="N8" ca="1">IF(ROW()-ROW($H$2:$H$47)+1&gt;ROWS($G$2:$G$47)-COUNTBLANK($G$2:$G$47),"",INDIRECT(ADDRESS(SMALL((IF($G$2:$G$47&lt;&gt;"",ROW($G$2:$G$47),ROW()+ROWS($G$2:$G$47))),ROW()-ROW($H$2:$H$47)+1),COLUMN($G$2:$G$47),4)))</f>
        <v/>
      </c>
      <c r="O8" s="193" t="str">
        <f t="array" aca="1" ref="O8" ca="1">IF(ROW()-ROW($I$2:$I$47)+1&gt;ROWS($H$2:$H$47)-COUNTBLANK($H$2:$H$47),"",INDIRECT(ADDRESS(SMALL((IF($H$2:$H$47&lt;&gt;"",ROW($H$2:$H$47),ROW()+ROWS($H$2:$H$47))),ROW()-ROW($I$2:$I$47)+1),COLUMN($H$2:$H$47),4)))</f>
        <v/>
      </c>
      <c r="P8" s="193" t="str">
        <f t="array" aca="1" ref="P8" ca="1">IF(ROW()-ROW($J$2:$J$47)+1&gt;ROWS($I$2:$I$47)-COUNTBLANK($I$2:$I$47),"",INDIRECT(ADDRESS(SMALL((IF($I$2:$I$47&lt;&gt;"",ROW($I$2:$I$47),ROW()+ROWS($I$2:$I$47))),ROW()-ROW($J$2:$J$47)+1),COLUMN($I$2:$I$47),4)))</f>
        <v/>
      </c>
      <c r="Q8" s="159"/>
      <c r="R8" s="159"/>
      <c r="S8" s="159"/>
      <c r="T8" s="159"/>
      <c r="U8" s="159"/>
    </row>
    <row r="9" spans="1:21" ht="15" customHeight="1" x14ac:dyDescent="0.25">
      <c r="D9" s="183" t="s">
        <v>184</v>
      </c>
      <c r="E9" s="174" t="str">
        <f>IF(H9="","","2016")</f>
        <v/>
      </c>
      <c r="F9" s="174" t="str">
        <f t="shared" ref="F9:F13" si="8">IF(H9="","","b")</f>
        <v/>
      </c>
      <c r="G9" s="174" t="str">
        <f>IF(H9="","","1")</f>
        <v/>
      </c>
      <c r="H9" s="225" t="str">
        <f>IF(A2="relevant",IF(Matrix_Lunge!N23="","",IF((Matrix_Lunge!N23)&gt;(Matrix_Lunge!C23),Berechnung2!$L$56,"")),"")</f>
        <v/>
      </c>
      <c r="I9" s="179" t="str">
        <f t="array" ref="I9">IF(H9="","",VLOOKUP(F9,Berechnung2!$I$15:$J$24,2,FALSE))</f>
        <v/>
      </c>
      <c r="J9" s="201" t="str">
        <f t="shared" ref="J9:J25" si="9">IF(H9&lt;&gt;"",1,"")</f>
        <v/>
      </c>
      <c r="K9" s="177"/>
      <c r="L9" s="30" t="str">
        <f t="array" aca="1" ref="L9" ca="1">IF(ROW()-ROW($F$2:$F$47)+1&gt;ROWS($E$2:$E$47)-COUNTBLANK($E$2:$E$47),"",INDIRECT(ADDRESS(SMALL((IF($E$2:$E$47&lt;&gt;"",ROW($E$2:$E$47),ROW()+ROWS($E$2:$E$47))),ROW()-ROW($F$2:$F$47)+1),COLUMN($E$2:$E$47),4)))</f>
        <v/>
      </c>
      <c r="M9" s="30" t="str">
        <f t="array" aca="1" ref="M9" ca="1">IF(ROW()-ROW($G$2:$G$47)+1&gt;ROWS($F$2:$F$47)-COUNTBLANK($F$2:$F$47),"",INDIRECT(ADDRESS(SMALL((IF($F$2:$F$47&lt;&gt;"",ROW($F$2:$F$47),ROW()+ROWS($F$2:$F$47))),ROW()-ROW($G$2:$G$47)+1),COLUMN($F$2:$F$47),4)))</f>
        <v/>
      </c>
      <c r="N9" s="30" t="str">
        <f t="array" aca="1" ref="N9" ca="1">IF(ROW()-ROW($H$2:$H$47)+1&gt;ROWS($G$2:$G$47)-COUNTBLANK($G$2:$G$47),"",INDIRECT(ADDRESS(SMALL((IF($G$2:$G$47&lt;&gt;"",ROW($G$2:$G$47),ROW()+ROWS($G$2:$G$47))),ROW()-ROW($H$2:$H$47)+1),COLUMN($G$2:$G$47),4)))</f>
        <v/>
      </c>
      <c r="O9" s="193" t="str">
        <f t="array" aca="1" ref="O9" ca="1">IF(ROW()-ROW($I$2:$I$47)+1&gt;ROWS($H$2:$H$47)-COUNTBLANK($H$2:$H$47),"",INDIRECT(ADDRESS(SMALL((IF($H$2:$H$47&lt;&gt;"",ROW($H$2:$H$47),ROW()+ROWS($H$2:$H$47))),ROW()-ROW($I$2:$I$47)+1),COLUMN($H$2:$H$47),4)))</f>
        <v/>
      </c>
      <c r="P9" s="193" t="str">
        <f t="array" aca="1" ref="P9" ca="1">IF(ROW()-ROW($J$2:$J$47)+1&gt;ROWS($I$2:$I$47)-COUNTBLANK($I$2:$I$47),"",INDIRECT(ADDRESS(SMALL((IF($I$2:$I$47&lt;&gt;"",ROW($I$2:$I$47),ROW()+ROWS($I$2:$I$47))),ROW()-ROW($J$2:$J$47)+1),COLUMN($I$2:$I$47),4)))</f>
        <v/>
      </c>
      <c r="Q9" s="159"/>
      <c r="R9" s="159"/>
      <c r="S9" s="159"/>
      <c r="T9" s="159"/>
      <c r="U9" s="159"/>
    </row>
    <row r="10" spans="1:21" ht="15" customHeight="1" x14ac:dyDescent="0.25">
      <c r="D10" s="923" t="s">
        <v>246</v>
      </c>
      <c r="E10" s="30" t="str">
        <f>IF(H10="","","2017")</f>
        <v/>
      </c>
      <c r="F10" s="47" t="str">
        <f t="shared" si="8"/>
        <v/>
      </c>
      <c r="G10" s="47" t="str">
        <f t="shared" ref="G10:G13" si="10">IF(H10="","","1")</f>
        <v/>
      </c>
      <c r="H10" s="226" t="str">
        <f>IF(A3="relevant",IF(Matrix_Lunge!N24="","",IF((Matrix_Lunge!N24)&gt;(Matrix_Lunge!C24),Berechnung2!$L$56,"")),"")</f>
        <v/>
      </c>
      <c r="I10" s="184" t="str">
        <f t="array" ref="I10">IF(H10="","",VLOOKUP(F10,Berechnung2!$I$15:$J$24,2,FALSE))</f>
        <v/>
      </c>
      <c r="J10" s="199" t="str">
        <f t="shared" si="9"/>
        <v/>
      </c>
      <c r="L10" s="30" t="str">
        <f t="array" aca="1" ref="L10" ca="1">IF(ROW()-ROW($F$2:$F$47)+1&gt;ROWS($E$2:$E$47)-COUNTBLANK($E$2:$E$47),"",INDIRECT(ADDRESS(SMALL((IF($E$2:$E$47&lt;&gt;"",ROW($E$2:$E$47),ROW()+ROWS($E$2:$E$47))),ROW()-ROW($F$2:$F$47)+1),COLUMN($E$2:$E$47),4)))</f>
        <v/>
      </c>
      <c r="M10" s="30" t="str">
        <f t="array" aca="1" ref="M10" ca="1">IF(ROW()-ROW($G$2:$G$47)+1&gt;ROWS($F$2:$F$47)-COUNTBLANK($F$2:$F$47),"",INDIRECT(ADDRESS(SMALL((IF($F$2:$F$47&lt;&gt;"",ROW($F$2:$F$47),ROW()+ROWS($F$2:$F$47))),ROW()-ROW($G$2:$G$47)+1),COLUMN($F$2:$F$47),4)))</f>
        <v/>
      </c>
      <c r="N10" s="30" t="str">
        <f t="array" aca="1" ref="N10" ca="1">IF(ROW()-ROW($H$2:$H$47)+1&gt;ROWS($G$2:$G$47)-COUNTBLANK($G$2:$G$47),"",INDIRECT(ADDRESS(SMALL((IF($G$2:$G$47&lt;&gt;"",ROW($G$2:$G$47),ROW()+ROWS($G$2:$G$47))),ROW()-ROW($H$2:$H$47)+1),COLUMN($G$2:$G$47),4)))</f>
        <v/>
      </c>
      <c r="O10" s="193" t="str">
        <f t="array" aca="1" ref="O10" ca="1">IF(ROW()-ROW($I$2:$I$47)+1&gt;ROWS($H$2:$H$47)-COUNTBLANK($H$2:$H$47),"",INDIRECT(ADDRESS(SMALL((IF($H$2:$H$47&lt;&gt;"",ROW($H$2:$H$47),ROW()+ROWS($H$2:$H$47))),ROW()-ROW($I$2:$I$47)+1),COLUMN($H$2:$H$47),4)))</f>
        <v/>
      </c>
      <c r="P10" s="193" t="str">
        <f t="array" aca="1" ref="P10" ca="1">IF(ROW()-ROW($J$2:$J$47)+1&gt;ROWS($I$2:$I$47)-COUNTBLANK($I$2:$I$47),"",INDIRECT(ADDRESS(SMALL((IF($I$2:$I$47&lt;&gt;"",ROW($I$2:$I$47),ROW()+ROWS($I$2:$I$47))),ROW()-ROW($J$2:$J$47)+1),COLUMN($I$2:$I$47),4)))</f>
        <v/>
      </c>
    </row>
    <row r="11" spans="1:21" ht="15" customHeight="1" x14ac:dyDescent="0.25">
      <c r="D11" s="923"/>
      <c r="E11" s="30" t="str">
        <f>IF(H11="","","2018")</f>
        <v/>
      </c>
      <c r="F11" s="47" t="str">
        <f t="shared" si="8"/>
        <v/>
      </c>
      <c r="G11" s="47" t="str">
        <f t="shared" si="10"/>
        <v/>
      </c>
      <c r="H11" s="226" t="str">
        <f>IF(A4="relevant",IF(Matrix_Lunge!N25="","",IF((Matrix_Lunge!N25)&gt;(Matrix_Lunge!C25),Berechnung2!$L$56,"")),"")</f>
        <v/>
      </c>
      <c r="I11" s="184" t="str">
        <f t="array" ref="I11">IF(H11="","",VLOOKUP(F11,Berechnung2!$I$15:$J$24,2,FALSE))</f>
        <v/>
      </c>
      <c r="J11" s="199" t="str">
        <f t="shared" si="9"/>
        <v/>
      </c>
      <c r="L11" s="30" t="str">
        <f t="array" aca="1" ref="L11" ca="1">IF(ROW()-ROW($F$2:$F$47)+1&gt;ROWS($E$2:$E$47)-COUNTBLANK($E$2:$E$47),"",INDIRECT(ADDRESS(SMALL((IF($E$2:$E$47&lt;&gt;"",ROW($E$2:$E$47),ROW()+ROWS($E$2:$E$47))),ROW()-ROW($F$2:$F$47)+1),COLUMN($E$2:$E$47),4)))</f>
        <v/>
      </c>
      <c r="M11" s="30" t="str">
        <f t="array" aca="1" ref="M11" ca="1">IF(ROW()-ROW($G$2:$G$47)+1&gt;ROWS($F$2:$F$47)-COUNTBLANK($F$2:$F$47),"",INDIRECT(ADDRESS(SMALL((IF($F$2:$F$47&lt;&gt;"",ROW($F$2:$F$47),ROW()+ROWS($F$2:$F$47))),ROW()-ROW($G$2:$G$47)+1),COLUMN($F$2:$F$47),4)))</f>
        <v/>
      </c>
      <c r="N11" s="30" t="str">
        <f t="array" aca="1" ref="N11" ca="1">IF(ROW()-ROW($H$2:$H$47)+1&gt;ROWS($G$2:$G$47)-COUNTBLANK($G$2:$G$47),"",INDIRECT(ADDRESS(SMALL((IF($G$2:$G$47&lt;&gt;"",ROW($G$2:$G$47),ROW()+ROWS($G$2:$G$47))),ROW()-ROW($H$2:$H$47)+1),COLUMN($G$2:$G$47),4)))</f>
        <v/>
      </c>
      <c r="O11" s="193" t="str">
        <f t="array" aca="1" ref="O11" ca="1">IF(ROW()-ROW($I$2:$I$47)+1&gt;ROWS($H$2:$H$47)-COUNTBLANK($H$2:$H$47),"",INDIRECT(ADDRESS(SMALL((IF($H$2:$H$47&lt;&gt;"",ROW($H$2:$H$47),ROW()+ROWS($H$2:$H$47))),ROW()-ROW($I$2:$I$47)+1),COLUMN($H$2:$H$47),4)))</f>
        <v/>
      </c>
      <c r="P11" s="193" t="str">
        <f t="array" aca="1" ref="P11" ca="1">IF(ROW()-ROW($J$2:$J$47)+1&gt;ROWS($I$2:$I$47)-COUNTBLANK($I$2:$I$47),"",INDIRECT(ADDRESS(SMALL((IF($I$2:$I$47&lt;&gt;"",ROW($I$2:$I$47),ROW()+ROWS($I$2:$I$47))),ROW()-ROW($J$2:$J$47)+1),COLUMN($I$2:$I$47),4)))</f>
        <v/>
      </c>
    </row>
    <row r="12" spans="1:21" ht="15" customHeight="1" x14ac:dyDescent="0.25">
      <c r="D12" s="923"/>
      <c r="E12" s="30" t="str">
        <f>IF(H12="","","2019")</f>
        <v/>
      </c>
      <c r="F12" s="47" t="str">
        <f t="shared" si="8"/>
        <v/>
      </c>
      <c r="G12" s="47" t="str">
        <f t="shared" si="10"/>
        <v/>
      </c>
      <c r="H12" s="226" t="str">
        <f>IF(A5="relevant",IF(Matrix_Lunge!N26="","",IF((Matrix_Lunge!N26)&gt;(Matrix_Lunge!C26),Berechnung2!$L$56,"")),"")</f>
        <v/>
      </c>
      <c r="I12" s="184" t="str">
        <f t="array" ref="I12">IF(H12="","",VLOOKUP(F12,Berechnung2!$I$15:$J$24,2,FALSE))</f>
        <v/>
      </c>
      <c r="J12" s="199" t="str">
        <f t="shared" si="9"/>
        <v/>
      </c>
      <c r="L12" s="30" t="str">
        <f t="array" aca="1" ref="L12" ca="1">IF(ROW()-ROW($F$2:$F$47)+1&gt;ROWS($E$2:$E$47)-COUNTBLANK($E$2:$E$47),"",INDIRECT(ADDRESS(SMALL((IF($E$2:$E$47&lt;&gt;"",ROW($E$2:$E$47),ROW()+ROWS($E$2:$E$47))),ROW()-ROW($F$2:$F$47)+1),COLUMN($E$2:$E$47),4)))</f>
        <v/>
      </c>
      <c r="M12" s="30" t="str">
        <f t="array" aca="1" ref="M12" ca="1">IF(ROW()-ROW($G$2:$G$47)+1&gt;ROWS($F$2:$F$47)-COUNTBLANK($F$2:$F$47),"",INDIRECT(ADDRESS(SMALL((IF($F$2:$F$47&lt;&gt;"",ROW($F$2:$F$47),ROW()+ROWS($F$2:$F$47))),ROW()-ROW($G$2:$G$47)+1),COLUMN($F$2:$F$47),4)))</f>
        <v/>
      </c>
      <c r="N12" s="30" t="str">
        <f t="array" aca="1" ref="N12" ca="1">IF(ROW()-ROW($H$2:$H$47)+1&gt;ROWS($G$2:$G$47)-COUNTBLANK($G$2:$G$47),"",INDIRECT(ADDRESS(SMALL((IF($G$2:$G$47&lt;&gt;"",ROW($G$2:$G$47),ROW()+ROWS($G$2:$G$47))),ROW()-ROW($H$2:$H$47)+1),COLUMN($G$2:$G$47),4)))</f>
        <v/>
      </c>
      <c r="O12" s="193" t="str">
        <f t="array" aca="1" ref="O12" ca="1">IF(ROW()-ROW($I$2:$I$47)+1&gt;ROWS($H$2:$H$47)-COUNTBLANK($H$2:$H$47),"",INDIRECT(ADDRESS(SMALL((IF($H$2:$H$47&lt;&gt;"",ROW($H$2:$H$47),ROW()+ROWS($H$2:$H$47))),ROW()-ROW($I$2:$I$47)+1),COLUMN($H$2:$H$47),4)))</f>
        <v/>
      </c>
      <c r="P12" s="193" t="str">
        <f t="array" aca="1" ref="P12" ca="1">IF(ROW()-ROW($J$2:$J$47)+1&gt;ROWS($I$2:$I$47)-COUNTBLANK($I$2:$I$47),"",INDIRECT(ADDRESS(SMALL((IF($I$2:$I$47&lt;&gt;"",ROW($I$2:$I$47),ROW()+ROWS($I$2:$I$47))),ROW()-ROW($J$2:$J$47)+1),COLUMN($I$2:$I$47),4)))</f>
        <v/>
      </c>
    </row>
    <row r="13" spans="1:21" ht="15" customHeight="1" thickBot="1" x14ac:dyDescent="0.3">
      <c r="D13" s="418" t="s">
        <v>456</v>
      </c>
      <c r="E13" s="30" t="str">
        <f>IF(H13="","","2020")</f>
        <v/>
      </c>
      <c r="F13" s="47" t="str">
        <f t="shared" si="8"/>
        <v/>
      </c>
      <c r="G13" s="47" t="str">
        <f t="shared" si="10"/>
        <v/>
      </c>
      <c r="H13" s="226" t="str">
        <f>IF(A6="relevant",IF(Matrix_Lunge!N27="","",IF((Matrix_Lunge!N27)&gt;(Matrix_Lunge!C27),Berechnung2!$L$56,"")),"")</f>
        <v/>
      </c>
      <c r="I13" s="184" t="str">
        <f t="array" ref="I13">IF(H13="","",VLOOKUP(F13,Berechnung2!$I$15:$J$24,2,FALSE))</f>
        <v/>
      </c>
      <c r="J13" s="199" t="str">
        <f t="shared" si="9"/>
        <v/>
      </c>
      <c r="L13" s="30" t="str">
        <f t="array" aca="1" ref="L13" ca="1">IF(ROW()-ROW($F$2:$F$47)+1&gt;ROWS($E$2:$E$47)-COUNTBLANK($E$2:$E$47),"",INDIRECT(ADDRESS(SMALL((IF($E$2:$E$47&lt;&gt;"",ROW($E$2:$E$47),ROW()+ROWS($E$2:$E$47))),ROW()-ROW($F$2:$F$47)+1),COLUMN($E$2:$E$47),4)))</f>
        <v/>
      </c>
      <c r="M13" s="30" t="str">
        <f t="array" aca="1" ref="M13" ca="1">IF(ROW()-ROW($G$2:$G$47)+1&gt;ROWS($F$2:$F$47)-COUNTBLANK($F$2:$F$47),"",INDIRECT(ADDRESS(SMALL((IF($F$2:$F$47&lt;&gt;"",ROW($F$2:$F$47),ROW()+ROWS($F$2:$F$47))),ROW()-ROW($G$2:$G$47)+1),COLUMN($F$2:$F$47),4)))</f>
        <v/>
      </c>
      <c r="N13" s="30" t="str">
        <f t="array" aca="1" ref="N13" ca="1">IF(ROW()-ROW($H$2:$H$47)+1&gt;ROWS($G$2:$G$47)-COUNTBLANK($G$2:$G$47),"",INDIRECT(ADDRESS(SMALL((IF($G$2:$G$47&lt;&gt;"",ROW($G$2:$G$47),ROW()+ROWS($G$2:$G$47))),ROW()-ROW($H$2:$H$47)+1),COLUMN($G$2:$G$47),4)))</f>
        <v/>
      </c>
      <c r="O13" s="193" t="str">
        <f t="array" aca="1" ref="O13" ca="1">IF(ROW()-ROW($I$2:$I$47)+1&gt;ROWS($H$2:$H$47)-COUNTBLANK($H$2:$H$47),"",INDIRECT(ADDRESS(SMALL((IF($H$2:$H$47&lt;&gt;"",ROW($H$2:$H$47),ROW()+ROWS($H$2:$H$47))),ROW()-ROW($I$2:$I$47)+1),COLUMN($H$2:$H$47),4)))</f>
        <v/>
      </c>
      <c r="P13" s="193" t="str">
        <f t="array" aca="1" ref="P13" ca="1">IF(ROW()-ROW($J$2:$J$47)+1&gt;ROWS($I$2:$I$47)-COUNTBLANK($I$2:$I$47),"",INDIRECT(ADDRESS(SMALL((IF($I$2:$I$47&lt;&gt;"",ROW($I$2:$I$47),ROW()+ROWS($I$2:$I$47))),ROW()-ROW($J$2:$J$47)+1),COLUMN($I$2:$I$47),4)))</f>
        <v/>
      </c>
    </row>
    <row r="14" spans="1:21" ht="15" customHeight="1" x14ac:dyDescent="0.25">
      <c r="A14" s="185"/>
      <c r="D14" s="183" t="s">
        <v>184</v>
      </c>
      <c r="E14" s="174" t="str">
        <f>IF(H14="","","2016")</f>
        <v/>
      </c>
      <c r="F14" s="174" t="str">
        <f t="shared" ref="F14:F18" si="11">IF(H14="","","c")</f>
        <v/>
      </c>
      <c r="G14" s="174" t="str">
        <f>IF(H14="","","1")</f>
        <v/>
      </c>
      <c r="H14" s="225" t="str">
        <f>IF(A2="relevant",IF(Matrix_Lunge!T23&lt;Berechnung2!$G$62,Berechnung2!$L$62,""),"")</f>
        <v/>
      </c>
      <c r="I14" s="179" t="str">
        <f t="array" ref="I14">IF(H14="","",VLOOKUP(F14,Berechnung2!$I$15:$J$24,2,FALSE))</f>
        <v/>
      </c>
      <c r="J14" s="201" t="str">
        <f t="shared" si="9"/>
        <v/>
      </c>
      <c r="L14" s="30" t="str">
        <f t="array" aca="1" ref="L14" ca="1">IF(ROW()-ROW($F$2:$F$47)+1&gt;ROWS($E$2:$E$47)-COUNTBLANK($E$2:$E$47),"",INDIRECT(ADDRESS(SMALL((IF($E$2:$E$47&lt;&gt;"",ROW($E$2:$E$47),ROW()+ROWS($E$2:$E$47))),ROW()-ROW($F$2:$F$47)+1),COLUMN($E$2:$E$47),4)))</f>
        <v/>
      </c>
      <c r="M14" s="30" t="str">
        <f t="array" aca="1" ref="M14" ca="1">IF(ROW()-ROW($G$2:$G$47)+1&gt;ROWS($F$2:$F$47)-COUNTBLANK($F$2:$F$47),"",INDIRECT(ADDRESS(SMALL((IF($F$2:$F$47&lt;&gt;"",ROW($F$2:$F$47),ROW()+ROWS($F$2:$F$47))),ROW()-ROW($G$2:$G$47)+1),COLUMN($F$2:$F$47),4)))</f>
        <v/>
      </c>
      <c r="N14" s="30" t="str">
        <f t="array" aca="1" ref="N14" ca="1">IF(ROW()-ROW($H$2:$H$47)+1&gt;ROWS($G$2:$G$47)-COUNTBLANK($G$2:$G$47),"",INDIRECT(ADDRESS(SMALL((IF($G$2:$G$47&lt;&gt;"",ROW($G$2:$G$47),ROW()+ROWS($G$2:$G$47))),ROW()-ROW($H$2:$H$47)+1),COLUMN($G$2:$G$47),4)))</f>
        <v/>
      </c>
      <c r="O14" s="193" t="str">
        <f t="array" aca="1" ref="O14" ca="1">IF(ROW()-ROW($I$2:$I$47)+1&gt;ROWS($H$2:$H$47)-COUNTBLANK($H$2:$H$47),"",INDIRECT(ADDRESS(SMALL((IF($H$2:$H$47&lt;&gt;"",ROW($H$2:$H$47),ROW()+ROWS($H$2:$H$47))),ROW()-ROW($I$2:$I$47)+1),COLUMN($H$2:$H$47),4)))</f>
        <v/>
      </c>
      <c r="P14" s="193" t="str">
        <f t="array" aca="1" ref="P14" ca="1">IF(ROW()-ROW($J$2:$J$47)+1&gt;ROWS($I$2:$I$47)-COUNTBLANK($I$2:$I$47),"",INDIRECT(ADDRESS(SMALL((IF($I$2:$I$47&lt;&gt;"",ROW($I$2:$I$47),ROW()+ROWS($I$2:$I$47))),ROW()-ROW($J$2:$J$47)+1),COLUMN($I$2:$I$47),4)))</f>
        <v/>
      </c>
    </row>
    <row r="15" spans="1:21" ht="15" customHeight="1" x14ac:dyDescent="0.25">
      <c r="A15" s="185"/>
      <c r="D15" s="924" t="s">
        <v>772</v>
      </c>
      <c r="E15" s="30" t="str">
        <f>IF(H15="","","2017")</f>
        <v/>
      </c>
      <c r="F15" s="47" t="str">
        <f t="shared" si="11"/>
        <v/>
      </c>
      <c r="G15" s="47" t="str">
        <f t="shared" ref="G15:G18" si="12">IF(H15="","","1")</f>
        <v/>
      </c>
      <c r="H15" s="226" t="str">
        <f>IF(A3="relevant",IF(Matrix_Lunge!T24&lt;Berechnung2!$G$62,Berechnung2!$L$62,""),"")</f>
        <v/>
      </c>
      <c r="I15" s="184" t="str">
        <f t="array" ref="I15">IF(H15="","",VLOOKUP(F15,Berechnung2!$I$15:$J$24,2,FALSE))</f>
        <v/>
      </c>
      <c r="J15" s="199" t="str">
        <f t="shared" si="9"/>
        <v/>
      </c>
      <c r="L15" s="30" t="str">
        <f t="array" aca="1" ref="L15" ca="1">IF(ROW()-ROW($F$2:$F$47)+1&gt;ROWS($E$2:$E$47)-COUNTBLANK($E$2:$E$47),"",INDIRECT(ADDRESS(SMALL((IF($E$2:$E$47&lt;&gt;"",ROW($E$2:$E$47),ROW()+ROWS($E$2:$E$47))),ROW()-ROW($F$2:$F$47)+1),COLUMN($E$2:$E$47),4)))</f>
        <v/>
      </c>
      <c r="M15" s="30" t="str">
        <f t="array" aca="1" ref="M15" ca="1">IF(ROW()-ROW($G$2:$G$47)+1&gt;ROWS($F$2:$F$47)-COUNTBLANK($F$2:$F$47),"",INDIRECT(ADDRESS(SMALL((IF($F$2:$F$47&lt;&gt;"",ROW($F$2:$F$47),ROW()+ROWS($F$2:$F$47))),ROW()-ROW($G$2:$G$47)+1),COLUMN($F$2:$F$47),4)))</f>
        <v/>
      </c>
      <c r="N15" s="30" t="str">
        <f t="array" aca="1" ref="N15" ca="1">IF(ROW()-ROW($H$2:$H$47)+1&gt;ROWS($G$2:$G$47)-COUNTBLANK($G$2:$G$47),"",INDIRECT(ADDRESS(SMALL((IF($G$2:$G$47&lt;&gt;"",ROW($G$2:$G$47),ROW()+ROWS($G$2:$G$47))),ROW()-ROW($H$2:$H$47)+1),COLUMN($G$2:$G$47),4)))</f>
        <v/>
      </c>
      <c r="O15" s="193" t="str">
        <f t="array" aca="1" ref="O15" ca="1">IF(ROW()-ROW($I$2:$I$47)+1&gt;ROWS($H$2:$H$47)-COUNTBLANK($H$2:$H$47),"",INDIRECT(ADDRESS(SMALL((IF($H$2:$H$47&lt;&gt;"",ROW($H$2:$H$47),ROW()+ROWS($H$2:$H$47))),ROW()-ROW($I$2:$I$47)+1),COLUMN($H$2:$H$47),4)))</f>
        <v/>
      </c>
      <c r="P15" s="193" t="str">
        <f t="array" aca="1" ref="P15" ca="1">IF(ROW()-ROW($J$2:$J$47)+1&gt;ROWS($I$2:$I$47)-COUNTBLANK($I$2:$I$47),"",INDIRECT(ADDRESS(SMALL((IF($I$2:$I$47&lt;&gt;"",ROW($I$2:$I$47),ROW()+ROWS($I$2:$I$47))),ROW()-ROW($J$2:$J$47)+1),COLUMN($I$2:$I$47),4)))</f>
        <v/>
      </c>
    </row>
    <row r="16" spans="1:21" ht="15" customHeight="1" x14ac:dyDescent="0.25">
      <c r="A16" s="185"/>
      <c r="D16" s="924"/>
      <c r="E16" s="30" t="str">
        <f>IF(H16="","","2018")</f>
        <v/>
      </c>
      <c r="F16" s="47" t="str">
        <f t="shared" si="11"/>
        <v/>
      </c>
      <c r="G16" s="47" t="str">
        <f t="shared" si="12"/>
        <v/>
      </c>
      <c r="H16" s="226" t="str">
        <f>IF(A4="relevant",IF(Matrix_Lunge!T25&lt;Berechnung2!$G$62,Berechnung2!$L$62,""),"")</f>
        <v/>
      </c>
      <c r="I16" s="184" t="str">
        <f t="array" ref="I16">IF(H16="","",VLOOKUP(F16,Berechnung2!$I$15:$J$24,2,FALSE))</f>
        <v/>
      </c>
      <c r="J16" s="199" t="str">
        <f t="shared" si="9"/>
        <v/>
      </c>
      <c r="L16" s="30" t="str">
        <f t="array" aca="1" ref="L16" ca="1">IF(ROW()-ROW($F$2:$F$47)+1&gt;ROWS($E$2:$E$47)-COUNTBLANK($E$2:$E$47),"",INDIRECT(ADDRESS(SMALL((IF($E$2:$E$47&lt;&gt;"",ROW($E$2:$E$47),ROW()+ROWS($E$2:$E$47))),ROW()-ROW($F$2:$F$47)+1),COLUMN($E$2:$E$47),4)))</f>
        <v/>
      </c>
      <c r="M16" s="30" t="str">
        <f t="array" aca="1" ref="M16" ca="1">IF(ROW()-ROW($G$2:$G$47)+1&gt;ROWS($F$2:$F$47)-COUNTBLANK($F$2:$F$47),"",INDIRECT(ADDRESS(SMALL((IF($F$2:$F$47&lt;&gt;"",ROW($F$2:$F$47),ROW()+ROWS($F$2:$F$47))),ROW()-ROW($G$2:$G$47)+1),COLUMN($F$2:$F$47),4)))</f>
        <v/>
      </c>
      <c r="N16" s="30" t="str">
        <f t="array" aca="1" ref="N16" ca="1">IF(ROW()-ROW($H$2:$H$47)+1&gt;ROWS($G$2:$G$47)-COUNTBLANK($G$2:$G$47),"",INDIRECT(ADDRESS(SMALL((IF($G$2:$G$47&lt;&gt;"",ROW($G$2:$G$47),ROW()+ROWS($G$2:$G$47))),ROW()-ROW($H$2:$H$47)+1),COLUMN($G$2:$G$47),4)))</f>
        <v/>
      </c>
      <c r="O16" s="193" t="str">
        <f t="array" aca="1" ref="O16" ca="1">IF(ROW()-ROW($I$2:$I$47)+1&gt;ROWS($H$2:$H$47)-COUNTBLANK($H$2:$H$47),"",INDIRECT(ADDRESS(SMALL((IF($H$2:$H$47&lt;&gt;"",ROW($H$2:$H$47),ROW()+ROWS($H$2:$H$47))),ROW()-ROW($I$2:$I$47)+1),COLUMN($H$2:$H$47),4)))</f>
        <v/>
      </c>
      <c r="P16" s="193" t="str">
        <f t="array" aca="1" ref="P16" ca="1">IF(ROW()-ROW($J$2:$J$47)+1&gt;ROWS($I$2:$I$47)-COUNTBLANK($I$2:$I$47),"",INDIRECT(ADDRESS(SMALL((IF($I$2:$I$47&lt;&gt;"",ROW($I$2:$I$47),ROW()+ROWS($I$2:$I$47))),ROW()-ROW($J$2:$J$47)+1),COLUMN($I$2:$I$47),4)))</f>
        <v/>
      </c>
    </row>
    <row r="17" spans="1:16" ht="39" customHeight="1" x14ac:dyDescent="0.25">
      <c r="D17" s="924"/>
      <c r="E17" s="30" t="str">
        <f>IF(H17="","","2019")</f>
        <v/>
      </c>
      <c r="F17" s="47" t="str">
        <f t="shared" si="11"/>
        <v/>
      </c>
      <c r="G17" s="47" t="str">
        <f t="shared" si="12"/>
        <v/>
      </c>
      <c r="H17" s="226" t="str">
        <f>IF(A5="relevant",IF(Matrix_Lunge!T26&lt;Berechnung2!$G$62,Berechnung2!$L$62,""),"")</f>
        <v/>
      </c>
      <c r="I17" s="184" t="str">
        <f t="array" ref="I17">IF(H17="","",VLOOKUP(F17,Berechnung2!$I$15:$J$24,2,FALSE))</f>
        <v/>
      </c>
      <c r="J17" s="199" t="str">
        <f t="shared" si="9"/>
        <v/>
      </c>
      <c r="L17" s="30" t="str">
        <f t="array" aca="1" ref="L17" ca="1">IF(ROW()-ROW($F$2:$F$47)+1&gt;ROWS($E$2:$E$47)-COUNTBLANK($E$2:$E$47),"",INDIRECT(ADDRESS(SMALL((IF($E$2:$E$47&lt;&gt;"",ROW($E$2:$E$47),ROW()+ROWS($E$2:$E$47))),ROW()-ROW($F$2:$F$47)+1),COLUMN($E$2:$E$47),4)))</f>
        <v/>
      </c>
      <c r="M17" s="30" t="str">
        <f t="array" aca="1" ref="M17" ca="1">IF(ROW()-ROW($G$2:$G$47)+1&gt;ROWS($F$2:$F$47)-COUNTBLANK($F$2:$F$47),"",INDIRECT(ADDRESS(SMALL((IF($F$2:$F$47&lt;&gt;"",ROW($F$2:$F$47),ROW()+ROWS($F$2:$F$47))),ROW()-ROW($G$2:$G$47)+1),COLUMN($F$2:$F$47),4)))</f>
        <v/>
      </c>
      <c r="N17" s="30" t="str">
        <f t="array" aca="1" ref="N17" ca="1">IF(ROW()-ROW($H$2:$H$47)+1&gt;ROWS($G$2:$G$47)-COUNTBLANK($G$2:$G$47),"",INDIRECT(ADDRESS(SMALL((IF($G$2:$G$47&lt;&gt;"",ROW($G$2:$G$47),ROW()+ROWS($G$2:$G$47))),ROW()-ROW($H$2:$H$47)+1),COLUMN($G$2:$G$47),4)))</f>
        <v/>
      </c>
      <c r="O17" s="193" t="str">
        <f t="array" aca="1" ref="O17" ca="1">IF(ROW()-ROW($I$2:$I$47)+1&gt;ROWS($H$2:$H$47)-COUNTBLANK($H$2:$H$47),"",INDIRECT(ADDRESS(SMALL((IF($H$2:$H$47&lt;&gt;"",ROW($H$2:$H$47),ROW()+ROWS($H$2:$H$47))),ROW()-ROW($I$2:$I$47)+1),COLUMN($H$2:$H$47),4)))</f>
        <v/>
      </c>
      <c r="P17" s="193" t="str">
        <f t="array" aca="1" ref="P17" ca="1">IF(ROW()-ROW($J$2:$J$47)+1&gt;ROWS($I$2:$I$47)-COUNTBLANK($I$2:$I$47),"",INDIRECT(ADDRESS(SMALL((IF($I$2:$I$47&lt;&gt;"",ROW($I$2:$I$47),ROW()+ROWS($I$2:$I$47))),ROW()-ROW($J$2:$J$47)+1),COLUMN($I$2:$I$47),4)))</f>
        <v/>
      </c>
    </row>
    <row r="18" spans="1:16" ht="15" customHeight="1" thickBot="1" x14ac:dyDescent="0.3">
      <c r="A18" s="176"/>
      <c r="D18" s="418" t="s">
        <v>457</v>
      </c>
      <c r="E18" s="30" t="str">
        <f>IF(H18="","","2020")</f>
        <v/>
      </c>
      <c r="F18" s="47" t="str">
        <f t="shared" si="11"/>
        <v/>
      </c>
      <c r="G18" s="47" t="str">
        <f t="shared" si="12"/>
        <v/>
      </c>
      <c r="H18" s="226" t="str">
        <f>IF(A6="relevant",IF(Matrix_Lunge!T27&lt;Berechnung2!$G$62,Berechnung2!$L$62,""),"")</f>
        <v/>
      </c>
      <c r="I18" s="184" t="str">
        <f t="array" ref="I18">IF(H18="","",VLOOKUP(F18,Berechnung2!$I$15:$J$24,2,FALSE))</f>
        <v/>
      </c>
      <c r="J18" s="199" t="str">
        <f t="shared" si="9"/>
        <v/>
      </c>
      <c r="L18" s="30" t="str">
        <f t="array" aca="1" ref="L18" ca="1">IF(ROW()-ROW($F$2:$F$47)+1&gt;ROWS($E$2:$E$47)-COUNTBLANK($E$2:$E$47),"",INDIRECT(ADDRESS(SMALL((IF($E$2:$E$47&lt;&gt;"",ROW($E$2:$E$47),ROW()+ROWS($E$2:$E$47))),ROW()-ROW($F$2:$F$47)+1),COLUMN($E$2:$E$47),4)))</f>
        <v/>
      </c>
      <c r="M18" s="30" t="str">
        <f t="array" aca="1" ref="M18" ca="1">IF(ROW()-ROW($G$2:$G$47)+1&gt;ROWS($F$2:$F$47)-COUNTBLANK($F$2:$F$47),"",INDIRECT(ADDRESS(SMALL((IF($F$2:$F$47&lt;&gt;"",ROW($F$2:$F$47),ROW()+ROWS($F$2:$F$47))),ROW()-ROW($G$2:$G$47)+1),COLUMN($F$2:$F$47),4)))</f>
        <v/>
      </c>
      <c r="N18" s="30" t="str">
        <f t="array" aca="1" ref="N18" ca="1">IF(ROW()-ROW($H$2:$H$47)+1&gt;ROWS($G$2:$G$47)-COUNTBLANK($G$2:$G$47),"",INDIRECT(ADDRESS(SMALL((IF($G$2:$G$47&lt;&gt;"",ROW($G$2:$G$47),ROW()+ROWS($G$2:$G$47))),ROW()-ROW($H$2:$H$47)+1),COLUMN($G$2:$G$47),4)))</f>
        <v/>
      </c>
      <c r="O18" s="193" t="str">
        <f t="array" aca="1" ref="O18" ca="1">IF(ROW()-ROW($I$2:$I$47)+1&gt;ROWS($H$2:$H$47)-COUNTBLANK($H$2:$H$47),"",INDIRECT(ADDRESS(SMALL((IF($H$2:$H$47&lt;&gt;"",ROW($H$2:$H$47),ROW()+ROWS($H$2:$H$47))),ROW()-ROW($I$2:$I$47)+1),COLUMN($H$2:$H$47),4)))</f>
        <v/>
      </c>
      <c r="P18" s="193" t="str">
        <f t="array" aca="1" ref="P18" ca="1">IF(ROW()-ROW($J$2:$J$47)+1&gt;ROWS($I$2:$I$47)-COUNTBLANK($I$2:$I$47),"",INDIRECT(ADDRESS(SMALL((IF($I$2:$I$47&lt;&gt;"",ROW($I$2:$I$47),ROW()+ROWS($I$2:$I$47))),ROW()-ROW($J$2:$J$47)+1),COLUMN($I$2:$I$47),4)))</f>
        <v/>
      </c>
    </row>
    <row r="19" spans="1:16" ht="40.5" customHeight="1" thickBot="1" x14ac:dyDescent="0.3">
      <c r="A19" s="185"/>
      <c r="D19" s="170" t="s">
        <v>525</v>
      </c>
      <c r="E19" s="388" t="str">
        <f>IF(H19="","","2018-2020")</f>
        <v/>
      </c>
      <c r="F19" s="223" t="str">
        <f>IF(H19="","","d")</f>
        <v/>
      </c>
      <c r="G19" s="223" t="str">
        <f>IF(H19="","","5")</f>
        <v/>
      </c>
      <c r="H19" s="222" t="str">
        <f>IF(OR(Matrix_Lunge!$R$31="-----",Matrix_Lunge!$R$31=""),"",IF(Matrix_Lunge!R31="",0,IF(AND(ROUND(Matrix_Lunge!R31,4)&gt;=Berechnung2!G58,ROUND(Matrix_Lunge!R31,4)&lt;Berechnung2!J58),Berechnung2!L58,"")))</f>
        <v/>
      </c>
      <c r="I19" s="175" t="str">
        <f t="array" ref="I19">IF(H19="","",VLOOKUP(F19,Berechnung2!$I$15:$J$24,2,FALSE))</f>
        <v/>
      </c>
      <c r="J19" s="202" t="str">
        <f t="shared" si="9"/>
        <v/>
      </c>
      <c r="L19" s="30" t="str">
        <f t="array" aca="1" ref="L19" ca="1">IF(ROW()-ROW($F$2:$F$47)+1&gt;ROWS($E$2:$E$47)-COUNTBLANK($E$2:$E$47),"",INDIRECT(ADDRESS(SMALL((IF($E$2:$E$47&lt;&gt;"",ROW($E$2:$E$47),ROW()+ROWS($E$2:$E$47))),ROW()-ROW($F$2:$F$47)+1),COLUMN($E$2:$E$47),4)))</f>
        <v/>
      </c>
      <c r="M19" s="30" t="str">
        <f t="array" aca="1" ref="M19" ca="1">IF(ROW()-ROW($G$2:$G$47)+1&gt;ROWS($F$2:$F$47)-COUNTBLANK($F$2:$F$47),"",INDIRECT(ADDRESS(SMALL((IF($F$2:$F$47&lt;&gt;"",ROW($F$2:$F$47),ROW()+ROWS($F$2:$F$47))),ROW()-ROW($G$2:$G$47)+1),COLUMN($F$2:$F$47),4)))</f>
        <v/>
      </c>
      <c r="N19" s="30" t="str">
        <f t="array" aca="1" ref="N19" ca="1">IF(ROW()-ROW($H$2:$H$47)+1&gt;ROWS($G$2:$G$47)-COUNTBLANK($G$2:$G$47),"",INDIRECT(ADDRESS(SMALL((IF($G$2:$G$47&lt;&gt;"",ROW($G$2:$G$47),ROW()+ROWS($G$2:$G$47))),ROW()-ROW($H$2:$H$47)+1),COLUMN($G$2:$G$47),4)))</f>
        <v/>
      </c>
      <c r="O19" s="193" t="str">
        <f t="array" aca="1" ref="O19" ca="1">IF(ROW()-ROW($I$2:$I$47)+1&gt;ROWS($H$2:$H$47)-COUNTBLANK($H$2:$H$47),"",INDIRECT(ADDRESS(SMALL((IF($H$2:$H$47&lt;&gt;"",ROW($H$2:$H$47),ROW()+ROWS($H$2:$H$47))),ROW()-ROW($I$2:$I$47)+1),COLUMN($H$2:$H$47),4)))</f>
        <v/>
      </c>
      <c r="P19" s="193" t="str">
        <f t="array" aca="1" ref="P19" ca="1">IF(ROW()-ROW($J$2:$J$47)+1&gt;ROWS($I$2:$I$47)-COUNTBLANK($I$2:$I$47),"",INDIRECT(ADDRESS(SMALL((IF($I$2:$I$47&lt;&gt;"",ROW($I$2:$I$47),ROW()+ROWS($I$2:$I$47))),ROW()-ROW($J$2:$J$47)+1),COLUMN($I$2:$I$47),4)))</f>
        <v/>
      </c>
    </row>
    <row r="20" spans="1:16" ht="15" customHeight="1" x14ac:dyDescent="0.25">
      <c r="A20" s="185"/>
      <c r="D20" s="182" t="s">
        <v>164</v>
      </c>
      <c r="E20" s="174" t="str">
        <f>IF(H20="","","2016")</f>
        <v/>
      </c>
      <c r="F20" s="174" t="str">
        <f t="shared" ref="F20:F24" si="13">IF(H20="","","e")</f>
        <v/>
      </c>
      <c r="G20" s="174" t="str">
        <f>IF(H20="","","6")</f>
        <v/>
      </c>
      <c r="H20" s="225" t="str">
        <f>IF(A2="relevant",IF(Matrix_Lunge!C23="","",IF(Matrix_Lunge!C23&lt;Berechnung2!$G$55,Berechnung2!$L$55,"")),"")</f>
        <v/>
      </c>
      <c r="I20" s="179" t="str">
        <f t="array" ref="I20">IF(H20="","",VLOOKUP(F20,Berechnung2!$I$15:$J$24,2,FALSE))</f>
        <v/>
      </c>
      <c r="J20" s="201" t="str">
        <f t="shared" si="9"/>
        <v/>
      </c>
      <c r="L20" s="30" t="str">
        <f t="array" aca="1" ref="L20" ca="1">IF(ROW()-ROW($F$2:$F$47)+1&gt;ROWS($E$2:$E$47)-COUNTBLANK($E$2:$E$47),"",INDIRECT(ADDRESS(SMALL((IF($E$2:$E$47&lt;&gt;"",ROW($E$2:$E$47),ROW()+ROWS($E$2:$E$47))),ROW()-ROW($F$2:$F$47)+1),COLUMN($E$2:$E$47),4)))</f>
        <v/>
      </c>
      <c r="M20" s="30" t="str">
        <f t="array" aca="1" ref="M20" ca="1">IF(ROW()-ROW($G$2:$G$47)+1&gt;ROWS($F$2:$F$47)-COUNTBLANK($F$2:$F$47),"",INDIRECT(ADDRESS(SMALL((IF($F$2:$F$47&lt;&gt;"",ROW($F$2:$F$47),ROW()+ROWS($F$2:$F$47))),ROW()-ROW($G$2:$G$47)+1),COLUMN($F$2:$F$47),4)))</f>
        <v/>
      </c>
      <c r="N20" s="30" t="str">
        <f t="array" aca="1" ref="N20" ca="1">IF(ROW()-ROW($H$2:$H$47)+1&gt;ROWS($G$2:$G$47)-COUNTBLANK($G$2:$G$47),"",INDIRECT(ADDRESS(SMALL((IF($G$2:$G$47&lt;&gt;"",ROW($G$2:$G$47),ROW()+ROWS($G$2:$G$47))),ROW()-ROW($H$2:$H$47)+1),COLUMN($G$2:$G$47),4)))</f>
        <v/>
      </c>
      <c r="O20" s="193" t="str">
        <f t="array" aca="1" ref="O20" ca="1">IF(ROW()-ROW($I$2:$I$47)+1&gt;ROWS($H$2:$H$47)-COUNTBLANK($H$2:$H$47),"",INDIRECT(ADDRESS(SMALL((IF($H$2:$H$47&lt;&gt;"",ROW($H$2:$H$47),ROW()+ROWS($H$2:$H$47))),ROW()-ROW($I$2:$I$47)+1),COLUMN($H$2:$H$47),4)))</f>
        <v/>
      </c>
      <c r="P20" s="193" t="str">
        <f t="array" aca="1" ref="P20" ca="1">IF(ROW()-ROW($J$2:$J$47)+1&gt;ROWS($I$2:$I$47)-COUNTBLANK($I$2:$I$47),"",INDIRECT(ADDRESS(SMALL((IF($I$2:$I$47&lt;&gt;"",ROW($I$2:$I$47),ROW()+ROWS($I$2:$I$47))),ROW()-ROW($J$2:$J$47)+1),COLUMN($I$2:$I$47),4)))</f>
        <v/>
      </c>
    </row>
    <row r="21" spans="1:16" ht="15" customHeight="1" x14ac:dyDescent="0.25">
      <c r="A21" s="185"/>
      <c r="D21" s="921" t="s">
        <v>230</v>
      </c>
      <c r="E21" s="30" t="str">
        <f>IF(H21="","","2017")</f>
        <v/>
      </c>
      <c r="F21" s="47" t="str">
        <f t="shared" si="13"/>
        <v/>
      </c>
      <c r="G21" s="47" t="str">
        <f t="shared" ref="G21:G24" si="14">IF(H21="","","6")</f>
        <v/>
      </c>
      <c r="H21" s="226" t="str">
        <f>IF(A3="relevant",IF(Matrix_Lunge!C24="","",IF(Matrix_Lunge!C24&lt;Berechnung2!$G$55,Berechnung2!$L$55,"")),"")</f>
        <v/>
      </c>
      <c r="I21" s="184" t="str">
        <f t="array" ref="I21">IF(H21="","",VLOOKUP(F21,Berechnung2!$I$15:$J$24,2,FALSE))</f>
        <v/>
      </c>
      <c r="J21" s="199" t="str">
        <f t="shared" si="9"/>
        <v/>
      </c>
      <c r="L21" s="30" t="str">
        <f t="array" aca="1" ref="L21" ca="1">IF(ROW()-ROW($F$2:$F$47)+1&gt;ROWS($E$2:$E$47)-COUNTBLANK($E$2:$E$47),"",INDIRECT(ADDRESS(SMALL((IF($E$2:$E$47&lt;&gt;"",ROW($E$2:$E$47),ROW()+ROWS($E$2:$E$47))),ROW()-ROW($F$2:$F$47)+1),COLUMN($E$2:$E$47),4)))</f>
        <v/>
      </c>
      <c r="M21" s="30" t="str">
        <f t="array" aca="1" ref="M21" ca="1">IF(ROW()-ROW($G$2:$G$47)+1&gt;ROWS($F$2:$F$47)-COUNTBLANK($F$2:$F$47),"",INDIRECT(ADDRESS(SMALL((IF($F$2:$F$47&lt;&gt;"",ROW($F$2:$F$47),ROW()+ROWS($F$2:$F$47))),ROW()-ROW($G$2:$G$47)+1),COLUMN($F$2:$F$47),4)))</f>
        <v/>
      </c>
      <c r="N21" s="30" t="str">
        <f t="array" aca="1" ref="N21" ca="1">IF(ROW()-ROW($H$2:$H$47)+1&gt;ROWS($G$2:$G$47)-COUNTBLANK($G$2:$G$47),"",INDIRECT(ADDRESS(SMALL((IF($G$2:$G$47&lt;&gt;"",ROW($G$2:$G$47),ROW()+ROWS($G$2:$G$47))),ROW()-ROW($H$2:$H$47)+1),COLUMN($G$2:$G$47),4)))</f>
        <v/>
      </c>
      <c r="O21" s="193" t="str">
        <f t="array" aca="1" ref="O21" ca="1">IF(ROW()-ROW($I$2:$I$47)+1&gt;ROWS($H$2:$H$47)-COUNTBLANK($H$2:$H$47),"",INDIRECT(ADDRESS(SMALL((IF($H$2:$H$47&lt;&gt;"",ROW($H$2:$H$47),ROW()+ROWS($H$2:$H$47))),ROW()-ROW($I$2:$I$47)+1),COLUMN($H$2:$H$47),4)))</f>
        <v/>
      </c>
      <c r="P21" s="193" t="str">
        <f t="array" aca="1" ref="P21" ca="1">IF(ROW()-ROW($J$2:$J$47)+1&gt;ROWS($I$2:$I$47)-COUNTBLANK($I$2:$I$47),"",INDIRECT(ADDRESS(SMALL((IF($I$2:$I$47&lt;&gt;"",ROW($I$2:$I$47),ROW()+ROWS($I$2:$I$47))),ROW()-ROW($J$2:$J$47)+1),COLUMN($I$2:$I$47),4)))</f>
        <v/>
      </c>
    </row>
    <row r="22" spans="1:16" ht="15" customHeight="1" x14ac:dyDescent="0.25">
      <c r="A22" s="185"/>
      <c r="D22" s="921"/>
      <c r="E22" s="30" t="str">
        <f>IF(H22="","","2018")</f>
        <v/>
      </c>
      <c r="F22" s="47" t="str">
        <f t="shared" si="13"/>
        <v/>
      </c>
      <c r="G22" s="47" t="str">
        <f t="shared" si="14"/>
        <v/>
      </c>
      <c r="H22" s="226" t="str">
        <f>IF(A4="relevant",IF(Matrix_Lunge!C25="","",IF(Matrix_Lunge!C25&lt;Berechnung2!$G$55,Berechnung2!$L$55,"")),"")</f>
        <v/>
      </c>
      <c r="I22" s="184" t="str">
        <f t="array" ref="I22">IF(H22="","",VLOOKUP(F22,Berechnung2!$I$15:$J$24,2,FALSE))</f>
        <v/>
      </c>
      <c r="J22" s="199" t="str">
        <f t="shared" si="9"/>
        <v/>
      </c>
      <c r="L22" s="30" t="str">
        <f t="array" aca="1" ref="L22" ca="1">IF(ROW()-ROW($F$2:$F$47)+1&gt;ROWS($E$2:$E$47)-COUNTBLANK($E$2:$E$47),"",INDIRECT(ADDRESS(SMALL((IF($E$2:$E$47&lt;&gt;"",ROW($E$2:$E$47),ROW()+ROWS($E$2:$E$47))),ROW()-ROW($F$2:$F$47)+1),COLUMN($E$2:$E$47),4)))</f>
        <v/>
      </c>
      <c r="M22" s="30" t="str">
        <f t="array" aca="1" ref="M22" ca="1">IF(ROW()-ROW($G$2:$G$47)+1&gt;ROWS($F$2:$F$47)-COUNTBLANK($F$2:$F$47),"",INDIRECT(ADDRESS(SMALL((IF($F$2:$F$47&lt;&gt;"",ROW($F$2:$F$47),ROW()+ROWS($F$2:$F$47))),ROW()-ROW($G$2:$G$47)+1),COLUMN($F$2:$F$47),4)))</f>
        <v/>
      </c>
      <c r="N22" s="30" t="str">
        <f t="array" aca="1" ref="N22" ca="1">IF(ROW()-ROW($H$2:$H$47)+1&gt;ROWS($G$2:$G$47)-COUNTBLANK($G$2:$G$47),"",INDIRECT(ADDRESS(SMALL((IF($G$2:$G$47&lt;&gt;"",ROW($G$2:$G$47),ROW()+ROWS($G$2:$G$47))),ROW()-ROW($H$2:$H$47)+1),COLUMN($G$2:$G$47),4)))</f>
        <v/>
      </c>
      <c r="O22" s="193" t="str">
        <f t="array" aca="1" ref="O22" ca="1">IF(ROW()-ROW($I$2:$I$47)+1&gt;ROWS($H$2:$H$47)-COUNTBLANK($H$2:$H$47),"",INDIRECT(ADDRESS(SMALL((IF($H$2:$H$47&lt;&gt;"",ROW($H$2:$H$47),ROW()+ROWS($H$2:$H$47))),ROW()-ROW($I$2:$I$47)+1),COLUMN($H$2:$H$47),4)))</f>
        <v/>
      </c>
      <c r="P22" s="193" t="str">
        <f t="array" aca="1" ref="P22" ca="1">IF(ROW()-ROW($J$2:$J$47)+1&gt;ROWS($I$2:$I$47)-COUNTBLANK($I$2:$I$47),"",INDIRECT(ADDRESS(SMALL((IF($I$2:$I$47&lt;&gt;"",ROW($I$2:$I$47),ROW()+ROWS($I$2:$I$47))),ROW()-ROW($J$2:$J$47)+1),COLUMN($I$2:$I$47),4)))</f>
        <v/>
      </c>
    </row>
    <row r="23" spans="1:16" ht="40.5" customHeight="1" x14ac:dyDescent="0.25">
      <c r="D23" s="921"/>
      <c r="E23" s="30" t="str">
        <f>IF(H23="","","2019")</f>
        <v/>
      </c>
      <c r="F23" s="47" t="str">
        <f t="shared" si="13"/>
        <v/>
      </c>
      <c r="G23" s="47" t="str">
        <f t="shared" si="14"/>
        <v/>
      </c>
      <c r="H23" s="226" t="str">
        <f>IF(A5="relevant",IF(Matrix_Lunge!C26="","",IF(Matrix_Lunge!C26&lt;Berechnung2!$G$55,Berechnung2!$L$55,"")),"")</f>
        <v/>
      </c>
      <c r="I23" s="184" t="str">
        <f t="array" ref="I23">IF(H23="","",VLOOKUP(F23,Berechnung2!$I$15:$J$24,2,FALSE))</f>
        <v/>
      </c>
      <c r="J23" s="199" t="str">
        <f t="shared" si="9"/>
        <v/>
      </c>
      <c r="L23" s="30" t="str">
        <f t="array" aca="1" ref="L23" ca="1">IF(ROW()-ROW($F$2:$F$47)+1&gt;ROWS($E$2:$E$47)-COUNTBLANK($E$2:$E$47),"",INDIRECT(ADDRESS(SMALL((IF($E$2:$E$47&lt;&gt;"",ROW($E$2:$E$47),ROW()+ROWS($E$2:$E$47))),ROW()-ROW($F$2:$F$47)+1),COLUMN($E$2:$E$47),4)))</f>
        <v/>
      </c>
      <c r="M23" s="30" t="str">
        <f t="array" aca="1" ref="M23" ca="1">IF(ROW()-ROW($G$2:$G$47)+1&gt;ROWS($F$2:$F$47)-COUNTBLANK($F$2:$F$47),"",INDIRECT(ADDRESS(SMALL((IF($F$2:$F$47&lt;&gt;"",ROW($F$2:$F$47),ROW()+ROWS($F$2:$F$47))),ROW()-ROW($G$2:$G$47)+1),COLUMN($F$2:$F$47),4)))</f>
        <v/>
      </c>
      <c r="N23" s="30" t="str">
        <f t="array" aca="1" ref="N23" ca="1">IF(ROW()-ROW($H$2:$H$47)+1&gt;ROWS($G$2:$G$47)-COUNTBLANK($G$2:$G$47),"",INDIRECT(ADDRESS(SMALL((IF($G$2:$G$47&lt;&gt;"",ROW($G$2:$G$47),ROW()+ROWS($G$2:$G$47))),ROW()-ROW($H$2:$H$47)+1),COLUMN($G$2:$G$47),4)))</f>
        <v/>
      </c>
      <c r="O23" s="193" t="str">
        <f t="array" aca="1" ref="O23" ca="1">IF(ROW()-ROW($I$2:$I$47)+1&gt;ROWS($H$2:$H$47)-COUNTBLANK($H$2:$H$47),"",INDIRECT(ADDRESS(SMALL((IF($H$2:$H$47&lt;&gt;"",ROW($H$2:$H$47),ROW()+ROWS($H$2:$H$47))),ROW()-ROW($I$2:$I$47)+1),COLUMN($H$2:$H$47),4)))</f>
        <v/>
      </c>
      <c r="P23" s="193" t="str">
        <f t="array" aca="1" ref="P23" ca="1">IF(ROW()-ROW($J$2:$J$47)+1&gt;ROWS($I$2:$I$47)-COUNTBLANK($I$2:$I$47),"",INDIRECT(ADDRESS(SMALL((IF($I$2:$I$47&lt;&gt;"",ROW($I$2:$I$47),ROW()+ROWS($I$2:$I$47))),ROW()-ROW($J$2:$J$47)+1),COLUMN($I$2:$I$47),4)))</f>
        <v/>
      </c>
    </row>
    <row r="24" spans="1:16" ht="15" customHeight="1" x14ac:dyDescent="0.25">
      <c r="D24" s="921"/>
      <c r="E24" s="30" t="str">
        <f>IF(H24="","","2020")</f>
        <v/>
      </c>
      <c r="F24" s="47" t="str">
        <f t="shared" si="13"/>
        <v/>
      </c>
      <c r="G24" s="47" t="str">
        <f t="shared" si="14"/>
        <v/>
      </c>
      <c r="H24" s="226" t="str">
        <f>IF(A6="relevant",IF(Matrix_Lunge!C27="","",IF(Matrix_Lunge!C27&lt;Berechnung2!$G$55,Berechnung2!$L$55,"")),"")</f>
        <v/>
      </c>
      <c r="I24" s="184" t="str">
        <f t="array" ref="I24">IF(H24="","",VLOOKUP(F24,Berechnung2!$I$15:$J$24,2,FALSE))</f>
        <v/>
      </c>
      <c r="J24" s="199" t="str">
        <f t="shared" si="9"/>
        <v/>
      </c>
      <c r="L24" s="30" t="str">
        <f t="array" aca="1" ref="L24" ca="1">IF(ROW()-ROW($F$2:$F$47)+1&gt;ROWS($E$2:$E$47)-COUNTBLANK($E$2:$E$47),"",INDIRECT(ADDRESS(SMALL((IF($E$2:$E$47&lt;&gt;"",ROW($E$2:$E$47),ROW()+ROWS($E$2:$E$47))),ROW()-ROW($F$2:$F$47)+1),COLUMN($E$2:$E$47),4)))</f>
        <v/>
      </c>
      <c r="M24" s="30" t="str">
        <f t="array" aca="1" ref="M24" ca="1">IF(ROW()-ROW($G$2:$G$47)+1&gt;ROWS($F$2:$F$47)-COUNTBLANK($F$2:$F$47),"",INDIRECT(ADDRESS(SMALL((IF($F$2:$F$47&lt;&gt;"",ROW($F$2:$F$47),ROW()+ROWS($F$2:$F$47))),ROW()-ROW($G$2:$G$47)+1),COLUMN($F$2:$F$47),4)))</f>
        <v/>
      </c>
      <c r="N24" s="30" t="str">
        <f t="array" aca="1" ref="N24" ca="1">IF(ROW()-ROW($H$2:$H$47)+1&gt;ROWS($G$2:$G$47)-COUNTBLANK($G$2:$G$47),"",INDIRECT(ADDRESS(SMALL((IF($G$2:$G$47&lt;&gt;"",ROW($G$2:$G$47),ROW()+ROWS($G$2:$G$47))),ROW()-ROW($H$2:$H$47)+1),COLUMN($G$2:$G$47),4)))</f>
        <v/>
      </c>
      <c r="O24" s="193" t="str">
        <f t="array" aca="1" ref="O24" ca="1">IF(ROW()-ROW($I$2:$I$47)+1&gt;ROWS($H$2:$H$47)-COUNTBLANK($H$2:$H$47),"",INDIRECT(ADDRESS(SMALL((IF($H$2:$H$47&lt;&gt;"",ROW($H$2:$H$47),ROW()+ROWS($H$2:$H$47))),ROW()-ROW($I$2:$I$47)+1),COLUMN($H$2:$H$47),4)))</f>
        <v/>
      </c>
      <c r="P24" s="193" t="str">
        <f t="array" aca="1" ref="P24" ca="1">IF(ROW()-ROW($J$2:$J$47)+1&gt;ROWS($I$2:$I$47)-COUNTBLANK($I$2:$I$47),"",INDIRECT(ADDRESS(SMALL((IF($I$2:$I$47&lt;&gt;"",ROW($I$2:$I$47),ROW()+ROWS($I$2:$I$47))),ROW()-ROW($J$2:$J$47)+1),COLUMN($I$2:$I$47),4)))</f>
        <v/>
      </c>
    </row>
    <row r="25" spans="1:16" ht="15" customHeight="1" x14ac:dyDescent="0.25">
      <c r="D25" s="417" t="s">
        <v>466</v>
      </c>
      <c r="E25" s="30" t="str">
        <f>IF(H25="","","2021")</f>
        <v/>
      </c>
      <c r="F25" s="47" t="str">
        <f t="shared" ref="F25" si="15">IF(H25="","","e")</f>
        <v/>
      </c>
      <c r="G25" s="47" t="str">
        <f t="shared" ref="G25" si="16">IF(H25="","","6")</f>
        <v/>
      </c>
      <c r="H25" s="226" t="str">
        <f>IF(A7="relevant",IF(Matrix_Lunge!C28="","",IF(Matrix_Lunge!C28&lt;Berechnung2!$G$55,Berechnung2!$L$55,"")),"")</f>
        <v/>
      </c>
      <c r="I25" s="184" t="str">
        <f t="array" ref="I25">IF(H25="","",VLOOKUP(F25,Berechnung2!$I$15:$J$24,2,FALSE))</f>
        <v/>
      </c>
      <c r="J25" s="199" t="str">
        <f t="shared" si="9"/>
        <v/>
      </c>
      <c r="L25" s="30" t="str">
        <f t="array" aca="1" ref="L25" ca="1">IF(ROW()-ROW($F$2:$F$47)+1&gt;ROWS($E$2:$E$47)-COUNTBLANK($E$2:$E$47),"",INDIRECT(ADDRESS(SMALL((IF($E$2:$E$47&lt;&gt;"",ROW($E$2:$E$47),ROW()+ROWS($E$2:$E$47))),ROW()-ROW($F$2:$F$47)+1),COLUMN($E$2:$E$47),4)))</f>
        <v/>
      </c>
      <c r="M25" s="30" t="str">
        <f t="array" aca="1" ref="M25" ca="1">IF(ROW()-ROW($G$2:$G$47)+1&gt;ROWS($F$2:$F$47)-COUNTBLANK($F$2:$F$47),"",INDIRECT(ADDRESS(SMALL((IF($F$2:$F$47&lt;&gt;"",ROW($F$2:$F$47),ROW()+ROWS($F$2:$F$47))),ROW()-ROW($G$2:$G$47)+1),COLUMN($F$2:$F$47),4)))</f>
        <v/>
      </c>
      <c r="N25" s="30" t="str">
        <f t="array" aca="1" ref="N25" ca="1">IF(ROW()-ROW($H$2:$H$47)+1&gt;ROWS($G$2:$G$47)-COUNTBLANK($G$2:$G$47),"",INDIRECT(ADDRESS(SMALL((IF($G$2:$G$47&lt;&gt;"",ROW($G$2:$G$47),ROW()+ROWS($G$2:$G$47))),ROW()-ROW($H$2:$H$47)+1),COLUMN($G$2:$G$47),4)))</f>
        <v/>
      </c>
      <c r="O25" s="193" t="str">
        <f t="array" aca="1" ref="O25" ca="1">IF(ROW()-ROW($I$2:$I$47)+1&gt;ROWS($H$2:$H$47)-COUNTBLANK($H$2:$H$47),"",INDIRECT(ADDRESS(SMALL((IF($H$2:$H$47&lt;&gt;"",ROW($H$2:$H$47),ROW()+ROWS($H$2:$H$47))),ROW()-ROW($I$2:$I$47)+1),COLUMN($H$2:$H$47),4)))</f>
        <v/>
      </c>
      <c r="P25" s="193" t="str">
        <f t="array" aca="1" ref="P25" ca="1">IF(ROW()-ROW($J$2:$J$47)+1&gt;ROWS($I$2:$I$47)-COUNTBLANK($I$2:$I$47),"",INDIRECT(ADDRESS(SMALL((IF($I$2:$I$47&lt;&gt;"",ROW($I$2:$I$47),ROW()+ROWS($I$2:$I$47))),ROW()-ROW($J$2:$J$47)+1),COLUMN($I$2:$I$47),4)))</f>
        <v/>
      </c>
    </row>
    <row r="26" spans="1:16" ht="15" customHeight="1" thickBot="1" x14ac:dyDescent="0.3">
      <c r="D26" s="423"/>
      <c r="E26" s="30" t="str">
        <f>IF(H26="","","2022")</f>
        <v/>
      </c>
      <c r="F26" s="47" t="str">
        <f t="shared" ref="F26" si="17">IF(H26="","","e")</f>
        <v/>
      </c>
      <c r="G26" s="47" t="str">
        <f t="shared" ref="G26" si="18">IF(H26="","","6")</f>
        <v/>
      </c>
      <c r="H26" s="226" t="str">
        <f>IF(A8="relevant",IF(Matrix_Lunge!C29="","",IF(Matrix_Lunge!C29&lt;Berechnung2!$G$55,Berechnung2!$L$55,"")),"")</f>
        <v/>
      </c>
      <c r="I26" s="184" t="str">
        <f t="array" ref="I26">IF(H26="","",VLOOKUP(F26,Berechnung2!$I$15:$J$24,2,FALSE))</f>
        <v/>
      </c>
      <c r="J26" s="199" t="str">
        <f t="shared" ref="J26" si="19">IF(H26&lt;&gt;"",1,"")</f>
        <v/>
      </c>
      <c r="L26" s="30" t="str">
        <f t="array" aca="1" ref="L26" ca="1">IF(ROW()-ROW($F$2:$F$47)+1&gt;ROWS($E$2:$E$47)-COUNTBLANK($E$2:$E$47),"",INDIRECT(ADDRESS(SMALL((IF($E$2:$E$47&lt;&gt;"",ROW($E$2:$E$47),ROW()+ROWS($E$2:$E$47))),ROW()-ROW($F$2:$F$47)+1),COLUMN($E$2:$E$47),4)))</f>
        <v/>
      </c>
      <c r="M26" s="30" t="str">
        <f t="array" aca="1" ref="M26" ca="1">IF(ROW()-ROW($G$2:$G$47)+1&gt;ROWS($F$2:$F$47)-COUNTBLANK($F$2:$F$47),"",INDIRECT(ADDRESS(SMALL((IF($F$2:$F$47&lt;&gt;"",ROW($F$2:$F$47),ROW()+ROWS($F$2:$F$47))),ROW()-ROW($G$2:$G$47)+1),COLUMN($F$2:$F$47),4)))</f>
        <v/>
      </c>
      <c r="N26" s="30" t="str">
        <f t="array" aca="1" ref="N26" ca="1">IF(ROW()-ROW($H$2:$H$47)+1&gt;ROWS($G$2:$G$47)-COUNTBLANK($G$2:$G$47),"",INDIRECT(ADDRESS(SMALL((IF($G$2:$G$47&lt;&gt;"",ROW($G$2:$G$47),ROW()+ROWS($G$2:$G$47))),ROW()-ROW($H$2:$H$47)+1),COLUMN($G$2:$G$47),4)))</f>
        <v/>
      </c>
      <c r="O26" s="193" t="str">
        <f t="array" aca="1" ref="O26" ca="1">IF(ROW()-ROW($I$2:$I$47)+1&gt;ROWS($H$2:$H$47)-COUNTBLANK($H$2:$H$47),"",INDIRECT(ADDRESS(SMALL((IF($H$2:$H$47&lt;&gt;"",ROW($H$2:$H$47),ROW()+ROWS($H$2:$H$47))),ROW()-ROW($I$2:$I$47)+1),COLUMN($H$2:$H$47),4)))</f>
        <v/>
      </c>
      <c r="P26" s="193" t="str">
        <f t="array" aca="1" ref="P26" ca="1">IF(ROW()-ROW($J$2:$J$47)+1&gt;ROWS($I$2:$I$47)-COUNTBLANK($I$2:$I$47),"",INDIRECT(ADDRESS(SMALL((IF($I$2:$I$47&lt;&gt;"",ROW($I$2:$I$47),ROW()+ROWS($I$2:$I$47))),ROW()-ROW($J$2:$J$47)+1),COLUMN($I$2:$I$47),4)))</f>
        <v/>
      </c>
    </row>
    <row r="27" spans="1:16" ht="32.25" customHeight="1" thickBot="1" x14ac:dyDescent="0.3">
      <c r="D27" s="180" t="s">
        <v>462</v>
      </c>
      <c r="E27" s="388" t="str">
        <f>IF(H27="","","2018-2020")</f>
        <v/>
      </c>
      <c r="F27" s="223" t="str">
        <f>IF(H27="","","f")</f>
        <v/>
      </c>
      <c r="G27" s="223" t="str">
        <f t="shared" ref="G27" si="20">IF(H27="","","6")</f>
        <v/>
      </c>
      <c r="H27" s="222" t="str">
        <f>IF(OR(Matrix_Lunge!R31="-----",Matrix_Lunge!R31=""),"",IF(Matrix_Lunge!R31="",0,IF(ROUND(Matrix_Lunge!R31,4)&gt;Berechnung2!J59,Berechnung2!L59,"")))</f>
        <v/>
      </c>
      <c r="I27" s="175" t="str">
        <f t="array" ref="I27">IF(H27="","",VLOOKUP(F27,Berechnung2!$I$15:$J$24,2,FALSE))</f>
        <v/>
      </c>
      <c r="J27" s="202" t="str">
        <f t="shared" ref="J27" si="21">IF(H27&lt;&gt;"",1,"")</f>
        <v/>
      </c>
      <c r="L27" s="30" t="str">
        <f t="array" aca="1" ref="L27" ca="1">IF(ROW()-ROW($F$2:$F$47)+1&gt;ROWS($E$2:$E$47)-COUNTBLANK($E$2:$E$47),"",INDIRECT(ADDRESS(SMALL((IF($E$2:$E$47&lt;&gt;"",ROW($E$2:$E$47),ROW()+ROWS($E$2:$E$47))),ROW()-ROW($F$2:$F$47)+1),COLUMN($E$2:$E$47),4)))</f>
        <v/>
      </c>
      <c r="M27" s="30" t="str">
        <f t="array" aca="1" ref="M27" ca="1">IF(ROW()-ROW($G$2:$G$47)+1&gt;ROWS($F$2:$F$47)-COUNTBLANK($F$2:$F$47),"",INDIRECT(ADDRESS(SMALL((IF($F$2:$F$47&lt;&gt;"",ROW($F$2:$F$47),ROW()+ROWS($F$2:$F$47))),ROW()-ROW($G$2:$G$47)+1),COLUMN($F$2:$F$47),4)))</f>
        <v/>
      </c>
      <c r="N27" s="30" t="str">
        <f t="array" aca="1" ref="N27" ca="1">IF(ROW()-ROW($H$2:$H$47)+1&gt;ROWS($G$2:$G$47)-COUNTBLANK($G$2:$G$47),"",INDIRECT(ADDRESS(SMALL((IF($G$2:$G$47&lt;&gt;"",ROW($G$2:$G$47),ROW()+ROWS($G$2:$G$47))),ROW()-ROW($H$2:$H$47)+1),COLUMN($G$2:$G$47),4)))</f>
        <v/>
      </c>
      <c r="O27" s="193" t="str">
        <f t="array" aca="1" ref="O27" ca="1">IF(ROW()-ROW($I$2:$I$47)+1&gt;ROWS($H$2:$H$47)-COUNTBLANK($H$2:$H$47),"",INDIRECT(ADDRESS(SMALL((IF($H$2:$H$47&lt;&gt;"",ROW($H$2:$H$47),ROW()+ROWS($H$2:$H$47))),ROW()-ROW($I$2:$I$47)+1),COLUMN($H$2:$H$47),4)))</f>
        <v/>
      </c>
      <c r="P27" s="193" t="str">
        <f t="array" aca="1" ref="P27" ca="1">IF(ROW()-ROW($J$2:$J$47)+1&gt;ROWS($I$2:$I$47)-COUNTBLANK($I$2:$I$47),"",INDIRECT(ADDRESS(SMALL((IF($I$2:$I$47&lt;&gt;"",ROW($I$2:$I$47),ROW()+ROWS($I$2:$I$47))),ROW()-ROW($J$2:$J$47)+1),COLUMN($I$2:$I$47),4)))</f>
        <v/>
      </c>
    </row>
    <row r="28" spans="1:16" ht="15" customHeight="1" x14ac:dyDescent="0.25">
      <c r="D28" s="182" t="s">
        <v>164</v>
      </c>
      <c r="E28" s="427"/>
      <c r="F28" s="428"/>
      <c r="G28" s="428"/>
      <c r="H28" s="429"/>
      <c r="I28" s="327"/>
      <c r="J28" s="430"/>
      <c r="L28" s="30" t="str">
        <f t="array" aca="1" ref="L28" ca="1">IF(ROW()-ROW($F$2:$F$47)+1&gt;ROWS($E$2:$E$47)-COUNTBLANK($E$2:$E$47),"",INDIRECT(ADDRESS(SMALL((IF($E$2:$E$47&lt;&gt;"",ROW($E$2:$E$47),ROW()+ROWS($E$2:$E$47))),ROW()-ROW($F$2:$F$47)+1),COLUMN($E$2:$E$47),4)))</f>
        <v/>
      </c>
      <c r="M28" s="30" t="str">
        <f t="array" aca="1" ref="M28" ca="1">IF(ROW()-ROW($G$2:$G$47)+1&gt;ROWS($F$2:$F$47)-COUNTBLANK($F$2:$F$47),"",INDIRECT(ADDRESS(SMALL((IF($F$2:$F$47&lt;&gt;"",ROW($F$2:$F$47),ROW()+ROWS($F$2:$F$47))),ROW()-ROW($G$2:$G$47)+1),COLUMN($F$2:$F$47),4)))</f>
        <v/>
      </c>
      <c r="N28" s="30" t="str">
        <f t="array" aca="1" ref="N28" ca="1">IF(ROW()-ROW($H$2:$H$47)+1&gt;ROWS($G$2:$G$47)-COUNTBLANK($G$2:$G$47),"",INDIRECT(ADDRESS(SMALL((IF($G$2:$G$47&lt;&gt;"",ROW($G$2:$G$47),ROW()+ROWS($G$2:$G$47))),ROW()-ROW($H$2:$H$47)+1),COLUMN($G$2:$G$47),4)))</f>
        <v/>
      </c>
      <c r="O28" s="193" t="str">
        <f t="array" aca="1" ref="O28" ca="1">IF(ROW()-ROW($I$2:$I$47)+1&gt;ROWS($H$2:$H$47)-COUNTBLANK($H$2:$H$47),"",INDIRECT(ADDRESS(SMALL((IF($H$2:$H$47&lt;&gt;"",ROW($H$2:$H$47),ROW()+ROWS($H$2:$H$47))),ROW()-ROW($I$2:$I$47)+1),COLUMN($H$2:$H$47),4)))</f>
        <v/>
      </c>
      <c r="P28" s="193" t="str">
        <f t="array" aca="1" ref="P28" ca="1">IF(ROW()-ROW($J$2:$J$47)+1&gt;ROWS($I$2:$I$47)-COUNTBLANK($I$2:$I$47),"",INDIRECT(ADDRESS(SMALL((IF($I$2:$I$47&lt;&gt;"",ROW($I$2:$I$47),ROW()+ROWS($I$2:$I$47))),ROW()-ROW($J$2:$J$47)+1),COLUMN($I$2:$I$47),4)))</f>
        <v/>
      </c>
    </row>
    <row r="29" spans="1:16" ht="15" customHeight="1" x14ac:dyDescent="0.25">
      <c r="D29" s="921" t="s">
        <v>388</v>
      </c>
      <c r="E29" s="427"/>
      <c r="F29" s="428"/>
      <c r="G29" s="428"/>
      <c r="H29" s="429"/>
      <c r="I29" s="327"/>
      <c r="J29" s="430"/>
      <c r="L29" s="30" t="str">
        <f t="array" aca="1" ref="L29" ca="1">IF(ROW()-ROW($F$2:$F$47)+1&gt;ROWS($E$2:$E$47)-COUNTBLANK($E$2:$E$47),"",INDIRECT(ADDRESS(SMALL((IF($E$2:$E$47&lt;&gt;"",ROW($E$2:$E$47),ROW()+ROWS($E$2:$E$47))),ROW()-ROW($F$2:$F$47)+1),COLUMN($E$2:$E$47),4)))</f>
        <v/>
      </c>
      <c r="M29" s="30" t="str">
        <f t="array" aca="1" ref="M29" ca="1">IF(ROW()-ROW($G$2:$G$47)+1&gt;ROWS($F$2:$F$47)-COUNTBLANK($F$2:$F$47),"",INDIRECT(ADDRESS(SMALL((IF($F$2:$F$47&lt;&gt;"",ROW($F$2:$F$47),ROW()+ROWS($F$2:$F$47))),ROW()-ROW($G$2:$G$47)+1),COLUMN($F$2:$F$47),4)))</f>
        <v/>
      </c>
      <c r="N29" s="30" t="str">
        <f t="array" aca="1" ref="N29" ca="1">IF(ROW()-ROW($H$2:$H$47)+1&gt;ROWS($G$2:$G$47)-COUNTBLANK($G$2:$G$47),"",INDIRECT(ADDRESS(SMALL((IF($G$2:$G$47&lt;&gt;"",ROW($G$2:$G$47),ROW()+ROWS($G$2:$G$47))),ROW()-ROW($H$2:$H$47)+1),COLUMN($G$2:$G$47),4)))</f>
        <v/>
      </c>
      <c r="O29" s="193" t="str">
        <f t="array" aca="1" ref="O29" ca="1">IF(ROW()-ROW($I$2:$I$47)+1&gt;ROWS($H$2:$H$47)-COUNTBLANK($H$2:$H$47),"",INDIRECT(ADDRESS(SMALL((IF($H$2:$H$47&lt;&gt;"",ROW($H$2:$H$47),ROW()+ROWS($H$2:$H$47))),ROW()-ROW($I$2:$I$47)+1),COLUMN($H$2:$H$47),4)))</f>
        <v/>
      </c>
      <c r="P29" s="193" t="str">
        <f t="array" aca="1" ref="P29" ca="1">IF(ROW()-ROW($J$2:$J$47)+1&gt;ROWS($I$2:$I$47)-COUNTBLANK($I$2:$I$47),"",INDIRECT(ADDRESS(SMALL((IF($I$2:$I$47&lt;&gt;"",ROW($I$2:$I$47),ROW()+ROWS($I$2:$I$47))),ROW()-ROW($J$2:$J$47)+1),COLUMN($I$2:$I$47),4)))</f>
        <v/>
      </c>
    </row>
    <row r="30" spans="1:16" ht="15" customHeight="1" x14ac:dyDescent="0.25">
      <c r="D30" s="921"/>
      <c r="E30" s="30" t="str">
        <f>IF(H30="","","2018")</f>
        <v/>
      </c>
      <c r="F30" s="47" t="str">
        <f>IF(H30="","","g")</f>
        <v/>
      </c>
      <c r="G30" s="47" t="str">
        <f t="shared" ref="G30:G37" si="22">IF(H30="","","6")</f>
        <v/>
      </c>
      <c r="H30" s="226" t="str">
        <f>IF(A4="relevant",IF(Matrix_Lunge!R25="","",IF(ROUND(Matrix_Lunge!R25,4)&lt;Berechnung2!$J$57,Berechnung2!$L$57,"")),"")</f>
        <v/>
      </c>
      <c r="I30" s="184" t="str">
        <f t="array" ref="I30">IF(H30="","",VLOOKUP(F30,Berechnung2!$I$15:$J$24,2,FALSE))</f>
        <v/>
      </c>
      <c r="J30" s="199" t="str">
        <f t="shared" ref="J30:J37" si="23">IF(H30&lt;&gt;"",1,"")</f>
        <v/>
      </c>
      <c r="L30" s="30" t="str">
        <f t="array" aca="1" ref="L30" ca="1">IF(ROW()-ROW($F$2:$F$47)+1&gt;ROWS($E$2:$E$47)-COUNTBLANK($E$2:$E$47),"",INDIRECT(ADDRESS(SMALL((IF($E$2:$E$47&lt;&gt;"",ROW($E$2:$E$47),ROW()+ROWS($E$2:$E$47))),ROW()-ROW($F$2:$F$47)+1),COLUMN($E$2:$E$47),4)))</f>
        <v/>
      </c>
      <c r="M30" s="30" t="str">
        <f t="array" aca="1" ref="M30" ca="1">IF(ROW()-ROW($G$2:$G$47)+1&gt;ROWS($F$2:$F$47)-COUNTBLANK($F$2:$F$47),"",INDIRECT(ADDRESS(SMALL((IF($F$2:$F$47&lt;&gt;"",ROW($F$2:$F$47),ROW()+ROWS($F$2:$F$47))),ROW()-ROW($G$2:$G$47)+1),COLUMN($F$2:$F$47),4)))</f>
        <v/>
      </c>
      <c r="N30" s="30" t="str">
        <f t="array" aca="1" ref="N30" ca="1">IF(ROW()-ROW($H$2:$H$47)+1&gt;ROWS($G$2:$G$47)-COUNTBLANK($G$2:$G$47),"",INDIRECT(ADDRESS(SMALL((IF($G$2:$G$47&lt;&gt;"",ROW($G$2:$G$47),ROW()+ROWS($G$2:$G$47))),ROW()-ROW($H$2:$H$47)+1),COLUMN($G$2:$G$47),4)))</f>
        <v/>
      </c>
      <c r="O30" s="193" t="str">
        <f t="array" aca="1" ref="O30" ca="1">IF(ROW()-ROW($I$2:$I$47)+1&gt;ROWS($H$2:$H$47)-COUNTBLANK($H$2:$H$47),"",INDIRECT(ADDRESS(SMALL((IF($H$2:$H$47&lt;&gt;"",ROW($H$2:$H$47),ROW()+ROWS($H$2:$H$47))),ROW()-ROW($I$2:$I$47)+1),COLUMN($H$2:$H$47),4)))</f>
        <v/>
      </c>
      <c r="P30" s="193" t="str">
        <f t="array" aca="1" ref="P30" ca="1">IF(ROW()-ROW($J$2:$J$47)+1&gt;ROWS($I$2:$I$47)-COUNTBLANK($I$2:$I$47),"",INDIRECT(ADDRESS(SMALL((IF($I$2:$I$47&lt;&gt;"",ROW($I$2:$I$47),ROW()+ROWS($I$2:$I$47))),ROW()-ROW($J$2:$J$47)+1),COLUMN($I$2:$I$47),4)))</f>
        <v/>
      </c>
    </row>
    <row r="31" spans="1:16" ht="15" customHeight="1" x14ac:dyDescent="0.25">
      <c r="D31" s="921"/>
      <c r="E31" s="30" t="str">
        <f>IF(H31="","","2019")</f>
        <v/>
      </c>
      <c r="F31" s="47" t="str">
        <f>IF(H31="","","g")</f>
        <v/>
      </c>
      <c r="G31" s="47" t="str">
        <f t="shared" si="22"/>
        <v/>
      </c>
      <c r="H31" s="226" t="str">
        <f>IF(A5="relevant",IF(Matrix_Lunge!R26="","",IF(ROUND(Matrix_Lunge!R26,4)&lt;Berechnung2!$J$57,Berechnung2!$L$57,"")),"")</f>
        <v/>
      </c>
      <c r="I31" s="184" t="str">
        <f t="array" ref="I31">IF(H31="","",VLOOKUP(F31,Berechnung2!$I$15:$J$24,2,FALSE))</f>
        <v/>
      </c>
      <c r="J31" s="199" t="str">
        <f t="shared" si="23"/>
        <v/>
      </c>
      <c r="L31" s="30" t="str">
        <f t="array" aca="1" ref="L31" ca="1">IF(ROW()-ROW($F$2:$F$47)+1&gt;ROWS($E$2:$E$47)-COUNTBLANK($E$2:$E$47),"",INDIRECT(ADDRESS(SMALL((IF($E$2:$E$47&lt;&gt;"",ROW($E$2:$E$47),ROW()+ROWS($E$2:$E$47))),ROW()-ROW($F$2:$F$47)+1),COLUMN($E$2:$E$47),4)))</f>
        <v/>
      </c>
      <c r="M31" s="30" t="str">
        <f t="array" aca="1" ref="M31" ca="1">IF(ROW()-ROW($G$2:$G$47)+1&gt;ROWS($F$2:$F$47)-COUNTBLANK($F$2:$F$47),"",INDIRECT(ADDRESS(SMALL((IF($F$2:$F$47&lt;&gt;"",ROW($F$2:$F$47),ROW()+ROWS($F$2:$F$47))),ROW()-ROW($G$2:$G$47)+1),COLUMN($F$2:$F$47),4)))</f>
        <v/>
      </c>
      <c r="N31" s="30" t="str">
        <f t="array" aca="1" ref="N31" ca="1">IF(ROW()-ROW($H$2:$H$47)+1&gt;ROWS($G$2:$G$47)-COUNTBLANK($G$2:$G$47),"",INDIRECT(ADDRESS(SMALL((IF($G$2:$G$47&lt;&gt;"",ROW($G$2:$G$47),ROW()+ROWS($G$2:$G$47))),ROW()-ROW($H$2:$H$47)+1),COLUMN($G$2:$G$47),4)))</f>
        <v/>
      </c>
      <c r="O31" s="193" t="str">
        <f t="array" aca="1" ref="O31" ca="1">IF(ROW()-ROW($I$2:$I$47)+1&gt;ROWS($H$2:$H$47)-COUNTBLANK($H$2:$H$47),"",INDIRECT(ADDRESS(SMALL((IF($H$2:$H$47&lt;&gt;"",ROW($H$2:$H$47),ROW()+ROWS($H$2:$H$47))),ROW()-ROW($I$2:$I$47)+1),COLUMN($H$2:$H$47),4)))</f>
        <v/>
      </c>
      <c r="P31" s="193" t="str">
        <f t="array" aca="1" ref="P31" ca="1">IF(ROW()-ROW($J$2:$J$47)+1&gt;ROWS($I$2:$I$47)-COUNTBLANK($I$2:$I$47),"",INDIRECT(ADDRESS(SMALL((IF($I$2:$I$47&lt;&gt;"",ROW($I$2:$I$47),ROW()+ROWS($I$2:$I$47))),ROW()-ROW($J$2:$J$47)+1),COLUMN($I$2:$I$47),4)))</f>
        <v/>
      </c>
    </row>
    <row r="32" spans="1:16" ht="15" customHeight="1" thickBot="1" x14ac:dyDescent="0.3">
      <c r="D32" s="416" t="s">
        <v>458</v>
      </c>
      <c r="E32" s="30" t="str">
        <f>IF(H32="","","2020")</f>
        <v/>
      </c>
      <c r="F32" s="47" t="str">
        <f>IF(H32="","","g")</f>
        <v/>
      </c>
      <c r="G32" s="47" t="str">
        <f t="shared" si="22"/>
        <v/>
      </c>
      <c r="H32" s="226" t="str">
        <f>IF(A6="relevant",IF(Matrix_Lunge!R27="","",IF(ROUND(Matrix_Lunge!R27,4)&lt;Berechnung2!$J$57,Berechnung2!$L$57,"")),"")</f>
        <v/>
      </c>
      <c r="I32" s="184" t="str">
        <f t="array" ref="I32">IF(H32="","",VLOOKUP(F32,Berechnung2!$I$15:$J$24,2,FALSE))</f>
        <v/>
      </c>
      <c r="J32" s="199" t="str">
        <f t="shared" si="23"/>
        <v/>
      </c>
      <c r="L32" s="30" t="str">
        <f t="array" aca="1" ref="L32" ca="1">IF(ROW()-ROW($F$2:$F$47)+1&gt;ROWS($E$2:$E$47)-COUNTBLANK($E$2:$E$47),"",INDIRECT(ADDRESS(SMALL((IF($E$2:$E$47&lt;&gt;"",ROW($E$2:$E$47),ROW()+ROWS($E$2:$E$47))),ROW()-ROW($F$2:$F$47)+1),COLUMN($E$2:$E$47),4)))</f>
        <v/>
      </c>
      <c r="M32" s="30" t="str">
        <f t="array" aca="1" ref="M32" ca="1">IF(ROW()-ROW($G$2:$G$47)+1&gt;ROWS($F$2:$F$47)-COUNTBLANK($F$2:$F$47),"",INDIRECT(ADDRESS(SMALL((IF($F$2:$F$47&lt;&gt;"",ROW($F$2:$F$47),ROW()+ROWS($F$2:$F$47))),ROW()-ROW($G$2:$G$47)+1),COLUMN($F$2:$F$47),4)))</f>
        <v/>
      </c>
      <c r="N32" s="30" t="str">
        <f t="array" aca="1" ref="N32" ca="1">IF(ROW()-ROW($H$2:$H$47)+1&gt;ROWS($G$2:$G$47)-COUNTBLANK($G$2:$G$47),"",INDIRECT(ADDRESS(SMALL((IF($G$2:$G$47&lt;&gt;"",ROW($G$2:$G$47),ROW()+ROWS($G$2:$G$47))),ROW()-ROW($H$2:$H$47)+1),COLUMN($G$2:$G$47),4)))</f>
        <v/>
      </c>
      <c r="O32" s="193" t="str">
        <f t="array" aca="1" ref="O32" ca="1">IF(ROW()-ROW($I$2:$I$47)+1&gt;ROWS($H$2:$H$47)-COUNTBLANK($H$2:$H$47),"",INDIRECT(ADDRESS(SMALL((IF($H$2:$H$47&lt;&gt;"",ROW($H$2:$H$47),ROW()+ROWS($H$2:$H$47))),ROW()-ROW($I$2:$I$47)+1),COLUMN($H$2:$H$47),4)))</f>
        <v/>
      </c>
      <c r="P32" s="193" t="str">
        <f t="array" aca="1" ref="P32" ca="1">IF(ROW()-ROW($J$2:$J$47)+1&gt;ROWS($I$2:$I$47)-COUNTBLANK($I$2:$I$47),"",INDIRECT(ADDRESS(SMALL((IF($I$2:$I$47&lt;&gt;"",ROW($I$2:$I$47),ROW()+ROWS($I$2:$I$47))),ROW()-ROW($J$2:$J$47)+1),COLUMN($I$2:$I$47),4)))</f>
        <v/>
      </c>
    </row>
    <row r="33" spans="4:16" ht="15" customHeight="1" x14ac:dyDescent="0.25">
      <c r="D33" s="182" t="s">
        <v>164</v>
      </c>
      <c r="E33" s="174" t="str">
        <f>IF(H33="","","2016")</f>
        <v/>
      </c>
      <c r="F33" s="174" t="str">
        <f>IF(H33="","","h")</f>
        <v/>
      </c>
      <c r="G33" s="174" t="str">
        <f t="shared" si="22"/>
        <v/>
      </c>
      <c r="H33" s="225" t="str">
        <f>IF(A2="relevant",IF(Matrix_Lunge!U23="","",IF(AND(ROUND(Matrix_Lunge!U23,4)&lt;Berechnung2!$J$53,(ROUND(Matrix_Lunge!U23,4))&gt;=0),Berechnung2!$L$53,"")),"")</f>
        <v/>
      </c>
      <c r="I33" s="179" t="str">
        <f t="array" ref="I33">IF(H33="","",VLOOKUP(F33,Berechnung2!$I$15:$J$24,2,FALSE))</f>
        <v/>
      </c>
      <c r="J33" s="201" t="str">
        <f t="shared" si="23"/>
        <v/>
      </c>
      <c r="L33" s="30" t="str">
        <f t="array" aca="1" ref="L33" ca="1">IF(ROW()-ROW($F$2:$F$47)+1&gt;ROWS($E$2:$E$47)-COUNTBLANK($E$2:$E$47),"",INDIRECT(ADDRESS(SMALL((IF($E$2:$E$47&lt;&gt;"",ROW($E$2:$E$47),ROW()+ROWS($E$2:$E$47))),ROW()-ROW($F$2:$F$47)+1),COLUMN($E$2:$E$47),4)))</f>
        <v/>
      </c>
      <c r="M33" s="30" t="str">
        <f t="array" aca="1" ref="M33" ca="1">IF(ROW()-ROW($G$2:$G$47)+1&gt;ROWS($F$2:$F$47)-COUNTBLANK($F$2:$F$47),"",INDIRECT(ADDRESS(SMALL((IF($F$2:$F$47&lt;&gt;"",ROW($F$2:$F$47),ROW()+ROWS($F$2:$F$47))),ROW()-ROW($G$2:$G$47)+1),COLUMN($F$2:$F$47),4)))</f>
        <v/>
      </c>
      <c r="N33" s="30" t="str">
        <f t="array" aca="1" ref="N33" ca="1">IF(ROW()-ROW($H$2:$H$47)+1&gt;ROWS($G$2:$G$47)-COUNTBLANK($G$2:$G$47),"",INDIRECT(ADDRESS(SMALL((IF($G$2:$G$47&lt;&gt;"",ROW($G$2:$G$47),ROW()+ROWS($G$2:$G$47))),ROW()-ROW($H$2:$H$47)+1),COLUMN($G$2:$G$47),4)))</f>
        <v/>
      </c>
      <c r="O33" s="193" t="str">
        <f t="array" aca="1" ref="O33" ca="1">IF(ROW()-ROW($I$2:$I$47)+1&gt;ROWS($H$2:$H$47)-COUNTBLANK($H$2:$H$47),"",INDIRECT(ADDRESS(SMALL((IF($H$2:$H$47&lt;&gt;"",ROW($H$2:$H$47),ROW()+ROWS($H$2:$H$47))),ROW()-ROW($I$2:$I$47)+1),COLUMN($H$2:$H$47),4)))</f>
        <v/>
      </c>
      <c r="P33" s="193" t="str">
        <f t="array" aca="1" ref="P33" ca="1">IF(ROW()-ROW($J$2:$J$47)+1&gt;ROWS($I$2:$I$47)-COUNTBLANK($I$2:$I$47),"",INDIRECT(ADDRESS(SMALL((IF($I$2:$I$47&lt;&gt;"",ROW($I$2:$I$47),ROW()+ROWS($I$2:$I$47))),ROW()-ROW($J$2:$J$47)+1),COLUMN($I$2:$I$47),4)))</f>
        <v/>
      </c>
    </row>
    <row r="34" spans="4:16" ht="15" customHeight="1" x14ac:dyDescent="0.25">
      <c r="D34" s="921" t="s">
        <v>229</v>
      </c>
      <c r="E34" s="30" t="str">
        <f>IF(H34="","","2017")</f>
        <v/>
      </c>
      <c r="F34" s="47" t="str">
        <f>IF(H34="","","h")</f>
        <v/>
      </c>
      <c r="G34" s="47" t="str">
        <f t="shared" si="22"/>
        <v/>
      </c>
      <c r="H34" s="226" t="str">
        <f>IF(A3="relevant",IF(Matrix_Lunge!U24="","",IF(AND(ROUND(Matrix_Lunge!U24,4)&lt;Berechnung2!$J$53,(ROUND(Matrix_Lunge!U24,4))&gt;=0),Berechnung2!$L$53,"")),"")</f>
        <v/>
      </c>
      <c r="I34" s="184" t="str">
        <f t="array" ref="I34">IF(H34="","",VLOOKUP(F34,Berechnung2!$I$15:$J$24,2,FALSE))</f>
        <v/>
      </c>
      <c r="J34" s="199" t="str">
        <f t="shared" si="23"/>
        <v/>
      </c>
      <c r="L34" s="30" t="str">
        <f t="array" aca="1" ref="L34" ca="1">IF(ROW()-ROW($F$2:$F$47)+1&gt;ROWS($E$2:$E$47)-COUNTBLANK($E$2:$E$47),"",INDIRECT(ADDRESS(SMALL((IF($E$2:$E$47&lt;&gt;"",ROW($E$2:$E$47),ROW()+ROWS($E$2:$E$47))),ROW()-ROW($F$2:$F$47)+1),COLUMN($E$2:$E$47),4)))</f>
        <v/>
      </c>
      <c r="M34" s="30" t="str">
        <f t="array" aca="1" ref="M34" ca="1">IF(ROW()-ROW($G$2:$G$47)+1&gt;ROWS($F$2:$F$47)-COUNTBLANK($F$2:$F$47),"",INDIRECT(ADDRESS(SMALL((IF($F$2:$F$47&lt;&gt;"",ROW($F$2:$F$47),ROW()+ROWS($F$2:$F$47))),ROW()-ROW($G$2:$G$47)+1),COLUMN($F$2:$F$47),4)))</f>
        <v/>
      </c>
      <c r="N34" s="30" t="str">
        <f t="array" aca="1" ref="N34" ca="1">IF(ROW()-ROW($H$2:$H$47)+1&gt;ROWS($G$2:$G$47)-COUNTBLANK($G$2:$G$47),"",INDIRECT(ADDRESS(SMALL((IF($G$2:$G$47&lt;&gt;"",ROW($G$2:$G$47),ROW()+ROWS($G$2:$G$47))),ROW()-ROW($H$2:$H$47)+1),COLUMN($G$2:$G$47),4)))</f>
        <v/>
      </c>
      <c r="O34" s="193" t="str">
        <f t="array" aca="1" ref="O34" ca="1">IF(ROW()-ROW($I$2:$I$47)+1&gt;ROWS($H$2:$H$47)-COUNTBLANK($H$2:$H$47),"",INDIRECT(ADDRESS(SMALL((IF($H$2:$H$47&lt;&gt;"",ROW($H$2:$H$47),ROW()+ROWS($H$2:$H$47))),ROW()-ROW($I$2:$I$47)+1),COLUMN($H$2:$H$47),4)))</f>
        <v/>
      </c>
      <c r="P34" s="193" t="str">
        <f t="array" aca="1" ref="P34" ca="1">IF(ROW()-ROW($J$2:$J$47)+1&gt;ROWS($I$2:$I$47)-COUNTBLANK($I$2:$I$47),"",INDIRECT(ADDRESS(SMALL((IF($I$2:$I$47&lt;&gt;"",ROW($I$2:$I$47),ROW()+ROWS($I$2:$I$47))),ROW()-ROW($J$2:$J$47)+1),COLUMN($I$2:$I$47),4)))</f>
        <v/>
      </c>
    </row>
    <row r="35" spans="4:16" ht="15" customHeight="1" x14ac:dyDescent="0.25">
      <c r="D35" s="921"/>
      <c r="E35" s="30" t="str">
        <f>IF(H35="","","2018")</f>
        <v/>
      </c>
      <c r="F35" s="47" t="str">
        <f>IF(H35="","","h")</f>
        <v/>
      </c>
      <c r="G35" s="47" t="str">
        <f t="shared" si="22"/>
        <v/>
      </c>
      <c r="H35" s="226" t="str">
        <f>IF(A4="relevant",IF(Matrix_Lunge!U25="","",IF(AND(ROUND(Matrix_Lunge!U25,4)&lt;Berechnung2!$J$53,(ROUND(Matrix_Lunge!U25,4))&gt;=0),Berechnung2!$L$53,"")),"")</f>
        <v/>
      </c>
      <c r="I35" s="184" t="str">
        <f t="array" ref="I35">IF(H35="","",VLOOKUP(F35,Berechnung2!$I$15:$J$24,2,FALSE))</f>
        <v/>
      </c>
      <c r="J35" s="199" t="str">
        <f t="shared" si="23"/>
        <v/>
      </c>
      <c r="L35" s="30" t="str">
        <f t="array" aca="1" ref="L35" ca="1">IF(ROW()-ROW($F$2:$F$47)+1&gt;ROWS($E$2:$E$47)-COUNTBLANK($E$2:$E$47),"",INDIRECT(ADDRESS(SMALL((IF($E$2:$E$47&lt;&gt;"",ROW($E$2:$E$47),ROW()+ROWS($E$2:$E$47))),ROW()-ROW($F$2:$F$47)+1),COLUMN($E$2:$E$47),4)))</f>
        <v/>
      </c>
      <c r="M35" s="30" t="str">
        <f t="array" aca="1" ref="M35" ca="1">IF(ROW()-ROW($G$2:$G$47)+1&gt;ROWS($F$2:$F$47)-COUNTBLANK($F$2:$F$47),"",INDIRECT(ADDRESS(SMALL((IF($F$2:$F$47&lt;&gt;"",ROW($F$2:$F$47),ROW()+ROWS($F$2:$F$47))),ROW()-ROW($G$2:$G$47)+1),COLUMN($F$2:$F$47),4)))</f>
        <v/>
      </c>
      <c r="N35" s="30" t="str">
        <f t="array" aca="1" ref="N35" ca="1">IF(ROW()-ROW($H$2:$H$47)+1&gt;ROWS($G$2:$G$47)-COUNTBLANK($G$2:$G$47),"",INDIRECT(ADDRESS(SMALL((IF($G$2:$G$47&lt;&gt;"",ROW($G$2:$G$47),ROW()+ROWS($G$2:$G$47))),ROW()-ROW($H$2:$H$47)+1),COLUMN($G$2:$G$47),4)))</f>
        <v/>
      </c>
      <c r="O35" s="193" t="str">
        <f t="array" aca="1" ref="O35" ca="1">IF(ROW()-ROW($I$2:$I$47)+1&gt;ROWS($H$2:$H$47)-COUNTBLANK($H$2:$H$47),"",INDIRECT(ADDRESS(SMALL((IF($H$2:$H$47&lt;&gt;"",ROW($H$2:$H$47),ROW()+ROWS($H$2:$H$47))),ROW()-ROW($I$2:$I$47)+1),COLUMN($H$2:$H$47),4)))</f>
        <v/>
      </c>
      <c r="P35" s="193" t="str">
        <f t="array" aca="1" ref="P35" ca="1">IF(ROW()-ROW($J$2:$J$47)+1&gt;ROWS($I$2:$I$47)-COUNTBLANK($I$2:$I$47),"",INDIRECT(ADDRESS(SMALL((IF($I$2:$I$47&lt;&gt;"",ROW($I$2:$I$47),ROW()+ROWS($I$2:$I$47))),ROW()-ROW($J$2:$J$47)+1),COLUMN($I$2:$I$47),4)))</f>
        <v/>
      </c>
    </row>
    <row r="36" spans="4:16" ht="15" customHeight="1" x14ac:dyDescent="0.25">
      <c r="D36" s="921"/>
      <c r="E36" s="30" t="str">
        <f>IF(H36="","","2019")</f>
        <v/>
      </c>
      <c r="F36" s="47" t="str">
        <f>IF(H36="","","h")</f>
        <v/>
      </c>
      <c r="G36" s="47" t="str">
        <f t="shared" si="22"/>
        <v/>
      </c>
      <c r="H36" s="226" t="str">
        <f>IF(A5="relevant",IF(Matrix_Lunge!U26="","",IF(AND(ROUND(Matrix_Lunge!U26,4)&lt;Berechnung2!$J$53,(ROUND(Matrix_Lunge!U26,4))&gt;=0),Berechnung2!$L$53,"")),"")</f>
        <v/>
      </c>
      <c r="I36" s="184" t="str">
        <f t="array" ref="I36">IF(H36="","",VLOOKUP(F36,Berechnung2!$I$15:$J$24,2,FALSE))</f>
        <v/>
      </c>
      <c r="J36" s="199" t="str">
        <f t="shared" si="23"/>
        <v/>
      </c>
      <c r="L36" s="30" t="str">
        <f t="array" aca="1" ref="L36" ca="1">IF(ROW()-ROW($F$2:$F$47)+1&gt;ROWS($E$2:$E$47)-COUNTBLANK($E$2:$E$47),"",INDIRECT(ADDRESS(SMALL((IF($E$2:$E$47&lt;&gt;"",ROW($E$2:$E$47),ROW()+ROWS($E$2:$E$47))),ROW()-ROW($F$2:$F$47)+1),COLUMN($E$2:$E$47),4)))</f>
        <v/>
      </c>
      <c r="M36" s="30" t="str">
        <f t="array" aca="1" ref="M36" ca="1">IF(ROW()-ROW($G$2:$G$47)+1&gt;ROWS($F$2:$F$47)-COUNTBLANK($F$2:$F$47),"",INDIRECT(ADDRESS(SMALL((IF($F$2:$F$47&lt;&gt;"",ROW($F$2:$F$47),ROW()+ROWS($F$2:$F$47))),ROW()-ROW($G$2:$G$47)+1),COLUMN($F$2:$F$47),4)))</f>
        <v/>
      </c>
      <c r="N36" s="30" t="str">
        <f t="array" aca="1" ref="N36" ca="1">IF(ROW()-ROW($H$2:$H$47)+1&gt;ROWS($G$2:$G$47)-COUNTBLANK($G$2:$G$47),"",INDIRECT(ADDRESS(SMALL((IF($G$2:$G$47&lt;&gt;"",ROW($G$2:$G$47),ROW()+ROWS($G$2:$G$47))),ROW()-ROW($H$2:$H$47)+1),COLUMN($G$2:$G$47),4)))</f>
        <v/>
      </c>
      <c r="O36" s="193" t="str">
        <f t="array" aca="1" ref="O36" ca="1">IF(ROW()-ROW($I$2:$I$47)+1&gt;ROWS($H$2:$H$47)-COUNTBLANK($H$2:$H$47),"",INDIRECT(ADDRESS(SMALL((IF($H$2:$H$47&lt;&gt;"",ROW($H$2:$H$47),ROW()+ROWS($H$2:$H$47))),ROW()-ROW($I$2:$I$47)+1),COLUMN($H$2:$H$47),4)))</f>
        <v/>
      </c>
      <c r="P36" s="193" t="str">
        <f t="array" aca="1" ref="P36" ca="1">IF(ROW()-ROW($J$2:$J$47)+1&gt;ROWS($I$2:$I$47)-COUNTBLANK($I$2:$I$47),"",INDIRECT(ADDRESS(SMALL((IF($I$2:$I$47&lt;&gt;"",ROW($I$2:$I$47),ROW()+ROWS($I$2:$I$47))),ROW()-ROW($J$2:$J$47)+1),COLUMN($I$2:$I$47),4)))</f>
        <v/>
      </c>
    </row>
    <row r="37" spans="4:16" ht="15" customHeight="1" thickBot="1" x14ac:dyDescent="0.3">
      <c r="D37" s="181" t="s">
        <v>459</v>
      </c>
      <c r="E37" s="228" t="str">
        <f>IF(H37="","","2020")</f>
        <v/>
      </c>
      <c r="F37" s="173" t="str">
        <f>IF(H37="","","h")</f>
        <v/>
      </c>
      <c r="G37" s="173" t="str">
        <f t="shared" si="22"/>
        <v/>
      </c>
      <c r="H37" s="224" t="str">
        <f>IF(A6="relevant",IF(Matrix_Lunge!U27="","",IF(AND(ROUND(Matrix_Lunge!U27,4)&lt;Berechnung2!$J$53,(ROUND(Matrix_Lunge!U27,4))&gt;=0),Berechnung2!$L$53,"")),"")</f>
        <v/>
      </c>
      <c r="I37" s="178" t="str">
        <f t="array" ref="I37">IF(H37="","",VLOOKUP(F37,Berechnung2!$I$15:$J$24,2,FALSE))</f>
        <v/>
      </c>
      <c r="J37" s="200" t="str">
        <f t="shared" si="23"/>
        <v/>
      </c>
      <c r="L37" s="30" t="str">
        <f t="array" aca="1" ref="L37" ca="1">IF(ROW()-ROW($F$2:$F$47)+1&gt;ROWS($E$2:$E$47)-COUNTBLANK($E$2:$E$47),"",INDIRECT(ADDRESS(SMALL((IF($E$2:$E$47&lt;&gt;"",ROW($E$2:$E$47),ROW()+ROWS($E$2:$E$47))),ROW()-ROW($F$2:$F$47)+1),COLUMN($E$2:$E$47),4)))</f>
        <v/>
      </c>
      <c r="M37" s="30" t="str">
        <f t="array" aca="1" ref="M37" ca="1">IF(ROW()-ROW($G$2:$G$47)+1&gt;ROWS($F$2:$F$47)-COUNTBLANK($F$2:$F$47),"",INDIRECT(ADDRESS(SMALL((IF($F$2:$F$47&lt;&gt;"",ROW($F$2:$F$47),ROW()+ROWS($F$2:$F$47))),ROW()-ROW($G$2:$G$47)+1),COLUMN($F$2:$F$47),4)))</f>
        <v/>
      </c>
      <c r="N37" s="30" t="str">
        <f t="array" aca="1" ref="N37" ca="1">IF(ROW()-ROW($H$2:$H$47)+1&gt;ROWS($G$2:$G$47)-COUNTBLANK($G$2:$G$47),"",INDIRECT(ADDRESS(SMALL((IF($G$2:$G$47&lt;&gt;"",ROW($G$2:$G$47),ROW()+ROWS($G$2:$G$47))),ROW()-ROW($H$2:$H$47)+1),COLUMN($G$2:$G$47),4)))</f>
        <v/>
      </c>
      <c r="O37" s="193" t="str">
        <f t="array" aca="1" ref="O37" ca="1">IF(ROW()-ROW($I$2:$I$47)+1&gt;ROWS($H$2:$H$47)-COUNTBLANK($H$2:$H$47),"",INDIRECT(ADDRESS(SMALL((IF($H$2:$H$47&lt;&gt;"",ROW($H$2:$H$47),ROW()+ROWS($H$2:$H$47))),ROW()-ROW($I$2:$I$47)+1),COLUMN($H$2:$H$47),4)))</f>
        <v/>
      </c>
      <c r="P37" s="193" t="str">
        <f t="array" aca="1" ref="P37" ca="1">IF(ROW()-ROW($J$2:$J$47)+1&gt;ROWS($I$2:$I$47)-COUNTBLANK($I$2:$I$47),"",INDIRECT(ADDRESS(SMALL((IF($I$2:$I$47&lt;&gt;"",ROW($I$2:$I$47),ROW()+ROWS($I$2:$I$47))),ROW()-ROW($J$2:$J$47)+1),COLUMN($I$2:$I$47),4)))</f>
        <v/>
      </c>
    </row>
    <row r="38" spans="4:16" ht="15" customHeight="1" x14ac:dyDescent="0.25">
      <c r="D38" s="182" t="s">
        <v>164</v>
      </c>
      <c r="E38" s="431"/>
      <c r="F38" s="431"/>
      <c r="G38" s="431"/>
      <c r="H38" s="432"/>
      <c r="I38" s="433"/>
      <c r="J38" s="434"/>
      <c r="L38" s="30" t="str">
        <f t="array" aca="1" ref="L38" ca="1">IF(ROW()-ROW($F$2:$F$47)+1&gt;ROWS($E$2:$E$47)-COUNTBLANK($E$2:$E$47),"",INDIRECT(ADDRESS(SMALL((IF($E$2:$E$47&lt;&gt;"",ROW($E$2:$E$47),ROW()+ROWS($E$2:$E$47))),ROW()-ROW($F$2:$F$47)+1),COLUMN($E$2:$E$47),4)))</f>
        <v/>
      </c>
      <c r="M38" s="30" t="str">
        <f t="array" aca="1" ref="M38" ca="1">IF(ROW()-ROW($G$2:$G$47)+1&gt;ROWS($F$2:$F$47)-COUNTBLANK($F$2:$F$47),"",INDIRECT(ADDRESS(SMALL((IF($F$2:$F$47&lt;&gt;"",ROW($F$2:$F$47),ROW()+ROWS($F$2:$F$47))),ROW()-ROW($G$2:$G$47)+1),COLUMN($F$2:$F$47),4)))</f>
        <v/>
      </c>
      <c r="N38" s="30" t="str">
        <f t="array" aca="1" ref="N38" ca="1">IF(ROW()-ROW($H$2:$H$47)+1&gt;ROWS($G$2:$G$47)-COUNTBLANK($G$2:$G$47),"",INDIRECT(ADDRESS(SMALL((IF($G$2:$G$47&lt;&gt;"",ROW($G$2:$G$47),ROW()+ROWS($G$2:$G$47))),ROW()-ROW($H$2:$H$47)+1),COLUMN($G$2:$G$47),4)))</f>
        <v/>
      </c>
      <c r="O38" s="193" t="str">
        <f t="array" aca="1" ref="O38" ca="1">IF(ROW()-ROW($I$2:$I$47)+1&gt;ROWS($H$2:$H$47)-COUNTBLANK($H$2:$H$47),"",INDIRECT(ADDRESS(SMALL((IF($H$2:$H$47&lt;&gt;"",ROW($H$2:$H$47),ROW()+ROWS($H$2:$H$47))),ROW()-ROW($I$2:$I$47)+1),COLUMN($H$2:$H$47),4)))</f>
        <v/>
      </c>
      <c r="P38" s="193" t="str">
        <f t="array" aca="1" ref="P38" ca="1">IF(ROW()-ROW($J$2:$J$47)+1&gt;ROWS($I$2:$I$47)-COUNTBLANK($I$2:$I$47),"",INDIRECT(ADDRESS(SMALL((IF($I$2:$I$47&lt;&gt;"",ROW($I$2:$I$47),ROW()+ROWS($I$2:$I$47))),ROW()-ROW($J$2:$J$47)+1),COLUMN($I$2:$I$47),4)))</f>
        <v/>
      </c>
    </row>
    <row r="39" spans="4:16" ht="15" customHeight="1" x14ac:dyDescent="0.25">
      <c r="D39" s="921" t="s">
        <v>234</v>
      </c>
      <c r="E39" s="427"/>
      <c r="F39" s="428"/>
      <c r="G39" s="428"/>
      <c r="H39" s="429"/>
      <c r="I39" s="327"/>
      <c r="J39" s="430"/>
      <c r="L39" s="30" t="str">
        <f t="array" aca="1" ref="L39" ca="1">IF(ROW()-ROW($F$2:$F$47)+1&gt;ROWS($E$2:$E$47)-COUNTBLANK($E$2:$E$47),"",INDIRECT(ADDRESS(SMALL((IF($E$2:$E$47&lt;&gt;"",ROW($E$2:$E$47),ROW()+ROWS($E$2:$E$47))),ROW()-ROW($F$2:$F$47)+1),COLUMN($E$2:$E$47),4)))</f>
        <v/>
      </c>
      <c r="M39" s="30" t="str">
        <f t="array" aca="1" ref="M39" ca="1">IF(ROW()-ROW($G$2:$G$47)+1&gt;ROWS($F$2:$F$47)-COUNTBLANK($F$2:$F$47),"",INDIRECT(ADDRESS(SMALL((IF($F$2:$F$47&lt;&gt;"",ROW($F$2:$F$47),ROW()+ROWS($F$2:$F$47))),ROW()-ROW($G$2:$G$47)+1),COLUMN($F$2:$F$47),4)))</f>
        <v/>
      </c>
      <c r="N39" s="30" t="str">
        <f t="array" aca="1" ref="N39" ca="1">IF(ROW()-ROW($H$2:$H$47)+1&gt;ROWS($G$2:$G$47)-COUNTBLANK($G$2:$G$47),"",INDIRECT(ADDRESS(SMALL((IF($G$2:$G$47&lt;&gt;"",ROW($G$2:$G$47),ROW()+ROWS($G$2:$G$47))),ROW()-ROW($H$2:$H$47)+1),COLUMN($G$2:$G$47),4)))</f>
        <v/>
      </c>
      <c r="O39" s="193" t="str">
        <f t="array" aca="1" ref="O39" ca="1">IF(ROW()-ROW($I$2:$I$47)+1&gt;ROWS($H$2:$H$47)-COUNTBLANK($H$2:$H$47),"",INDIRECT(ADDRESS(SMALL((IF($H$2:$H$47&lt;&gt;"",ROW($H$2:$H$47),ROW()+ROWS($H$2:$H$47))),ROW()-ROW($I$2:$I$47)+1),COLUMN($H$2:$H$47),4)))</f>
        <v/>
      </c>
      <c r="P39" s="193" t="str">
        <f t="array" aca="1" ref="P39" ca="1">IF(ROW()-ROW($J$2:$J$47)+1&gt;ROWS($I$2:$I$47)-COUNTBLANK($I$2:$I$47),"",INDIRECT(ADDRESS(SMALL((IF($I$2:$I$47&lt;&gt;"",ROW($I$2:$I$47),ROW()+ROWS($I$2:$I$47))),ROW()-ROW($J$2:$J$47)+1),COLUMN($I$2:$I$47),4)))</f>
        <v/>
      </c>
    </row>
    <row r="40" spans="4:16" ht="15" customHeight="1" x14ac:dyDescent="0.25">
      <c r="D40" s="921"/>
      <c r="E40" s="427"/>
      <c r="F40" s="428"/>
      <c r="G40" s="428"/>
      <c r="H40" s="429"/>
      <c r="I40" s="327"/>
      <c r="J40" s="430"/>
      <c r="L40" s="30" t="str">
        <f t="array" aca="1" ref="L40" ca="1">IF(ROW()-ROW($F$2:$F$47)+1&gt;ROWS($E$2:$E$47)-COUNTBLANK($E$2:$E$47),"",INDIRECT(ADDRESS(SMALL((IF($E$2:$E$47&lt;&gt;"",ROW($E$2:$E$47),ROW()+ROWS($E$2:$E$47))),ROW()-ROW($F$2:$F$47)+1),COLUMN($E$2:$E$47),4)))</f>
        <v/>
      </c>
      <c r="M40" s="30" t="str">
        <f t="array" aca="1" ref="M40" ca="1">IF(ROW()-ROW($G$2:$G$47)+1&gt;ROWS($F$2:$F$47)-COUNTBLANK($F$2:$F$47),"",INDIRECT(ADDRESS(SMALL((IF($F$2:$F$47&lt;&gt;"",ROW($F$2:$F$47),ROW()+ROWS($F$2:$F$47))),ROW()-ROW($G$2:$G$47)+1),COLUMN($F$2:$F$47),4)))</f>
        <v/>
      </c>
      <c r="N40" s="30" t="str">
        <f t="array" aca="1" ref="N40" ca="1">IF(ROW()-ROW($H$2:$H$47)+1&gt;ROWS($G$2:$G$47)-COUNTBLANK($G$2:$G$47),"",INDIRECT(ADDRESS(SMALL((IF($G$2:$G$47&lt;&gt;"",ROW($G$2:$G$47),ROW()+ROWS($G$2:$G$47))),ROW()-ROW($H$2:$H$47)+1),COLUMN($G$2:$G$47),4)))</f>
        <v/>
      </c>
      <c r="O40" s="193" t="str">
        <f t="array" aca="1" ref="O40" ca="1">IF(ROW()-ROW($I$2:$I$47)+1&gt;ROWS($H$2:$H$47)-COUNTBLANK($H$2:$H$47),"",INDIRECT(ADDRESS(SMALL((IF($H$2:$H$47&lt;&gt;"",ROW($H$2:$H$47),ROW()+ROWS($H$2:$H$47))),ROW()-ROW($I$2:$I$47)+1),COLUMN($H$2:$H$47),4)))</f>
        <v/>
      </c>
      <c r="P40" s="193" t="str">
        <f t="array" aca="1" ref="P40" ca="1">IF(ROW()-ROW($J$2:$J$47)+1&gt;ROWS($I$2:$I$47)-COUNTBLANK($I$2:$I$47),"",INDIRECT(ADDRESS(SMALL((IF($I$2:$I$47&lt;&gt;"",ROW($I$2:$I$47),ROW()+ROWS($I$2:$I$47))),ROW()-ROW($J$2:$J$47)+1),COLUMN($I$2:$I$47),4)))</f>
        <v/>
      </c>
    </row>
    <row r="41" spans="4:16" ht="15" customHeight="1" x14ac:dyDescent="0.25">
      <c r="D41" s="921"/>
      <c r="E41" s="427"/>
      <c r="F41" s="428"/>
      <c r="G41" s="428"/>
      <c r="H41" s="429"/>
      <c r="I41" s="327"/>
      <c r="J41" s="430"/>
      <c r="L41" s="30" t="str">
        <f t="array" aca="1" ref="L41" ca="1">IF(ROW()-ROW($F$2:$F$47)+1&gt;ROWS($E$2:$E$47)-COUNTBLANK($E$2:$E$47),"",INDIRECT(ADDRESS(SMALL((IF($E$2:$E$47&lt;&gt;"",ROW($E$2:$E$47),ROW()+ROWS($E$2:$E$47))),ROW()-ROW($F$2:$F$47)+1),COLUMN($E$2:$E$47),4)))</f>
        <v/>
      </c>
      <c r="M41" s="30" t="str">
        <f t="array" aca="1" ref="M41" ca="1">IF(ROW()-ROW($G$2:$G$47)+1&gt;ROWS($F$2:$F$47)-COUNTBLANK($F$2:$F$47),"",INDIRECT(ADDRESS(SMALL((IF($F$2:$F$47&lt;&gt;"",ROW($F$2:$F$47),ROW()+ROWS($F$2:$F$47))),ROW()-ROW($G$2:$G$47)+1),COLUMN($F$2:$F$47),4)))</f>
        <v/>
      </c>
      <c r="N41" s="30" t="str">
        <f t="array" aca="1" ref="N41" ca="1">IF(ROW()-ROW($H$2:$H$47)+1&gt;ROWS($G$2:$G$47)-COUNTBLANK($G$2:$G$47),"",INDIRECT(ADDRESS(SMALL((IF($G$2:$G$47&lt;&gt;"",ROW($G$2:$G$47),ROW()+ROWS($G$2:$G$47))),ROW()-ROW($H$2:$H$47)+1),COLUMN($G$2:$G$47),4)))</f>
        <v/>
      </c>
      <c r="O41" s="193" t="str">
        <f t="array" aca="1" ref="O41" ca="1">IF(ROW()-ROW($I$2:$I$47)+1&gt;ROWS($H$2:$H$47)-COUNTBLANK($H$2:$H$47),"",INDIRECT(ADDRESS(SMALL((IF($H$2:$H$47&lt;&gt;"",ROW($H$2:$H$47),ROW()+ROWS($H$2:$H$47))),ROW()-ROW($I$2:$I$47)+1),COLUMN($H$2:$H$47),4)))</f>
        <v/>
      </c>
      <c r="P41" s="193" t="str">
        <f t="array" aca="1" ref="P41" ca="1">IF(ROW()-ROW($J$2:$J$47)+1&gt;ROWS($I$2:$I$47)-COUNTBLANK($I$2:$I$47),"",INDIRECT(ADDRESS(SMALL((IF($I$2:$I$47&lt;&gt;"",ROW($I$2:$I$47),ROW()+ROWS($I$2:$I$47))),ROW()-ROW($J$2:$J$47)+1),COLUMN($I$2:$I$47),4)))</f>
        <v/>
      </c>
    </row>
    <row r="42" spans="4:16" ht="15" customHeight="1" thickBot="1" x14ac:dyDescent="0.3">
      <c r="D42" s="416" t="s">
        <v>460</v>
      </c>
      <c r="E42" s="30" t="str">
        <f>IF(H42="","","2020")</f>
        <v/>
      </c>
      <c r="F42" s="47" t="str">
        <f>IF(H42="","","i")</f>
        <v/>
      </c>
      <c r="G42" s="47" t="str">
        <f t="shared" ref="G42" si="24">IF(H42="","","6")</f>
        <v/>
      </c>
      <c r="H42" s="226" t="str">
        <f>IF(A6="relevant",IF(Matrix_Lunge!AB27="","",IF(AND(ROUND(Matrix_Lunge!AB27,4)&gt;=Berechnung2!E70,ROUND(Matrix_Lunge!AB27,4)&lt;Berechnung2!G70),Berechnung2!L70,IF(ROUND(Matrix_Lunge!AB27,4)&gt;Berechnung2!J70,Berechnung2!M70,""))),"")</f>
        <v/>
      </c>
      <c r="I42" s="184" t="str">
        <f t="array" ref="I42">IF(H42="","",VLOOKUP(F42,Berechnung2!$I$15:$J$24,2,FALSE))</f>
        <v/>
      </c>
      <c r="J42" s="199" t="str">
        <f t="shared" ref="J42" si="25">IF(H42&lt;&gt;"",1,"")</f>
        <v/>
      </c>
      <c r="L42" s="30" t="str">
        <f t="array" aca="1" ref="L42" ca="1">IF(ROW()-ROW($F$2:$F$47)+1&gt;ROWS($E$2:$E$47)-COUNTBLANK($E$2:$E$47),"",INDIRECT(ADDRESS(SMALL((IF($E$2:$E$47&lt;&gt;"",ROW($E$2:$E$47),ROW()+ROWS($E$2:$E$47))),ROW()-ROW($F$2:$F$47)+1),COLUMN($E$2:$E$47),4)))</f>
        <v/>
      </c>
      <c r="M42" s="30" t="str">
        <f t="array" aca="1" ref="M42" ca="1">IF(ROW()-ROW($G$2:$G$47)+1&gt;ROWS($F$2:$F$47)-COUNTBLANK($F$2:$F$47),"",INDIRECT(ADDRESS(SMALL((IF($F$2:$F$47&lt;&gt;"",ROW($F$2:$F$47),ROW()+ROWS($F$2:$F$47))),ROW()-ROW($G$2:$G$47)+1),COLUMN($F$2:$F$47),4)))</f>
        <v/>
      </c>
      <c r="N42" s="30" t="str">
        <f t="array" aca="1" ref="N42" ca="1">IF(ROW()-ROW($H$2:$H$47)+1&gt;ROWS($G$2:$G$47)-COUNTBLANK($G$2:$G$47),"",INDIRECT(ADDRESS(SMALL((IF($G$2:$G$47&lt;&gt;"",ROW($G$2:$G$47),ROW()+ROWS($G$2:$G$47))),ROW()-ROW($H$2:$H$47)+1),COLUMN($G$2:$G$47),4)))</f>
        <v/>
      </c>
      <c r="O42" s="193" t="str">
        <f t="array" aca="1" ref="O42" ca="1">IF(ROW()-ROW($I$2:$I$47)+1&gt;ROWS($H$2:$H$47)-COUNTBLANK($H$2:$H$47),"",INDIRECT(ADDRESS(SMALL((IF($H$2:$H$47&lt;&gt;"",ROW($H$2:$H$47),ROW()+ROWS($H$2:$H$47))),ROW()-ROW($I$2:$I$47)+1),COLUMN($H$2:$H$47),4)))</f>
        <v/>
      </c>
      <c r="P42" s="193" t="str">
        <f t="array" aca="1" ref="P42" ca="1">IF(ROW()-ROW($J$2:$J$47)+1&gt;ROWS($I$2:$I$47)-COUNTBLANK($I$2:$I$47),"",INDIRECT(ADDRESS(SMALL((IF($I$2:$I$47&lt;&gt;"",ROW($I$2:$I$47),ROW()+ROWS($I$2:$I$47))),ROW()-ROW($J$2:$J$47)+1),COLUMN($I$2:$I$47),4)))</f>
        <v/>
      </c>
    </row>
    <row r="43" spans="4:16" ht="15" customHeight="1" x14ac:dyDescent="0.25">
      <c r="D43" s="182" t="s">
        <v>164</v>
      </c>
      <c r="E43" s="431"/>
      <c r="F43" s="431"/>
      <c r="G43" s="431"/>
      <c r="H43" s="432"/>
      <c r="I43" s="433"/>
      <c r="J43" s="434"/>
      <c r="L43" s="30" t="str">
        <f t="array" aca="1" ref="L43" ca="1">IF(ROW()-ROW($F$2:$F$47)+1&gt;ROWS($E$2:$E$47)-COUNTBLANK($E$2:$E$47),"",INDIRECT(ADDRESS(SMALL((IF($E$2:$E$47&lt;&gt;"",ROW($E$2:$E$47),ROW()+ROWS($E$2:$E$47))),ROW()-ROW($F$2:$F$47)+1),COLUMN($E$2:$E$47),4)))</f>
        <v/>
      </c>
      <c r="M43" s="30" t="str">
        <f t="array" aca="1" ref="M43" ca="1">IF(ROW()-ROW($G$2:$G$47)+1&gt;ROWS($F$2:$F$47)-COUNTBLANK($F$2:$F$47),"",INDIRECT(ADDRESS(SMALL((IF($F$2:$F$47&lt;&gt;"",ROW($F$2:$F$47),ROW()+ROWS($F$2:$F$47))),ROW()-ROW($G$2:$G$47)+1),COLUMN($F$2:$F$47),4)))</f>
        <v/>
      </c>
      <c r="N43" s="30" t="str">
        <f t="array" aca="1" ref="N43" ca="1">IF(ROW()-ROW($H$2:$H$47)+1&gt;ROWS($G$2:$G$47)-COUNTBLANK($G$2:$G$47),"",INDIRECT(ADDRESS(SMALL((IF($G$2:$G$47&lt;&gt;"",ROW($G$2:$G$47),ROW()+ROWS($G$2:$G$47))),ROW()-ROW($H$2:$H$47)+1),COLUMN($G$2:$G$47),4)))</f>
        <v/>
      </c>
      <c r="O43" s="193" t="str">
        <f t="array" aca="1" ref="O43" ca="1">IF(ROW()-ROW($I$2:$I$47)+1&gt;ROWS($H$2:$H$47)-COUNTBLANK($H$2:$H$47),"",INDIRECT(ADDRESS(SMALL((IF($H$2:$H$47&lt;&gt;"",ROW($H$2:$H$47),ROW()+ROWS($H$2:$H$47))),ROW()-ROW($I$2:$I$47)+1),COLUMN($H$2:$H$47),4)))</f>
        <v/>
      </c>
      <c r="P43" s="193" t="str">
        <f t="array" aca="1" ref="P43" ca="1">IF(ROW()-ROW($J$2:$J$47)+1&gt;ROWS($I$2:$I$47)-COUNTBLANK($I$2:$I$47),"",INDIRECT(ADDRESS(SMALL((IF($I$2:$I$47&lt;&gt;"",ROW($I$2:$I$47),ROW()+ROWS($I$2:$I$47))),ROW()-ROW($J$2:$J$47)+1),COLUMN($I$2:$I$47),4)))</f>
        <v/>
      </c>
    </row>
    <row r="44" spans="4:16" ht="15" customHeight="1" x14ac:dyDescent="0.25">
      <c r="D44" s="921" t="s">
        <v>235</v>
      </c>
      <c r="E44" s="427"/>
      <c r="F44" s="428"/>
      <c r="G44" s="428"/>
      <c r="H44" s="429"/>
      <c r="I44" s="327"/>
      <c r="J44" s="430"/>
      <c r="L44" s="30" t="str">
        <f t="array" aca="1" ref="L44" ca="1">IF(ROW()-ROW($F$2:$F$47)+1&gt;ROWS($E$2:$E$47)-COUNTBLANK($E$2:$E$47),"",INDIRECT(ADDRESS(SMALL((IF($E$2:$E$47&lt;&gt;"",ROW($E$2:$E$47),ROW()+ROWS($E$2:$E$47))),ROW()-ROW($F$2:$F$47)+1),COLUMN($E$2:$E$47),4)))</f>
        <v/>
      </c>
      <c r="M44" s="30" t="str">
        <f t="array" aca="1" ref="M44" ca="1">IF(ROW()-ROW($G$2:$G$47)+1&gt;ROWS($F$2:$F$47)-COUNTBLANK($F$2:$F$47),"",INDIRECT(ADDRESS(SMALL((IF($F$2:$F$47&lt;&gt;"",ROW($F$2:$F$47),ROW()+ROWS($F$2:$F$47))),ROW()-ROW($G$2:$G$47)+1),COLUMN($F$2:$F$47),4)))</f>
        <v/>
      </c>
      <c r="N44" s="30" t="str">
        <f t="array" aca="1" ref="N44" ca="1">IF(ROW()-ROW($H$2:$H$47)+1&gt;ROWS($G$2:$G$47)-COUNTBLANK($G$2:$G$47),"",INDIRECT(ADDRESS(SMALL((IF($G$2:$G$47&lt;&gt;"",ROW($G$2:$G$47),ROW()+ROWS($G$2:$G$47))),ROW()-ROW($H$2:$H$47)+1),COLUMN($G$2:$G$47),4)))</f>
        <v/>
      </c>
      <c r="O44" s="193" t="str">
        <f t="array" aca="1" ref="O44" ca="1">IF(ROW()-ROW($I$2:$I$47)+1&gt;ROWS($H$2:$H$47)-COUNTBLANK($H$2:$H$47),"",INDIRECT(ADDRESS(SMALL((IF($H$2:$H$47&lt;&gt;"",ROW($H$2:$H$47),ROW()+ROWS($H$2:$H$47))),ROW()-ROW($I$2:$I$47)+1),COLUMN($H$2:$H$47),4)))</f>
        <v/>
      </c>
      <c r="P44" s="193" t="str">
        <f t="array" aca="1" ref="P44" ca="1">IF(ROW()-ROW($J$2:$J$47)+1&gt;ROWS($I$2:$I$47)-COUNTBLANK($I$2:$I$47),"",INDIRECT(ADDRESS(SMALL((IF($I$2:$I$47&lt;&gt;"",ROW($I$2:$I$47),ROW()+ROWS($I$2:$I$47))),ROW()-ROW($J$2:$J$47)+1),COLUMN($I$2:$I$47),4)))</f>
        <v/>
      </c>
    </row>
    <row r="45" spans="4:16" ht="51.75" customHeight="1" x14ac:dyDescent="0.25">
      <c r="D45" s="921"/>
      <c r="E45" s="427"/>
      <c r="F45" s="428"/>
      <c r="G45" s="428"/>
      <c r="H45" s="429"/>
      <c r="I45" s="327"/>
      <c r="J45" s="430"/>
      <c r="L45" s="30" t="str">
        <f t="array" aca="1" ref="L45" ca="1">IF(ROW()-ROW($F$2:$F$47)+1&gt;ROWS($E$2:$E$47)-COUNTBLANK($E$2:$E$47),"",INDIRECT(ADDRESS(SMALL((IF($E$2:$E$47&lt;&gt;"",ROW($E$2:$E$47),ROW()+ROWS($E$2:$E$47))),ROW()-ROW($F$2:$F$47)+1),COLUMN($E$2:$E$47),4)))</f>
        <v/>
      </c>
      <c r="M45" s="30" t="str">
        <f t="array" aca="1" ref="M45" ca="1">IF(ROW()-ROW($G$2:$G$47)+1&gt;ROWS($F$2:$F$47)-COUNTBLANK($F$2:$F$47),"",INDIRECT(ADDRESS(SMALL((IF($F$2:$F$47&lt;&gt;"",ROW($F$2:$F$47),ROW()+ROWS($F$2:$F$47))),ROW()-ROW($G$2:$G$47)+1),COLUMN($F$2:$F$47),4)))</f>
        <v/>
      </c>
      <c r="N45" s="30" t="str">
        <f t="array" aca="1" ref="N45" ca="1">IF(ROW()-ROW($H$2:$H$47)+1&gt;ROWS($G$2:$G$47)-COUNTBLANK($G$2:$G$47),"",INDIRECT(ADDRESS(SMALL((IF($G$2:$G$47&lt;&gt;"",ROW($G$2:$G$47),ROW()+ROWS($G$2:$G$47))),ROW()-ROW($H$2:$H$47)+1),COLUMN($G$2:$G$47),4)))</f>
        <v/>
      </c>
      <c r="O45" s="193" t="str">
        <f t="array" aca="1" ref="O45" ca="1">IF(ROW()-ROW($I$2:$I$47)+1&gt;ROWS($H$2:$H$47)-COUNTBLANK($H$2:$H$47),"",INDIRECT(ADDRESS(SMALL((IF($H$2:$H$47&lt;&gt;"",ROW($H$2:$H$47),ROW()+ROWS($H$2:$H$47))),ROW()-ROW($I$2:$I$47)+1),COLUMN($H$2:$H$47),4)))</f>
        <v/>
      </c>
      <c r="P45" s="193" t="str">
        <f t="array" aca="1" ref="P45" ca="1">IF(ROW()-ROW($J$2:$J$47)+1&gt;ROWS($I$2:$I$47)-COUNTBLANK($I$2:$I$47),"",INDIRECT(ADDRESS(SMALL((IF($I$2:$I$47&lt;&gt;"",ROW($I$2:$I$47),ROW()+ROWS($I$2:$I$47))),ROW()-ROW($J$2:$J$47)+1),COLUMN($I$2:$I$47),4)))</f>
        <v/>
      </c>
    </row>
    <row r="46" spans="4:16" x14ac:dyDescent="0.25">
      <c r="D46" s="921"/>
      <c r="E46" s="30" t="str">
        <f>IF(H46="","","2019")</f>
        <v/>
      </c>
      <c r="F46" s="47" t="str">
        <f>IF(H46="","","j")</f>
        <v/>
      </c>
      <c r="G46" s="47" t="str">
        <f t="shared" ref="G46:G47" si="26">IF(H46="","","6")</f>
        <v/>
      </c>
      <c r="H46" s="226" t="str">
        <f>IF(A5="relevant",IF(Matrix_Lunge!AC26="","",IF(AND(ROUND(Matrix_Lunge!AC26,4)&gt;=Berechnung2!E78,ROUND(Matrix_Lunge!AC26,4)&lt;Berechnung2!G78),Berechnung2!L78,IF(ROUND(Matrix_Lunge!AC26,4)&gt;Berechnung2!J78,Berechnung2!M78,""))),"")</f>
        <v/>
      </c>
      <c r="I46" s="184" t="str">
        <f t="array" ref="I46">IF(H46="","",VLOOKUP(F46,Berechnung2!$I$15:$J$24,2,FALSE))</f>
        <v/>
      </c>
      <c r="J46" s="199" t="str">
        <f t="shared" ref="J46:J47" si="27">IF(H46&lt;&gt;"",1,"")</f>
        <v/>
      </c>
      <c r="L46" s="30" t="str">
        <f t="array" aca="1" ref="L46" ca="1">IF(ROW()-ROW($F$2:$F$47)+1&gt;ROWS($E$2:$E$47)-COUNTBLANK($E$2:$E$47),"",INDIRECT(ADDRESS(SMALL((IF($E$2:$E$47&lt;&gt;"",ROW($E$2:$E$47),ROW()+ROWS($E$2:$E$47))),ROW()-ROW($F$2:$F$47)+1),COLUMN($E$2:$E$47),4)))</f>
        <v/>
      </c>
      <c r="M46" s="30" t="str">
        <f t="array" aca="1" ref="M46" ca="1">IF(ROW()-ROW($G$2:$G$47)+1&gt;ROWS($F$2:$F$47)-COUNTBLANK($F$2:$F$47),"",INDIRECT(ADDRESS(SMALL((IF($F$2:$F$47&lt;&gt;"",ROW($F$2:$F$47),ROW()+ROWS($F$2:$F$47))),ROW()-ROW($G$2:$G$47)+1),COLUMN($F$2:$F$47),4)))</f>
        <v/>
      </c>
      <c r="N46" s="30" t="str">
        <f t="array" aca="1" ref="N46" ca="1">IF(ROW()-ROW($H$2:$H$47)+1&gt;ROWS($G$2:$G$47)-COUNTBLANK($G$2:$G$47),"",INDIRECT(ADDRESS(SMALL((IF($G$2:$G$47&lt;&gt;"",ROW($G$2:$G$47),ROW()+ROWS($G$2:$G$47))),ROW()-ROW($H$2:$H$47)+1),COLUMN($G$2:$G$47),4)))</f>
        <v/>
      </c>
      <c r="O46" s="193" t="str">
        <f t="array" aca="1" ref="O46" ca="1">IF(ROW()-ROW($I$2:$I$47)+1&gt;ROWS($H$2:$H$47)-COUNTBLANK($H$2:$H$47),"",INDIRECT(ADDRESS(SMALL((IF($H$2:$H$47&lt;&gt;"",ROW($H$2:$H$47),ROW()+ROWS($H$2:$H$47))),ROW()-ROW($I$2:$I$47)+1),COLUMN($H$2:$H$47),4)))</f>
        <v/>
      </c>
      <c r="P46" s="193" t="str">
        <f t="array" aca="1" ref="P46" ca="1">IF(ROW()-ROW($J$2:$J$47)+1&gt;ROWS($I$2:$I$47)-COUNTBLANK($I$2:$I$47),"",INDIRECT(ADDRESS(SMALL((IF($I$2:$I$47&lt;&gt;"",ROW($I$2:$I$47),ROW()+ROWS($I$2:$I$47))),ROW()-ROW($J$2:$J$47)+1),COLUMN($I$2:$I$47),4)))</f>
        <v/>
      </c>
    </row>
    <row r="47" spans="4:16" x14ac:dyDescent="0.25">
      <c r="D47" s="457" t="s">
        <v>461</v>
      </c>
      <c r="E47" s="30" t="str">
        <f>IF(H47="","","2020")</f>
        <v/>
      </c>
      <c r="F47" s="47" t="str">
        <f>IF(H47="","","j")</f>
        <v/>
      </c>
      <c r="G47" s="47" t="str">
        <f t="shared" si="26"/>
        <v/>
      </c>
      <c r="H47" s="226" t="str">
        <f>IF(A6="relevant",IF(Matrix_Lunge!AC27="","",IF(AND(ROUND(Matrix_Lunge!AC27,4)&gt;=Berechnung2!E79,ROUND(Matrix_Lunge!AC27,4)&lt;Berechnung2!G79),Berechnung2!L79,IF(ROUND(Matrix_Lunge!AC27,4)&gt;Berechnung2!J79,Berechnung2!M79,""))),"")</f>
        <v/>
      </c>
      <c r="I47" s="184" t="str">
        <f t="array" ref="I47">IF(H47="","",VLOOKUP(F47,Berechnung2!$I$15:$J$24,2,FALSE))</f>
        <v/>
      </c>
      <c r="J47" s="199" t="str">
        <f t="shared" si="27"/>
        <v/>
      </c>
      <c r="L47" s="30" t="str">
        <f t="array" aca="1" ref="L47" ca="1">IF(ROW()-ROW($F$2:$F$47)+1&gt;ROWS($E$2:$E$47)-COUNTBLANK($E$2:$E$47),"",INDIRECT(ADDRESS(SMALL((IF($E$2:$E$47&lt;&gt;"",ROW($E$2:$E$47),ROW()+ROWS($E$2:$E$47))),ROW()-ROW($F$2:$F$47)+1),COLUMN($E$2:$E$47),4)))</f>
        <v/>
      </c>
      <c r="M47" s="30" t="str">
        <f t="array" aca="1" ref="M47" ca="1">IF(ROW()-ROW($G$2:$G$47)+1&gt;ROWS($F$2:$F$47)-COUNTBLANK($F$2:$F$47),"",INDIRECT(ADDRESS(SMALL((IF($F$2:$F$47&lt;&gt;"",ROW($F$2:$F$47),ROW()+ROWS($F$2:$F$47))),ROW()-ROW($G$2:$G$47)+1),COLUMN($F$2:$F$47),4)))</f>
        <v/>
      </c>
      <c r="N47" s="30" t="str">
        <f t="array" aca="1" ref="N47" ca="1">IF(ROW()-ROW($H$2:$H$47)+1&gt;ROWS($G$2:$G$47)-COUNTBLANK($G$2:$G$47),"",INDIRECT(ADDRESS(SMALL((IF($G$2:$G$47&lt;&gt;"",ROW($G$2:$G$47),ROW()+ROWS($G$2:$G$47))),ROW()-ROW($H$2:$H$47)+1),COLUMN($G$2:$G$47),4)))</f>
        <v/>
      </c>
      <c r="O47" s="193" t="str">
        <f t="array" aca="1" ref="O47" ca="1">IF(ROW()-ROW($I$2:$I$47)+1&gt;ROWS($H$2:$H$47)-COUNTBLANK($H$2:$H$47),"",INDIRECT(ADDRESS(SMALL((IF($H$2:$H$47&lt;&gt;"",ROW($H$2:$H$47),ROW()+ROWS($H$2:$H$47))),ROW()-ROW($I$2:$I$47)+1),COLUMN($H$2:$H$47),4)))</f>
        <v/>
      </c>
      <c r="P47" s="193" t="str">
        <f t="array" aca="1" ref="P47" ca="1">IF(ROW()-ROW($J$2:$J$47)+1&gt;ROWS($I$2:$I$47)-COUNTBLANK($I$2:$I$47),"",INDIRECT(ADDRESS(SMALL((IF($I$2:$I$47&lt;&gt;"",ROW($I$2:$I$47),ROW()+ROWS($I$2:$I$47))),ROW()-ROW($J$2:$J$47)+1),COLUMN($I$2:$I$47),4)))</f>
        <v/>
      </c>
    </row>
    <row r="50" spans="9:10" ht="12.75" x14ac:dyDescent="0.2">
      <c r="I50" s="221" t="s">
        <v>463</v>
      </c>
      <c r="J50" s="220">
        <f>IF(SUM(J2:J8)=0,0,SUM(J2:J8))</f>
        <v>0</v>
      </c>
    </row>
    <row r="51" spans="9:10" ht="12.75" x14ac:dyDescent="0.25">
      <c r="I51" s="219" t="s">
        <v>184</v>
      </c>
      <c r="J51" s="218">
        <f>IF(SUM(J9:J18)=0,0,SUM(J9:J18))</f>
        <v>0</v>
      </c>
    </row>
    <row r="52" spans="9:10" ht="12.75" x14ac:dyDescent="0.25">
      <c r="I52" s="217" t="s">
        <v>164</v>
      </c>
      <c r="J52" s="216">
        <f>IF(SUM(J20:J47)=0,0,SUM(J20:J47))</f>
        <v>0</v>
      </c>
    </row>
    <row r="53" spans="9:10" ht="12.75" x14ac:dyDescent="0.25">
      <c r="I53" s="215" t="s">
        <v>27</v>
      </c>
      <c r="J53" s="214">
        <f>IF(J19="",0,J19)</f>
        <v>0</v>
      </c>
    </row>
  </sheetData>
  <mergeCells count="8">
    <mergeCell ref="D34:D36"/>
    <mergeCell ref="D39:D41"/>
    <mergeCell ref="D44:D46"/>
    <mergeCell ref="D3:D6"/>
    <mergeCell ref="D10:D12"/>
    <mergeCell ref="D15:D17"/>
    <mergeCell ref="D21:D24"/>
    <mergeCell ref="D29:D31"/>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dimension ref="A1:N26"/>
  <sheetViews>
    <sheetView showGridLines="0" zoomScaleNormal="100" zoomScaleSheetLayoutView="100" workbookViewId="0">
      <selection activeCell="C19" sqref="C19:G19"/>
    </sheetView>
  </sheetViews>
  <sheetFormatPr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8"/>
      <c r="E1" s="16"/>
    </row>
    <row r="2" spans="1:14" ht="12.95" customHeight="1" x14ac:dyDescent="0.2">
      <c r="A2" s="23" t="s">
        <v>1036</v>
      </c>
      <c r="E2" s="16"/>
    </row>
    <row r="3" spans="1:14" ht="16.5" x14ac:dyDescent="0.25">
      <c r="A3" s="19" t="s">
        <v>398</v>
      </c>
      <c r="E3" s="16"/>
      <c r="F3" s="17"/>
    </row>
    <row r="4" spans="1:14" ht="6.75" customHeight="1" x14ac:dyDescent="0.25">
      <c r="A4" s="19"/>
      <c r="J4" s="20"/>
    </row>
    <row r="5" spans="1:14" ht="9.75" customHeight="1" x14ac:dyDescent="0.2">
      <c r="D5" s="10"/>
      <c r="E5" s="10"/>
      <c r="F5" s="10"/>
      <c r="G5" s="10"/>
      <c r="H5" s="10"/>
      <c r="I5" s="10"/>
      <c r="J5" s="20"/>
    </row>
    <row r="6" spans="1:14" s="23" customFormat="1" ht="15" customHeight="1" x14ac:dyDescent="0.25">
      <c r="B6" s="26" t="s">
        <v>236</v>
      </c>
      <c r="C6" s="605" t="str">
        <f>IF(Basisdaten_Lunge!B9=0,"",Basisdaten_Lunge!B9)</f>
        <v/>
      </c>
      <c r="D6" s="819"/>
      <c r="E6" s="819"/>
      <c r="F6" s="820"/>
      <c r="G6" s="10"/>
      <c r="H6" s="10"/>
      <c r="J6" s="20"/>
      <c r="K6" s="20"/>
      <c r="L6" s="18"/>
      <c r="M6" s="20"/>
      <c r="N6" s="20"/>
    </row>
    <row r="7" spans="1:14" s="23" customFormat="1" ht="6.95" customHeight="1" x14ac:dyDescent="0.2">
      <c r="B7" s="6"/>
      <c r="C7" s="10"/>
      <c r="D7" s="10"/>
      <c r="E7" s="10"/>
      <c r="F7" s="10"/>
      <c r="G7" s="10"/>
      <c r="H7" s="10"/>
      <c r="J7" s="20"/>
      <c r="K7" s="20"/>
      <c r="L7" s="18"/>
      <c r="M7" s="20"/>
      <c r="N7" s="20"/>
    </row>
    <row r="8" spans="1:14" s="23" customFormat="1" ht="15" customHeight="1" x14ac:dyDescent="0.2">
      <c r="B8" s="26" t="s">
        <v>166</v>
      </c>
      <c r="C8" s="39" t="str">
        <f>IF(Basisdaten_Lunge!B7=0,"",Basisdaten_Lunge!B7)</f>
        <v/>
      </c>
      <c r="D8" s="20"/>
      <c r="E8" s="4" t="s">
        <v>163</v>
      </c>
      <c r="F8" s="38" t="str">
        <f>IF(Basisdaten_Lunge!I13=0,"",Basisdaten_Lunge!I13)</f>
        <v/>
      </c>
      <c r="H8" s="3"/>
      <c r="J8" s="20"/>
      <c r="K8" s="20"/>
      <c r="L8" s="18"/>
      <c r="M8" s="20"/>
      <c r="N8" s="20"/>
    </row>
    <row r="9" spans="1:14" s="23" customFormat="1" ht="6" customHeight="1" x14ac:dyDescent="0.2">
      <c r="B9" s="25"/>
      <c r="C9" s="3"/>
      <c r="E9" s="3"/>
      <c r="I9" s="13"/>
      <c r="J9" s="21"/>
      <c r="K9" s="21"/>
      <c r="L9" s="21"/>
      <c r="M9" s="21"/>
      <c r="N9" s="21"/>
    </row>
    <row r="10" spans="1:14" ht="5.25" customHeight="1" x14ac:dyDescent="0.2">
      <c r="I10" s="14"/>
      <c r="J10" s="29"/>
      <c r="K10" s="29"/>
      <c r="L10" s="29"/>
      <c r="M10" s="29"/>
      <c r="N10" s="29"/>
    </row>
    <row r="11" spans="1:14" ht="15" x14ac:dyDescent="0.25">
      <c r="A11" s="9" t="s">
        <v>395</v>
      </c>
      <c r="B11" s="4"/>
    </row>
    <row r="12" spans="1:14" ht="13.5" customHeight="1" x14ac:dyDescent="0.2">
      <c r="B12" s="80" t="str">
        <f>IF(OR(B13="",B13="Matrix kann eingereicht werden"),"In Ordnung",IF(B13="die inkorrekten und unvollständigen Einträge beheben","Nicht in Ordnung"))</f>
        <v>In Ordnung</v>
      </c>
      <c r="C12" s="56" t="s">
        <v>164</v>
      </c>
      <c r="D12" s="40" t="s">
        <v>27</v>
      </c>
      <c r="E12" s="45" t="s">
        <v>184</v>
      </c>
      <c r="F12" s="46" t="s">
        <v>491</v>
      </c>
    </row>
    <row r="13" spans="1:14" ht="18.75" customHeight="1" x14ac:dyDescent="0.2">
      <c r="B13" s="131" t="str">
        <f>Berechnung2!B6</f>
        <v/>
      </c>
      <c r="C13" s="61">
        <f>Berechnung2!C6</f>
        <v>0</v>
      </c>
      <c r="D13" s="62">
        <f>Berechnung2!D6</f>
        <v>0</v>
      </c>
      <c r="E13" s="129">
        <f>Berechnung2!E6</f>
        <v>0</v>
      </c>
      <c r="F13" s="130">
        <f>Berechnung2!F6</f>
        <v>0</v>
      </c>
    </row>
    <row r="14" spans="1:14" s="23" customFormat="1" ht="6" customHeight="1" x14ac:dyDescent="0.2">
      <c r="B14" s="11"/>
      <c r="C14" s="11"/>
    </row>
    <row r="15" spans="1:14" s="23" customFormat="1" ht="4.5" customHeight="1" x14ac:dyDescent="0.2">
      <c r="A15" s="60" t="str">
        <f>IF(SUM(C13:F13)&gt;0,IF(A19&gt;"","","FEHLER - Bearbeitungshinweise müssen beachtet werden!!! Siehe Tabellenblatt Matrix ab Zeile 45"),"")</f>
        <v/>
      </c>
      <c r="C15" s="11"/>
    </row>
    <row r="16" spans="1:14" s="23" customFormat="1" ht="5.25" customHeight="1" x14ac:dyDescent="0.2">
      <c r="B16" s="11"/>
      <c r="C16" s="11"/>
    </row>
    <row r="17" spans="1:7" ht="15.75" customHeight="1" x14ac:dyDescent="0.2">
      <c r="A17" s="928" t="s">
        <v>218</v>
      </c>
      <c r="B17" s="930" t="s">
        <v>112</v>
      </c>
      <c r="C17" s="931" t="s">
        <v>413</v>
      </c>
      <c r="D17" s="932"/>
      <c r="E17" s="932"/>
      <c r="F17" s="932"/>
      <c r="G17" s="787"/>
    </row>
    <row r="18" spans="1:7" ht="9" customHeight="1" x14ac:dyDescent="0.2">
      <c r="A18" s="929"/>
      <c r="B18" s="929"/>
      <c r="C18" s="932"/>
      <c r="D18" s="932"/>
      <c r="E18" s="932"/>
      <c r="F18" s="932"/>
      <c r="G18" s="787"/>
    </row>
    <row r="19" spans="1:7" ht="66" customHeight="1" x14ac:dyDescent="0.25">
      <c r="A19" s="30" t="str">
        <f>IF(ISERROR(Berechnung2!G15),"",Berechnung2!G15)</f>
        <v/>
      </c>
      <c r="B19" s="30" t="str">
        <f>IF(ISERROR(Berechnung2!H15),"",Berechnung2!H15)</f>
        <v/>
      </c>
      <c r="C19" s="925"/>
      <c r="D19" s="926"/>
      <c r="E19" s="926"/>
      <c r="F19" s="926"/>
      <c r="G19" s="927"/>
    </row>
    <row r="20" spans="1:7" ht="66" customHeight="1" x14ac:dyDescent="0.25">
      <c r="A20" s="30" t="str">
        <f>IF(ISERROR(Berechnung2!G16),"",Berechnung2!G16)</f>
        <v/>
      </c>
      <c r="B20" s="30" t="str">
        <f>IF(ISERROR(Berechnung2!H16),"",Berechnung2!H16)</f>
        <v/>
      </c>
      <c r="C20" s="925"/>
      <c r="D20" s="926"/>
      <c r="E20" s="926"/>
      <c r="F20" s="926"/>
      <c r="G20" s="927"/>
    </row>
    <row r="21" spans="1:7" ht="66" customHeight="1" x14ac:dyDescent="0.25">
      <c r="A21" s="30" t="str">
        <f>IF(ISERROR(Berechnung2!G17),"",Berechnung2!G17)</f>
        <v/>
      </c>
      <c r="B21" s="30" t="str">
        <f>IF(ISERROR(Berechnung2!H17),"",Berechnung2!H17)</f>
        <v/>
      </c>
      <c r="C21" s="925"/>
      <c r="D21" s="926"/>
      <c r="E21" s="926"/>
      <c r="F21" s="926"/>
      <c r="G21" s="927"/>
    </row>
    <row r="22" spans="1:7" ht="66" customHeight="1" x14ac:dyDescent="0.25">
      <c r="A22" s="30" t="str">
        <f>IF(ISERROR(Berechnung2!G18),"",Berechnung2!G18)</f>
        <v/>
      </c>
      <c r="B22" s="30" t="str">
        <f>IF(ISERROR(Berechnung2!H18),"",Berechnung2!H18)</f>
        <v/>
      </c>
      <c r="C22" s="925"/>
      <c r="D22" s="926"/>
      <c r="E22" s="926"/>
      <c r="F22" s="926"/>
      <c r="G22" s="927"/>
    </row>
    <row r="23" spans="1:7" ht="66" customHeight="1" x14ac:dyDescent="0.25">
      <c r="A23" s="30" t="str">
        <f>IF(ISERROR(Berechnung2!G19),"",Berechnung2!G19)</f>
        <v/>
      </c>
      <c r="B23" s="30" t="str">
        <f>IF(ISERROR(Berechnung2!H19),"",Berechnung2!H19)</f>
        <v/>
      </c>
      <c r="C23" s="925"/>
      <c r="D23" s="926"/>
      <c r="E23" s="926"/>
      <c r="F23" s="926"/>
      <c r="G23" s="927"/>
    </row>
    <row r="24" spans="1:7" ht="66" customHeight="1" x14ac:dyDescent="0.25">
      <c r="A24" s="47" t="str">
        <f>IF(ISERROR(Berechnung2!G20),"",Berechnung2!G20)</f>
        <v/>
      </c>
      <c r="B24" s="30" t="str">
        <f>IF(ISERROR(Berechnung2!H20),"",Berechnung2!H20)</f>
        <v/>
      </c>
      <c r="C24" s="925"/>
      <c r="D24" s="926"/>
      <c r="E24" s="926"/>
      <c r="F24" s="926"/>
      <c r="G24" s="927"/>
    </row>
    <row r="25" spans="1:7" ht="66" customHeight="1" x14ac:dyDescent="0.25">
      <c r="A25" s="47" t="str">
        <f>IF(ISERROR(Berechnung2!G21),"",Berechnung2!G21)</f>
        <v/>
      </c>
      <c r="B25" s="30" t="str">
        <f>IF(ISERROR(Berechnung2!H21),"",Berechnung2!H21)</f>
        <v/>
      </c>
      <c r="C25" s="925"/>
      <c r="D25" s="926"/>
      <c r="E25" s="926"/>
      <c r="F25" s="926"/>
      <c r="G25" s="927"/>
    </row>
    <row r="26" spans="1:7" ht="66" customHeight="1" x14ac:dyDescent="0.25">
      <c r="A26" s="30" t="str">
        <f>IF(ISERROR(Berechnung2!G22),"",Berechnung2!G22)</f>
        <v/>
      </c>
      <c r="B26" s="30" t="str">
        <f>IF(ISERROR(Berechnung2!H22),"",Berechnung2!H22)</f>
        <v/>
      </c>
      <c r="C26" s="925"/>
      <c r="D26" s="926"/>
      <c r="E26" s="926"/>
      <c r="F26" s="926"/>
      <c r="G26" s="927"/>
    </row>
  </sheetData>
  <sheetProtection algorithmName="SHA-512" hashValue="+qu3uPwINikT7CV33KxscyuBNFYt1KJ8rC2K33SbrJzEziKcwCwI0dESXZt26iS4em4MOJyrdyqlU6QdYH0klA==" saltValue="LhS7Xs3RFdKVIvsfykVr9w==" spinCount="100000" sheet="1" objects="1" scenarios="1" selectLockedCells="1"/>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8" type="noConversion"/>
  <conditionalFormatting sqref="B12">
    <cfRule type="expression" dxfId="48" priority="1" stopIfTrue="1">
      <formula>$B$12="Nicht in Ordnung"</formula>
    </cfRule>
  </conditionalFormatting>
  <conditionalFormatting sqref="B13">
    <cfRule type="expression" dxfId="47" priority="2" stopIfTrue="1">
      <formula>$B$13="die inkorrekten und unvollständigen Einträge beheben"</formula>
    </cfRule>
  </conditionalFormatting>
  <conditionalFormatting sqref="B19:B26">
    <cfRule type="expression" dxfId="46" priority="25" stopIfTrue="1">
      <formula>SEARCH("Unvollständig",$B19,1)</formula>
    </cfRule>
    <cfRule type="expression" dxfId="45" priority="26" stopIfTrue="1">
      <formula>SEARCH($D$12,$B19,1)</formula>
    </cfRule>
    <cfRule type="expression" dxfId="44" priority="27" stopIfTrue="1">
      <formula>SEARCH($C$12,$B19,1)</formula>
    </cfRule>
    <cfRule type="expression" dxfId="43" priority="28" stopIfTrue="1">
      <formula>SEARCH($E$12,$B19,1)</formula>
    </cfRule>
  </conditionalFormatting>
  <conditionalFormatting sqref="C19:C26">
    <cfRule type="notContainsBlanks" dxfId="42" priority="9" stopIfTrue="1">
      <formula>LEN(TRIM(C19))&gt;0</formula>
    </cfRule>
    <cfRule type="expression" dxfId="41" priority="10" stopIfTrue="1">
      <formula>A19&lt;&gt;""</formula>
    </cfRule>
  </conditionalFormatting>
  <dataValidations count="1">
    <dataValidation type="textLength" allowBlank="1" showErrorMessage="1" errorTitle="Zeichenlänge" error="Minimal 30 Zeichen und max. 450 Zeichen." sqref="C19:G26" xr:uid="{00000000-0002-0000-0F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9"/>
  <sheetViews>
    <sheetView showGridLines="0" showRuler="0" showWhiteSpace="0" zoomScaleNormal="100" zoomScaleSheetLayoutView="100" workbookViewId="0">
      <pane ySplit="1" topLeftCell="A4" activePane="bottomLeft" state="frozen"/>
      <selection activeCell="D31" sqref="D31:E33"/>
      <selection pane="bottomLeft" activeCell="F6" sqref="F6"/>
    </sheetView>
  </sheetViews>
  <sheetFormatPr defaultColWidth="11.42578125" defaultRowHeight="11.25" x14ac:dyDescent="0.25"/>
  <cols>
    <col min="1" max="1" width="17" style="159" customWidth="1"/>
    <col min="2" max="2" width="5.42578125" style="159" customWidth="1"/>
    <col min="3" max="3" width="8.85546875" style="159" customWidth="1"/>
    <col min="4" max="4" width="23" style="159" customWidth="1"/>
    <col min="5" max="5" width="6.5703125" style="159" customWidth="1"/>
    <col min="6" max="6" width="10.7109375" style="159" customWidth="1"/>
    <col min="7" max="7" width="6.5703125" style="159" customWidth="1"/>
    <col min="8" max="8" width="7.140625" style="159" customWidth="1"/>
    <col min="9" max="10" width="6.7109375" style="159" customWidth="1"/>
    <col min="11" max="11" width="11.140625" style="159" customWidth="1"/>
    <col min="12" max="12" width="41.42578125" style="159" customWidth="1"/>
    <col min="13" max="13" width="35.140625" style="159" customWidth="1"/>
    <col min="14" max="14" width="14" style="159" customWidth="1"/>
    <col min="15" max="15" width="5.7109375" style="159" customWidth="1"/>
    <col min="16" max="16" width="23.28515625" style="157" customWidth="1"/>
    <col min="17" max="17" width="7.42578125" style="279" customWidth="1"/>
    <col min="18" max="18" width="9.85546875" style="279" customWidth="1"/>
    <col min="19" max="19" width="7.42578125" style="279" customWidth="1"/>
    <col min="20" max="22" width="6.85546875" style="280" customWidth="1"/>
    <col min="23" max="23" width="9.140625" style="280" customWidth="1"/>
    <col min="24" max="25" width="24.85546875" style="159" customWidth="1"/>
    <col min="26" max="256" width="9.140625" style="159" customWidth="1"/>
    <col min="257" max="16384" width="11.42578125" style="159"/>
  </cols>
  <sheetData>
    <row r="1" spans="1:25" ht="34.5" customHeight="1" x14ac:dyDescent="0.25">
      <c r="A1" s="385" t="s">
        <v>112</v>
      </c>
      <c r="B1" s="157" t="s">
        <v>484</v>
      </c>
      <c r="C1" s="316" t="s">
        <v>492</v>
      </c>
      <c r="D1" s="270" t="s">
        <v>253</v>
      </c>
      <c r="E1" s="271" t="s">
        <v>422</v>
      </c>
      <c r="F1" s="270" t="s">
        <v>21</v>
      </c>
      <c r="G1" s="271" t="s">
        <v>422</v>
      </c>
      <c r="H1" s="270" t="s">
        <v>409</v>
      </c>
      <c r="I1" s="270" t="s">
        <v>22</v>
      </c>
      <c r="J1" s="270" t="s">
        <v>45</v>
      </c>
      <c r="K1" s="270" t="s">
        <v>13</v>
      </c>
      <c r="L1" s="270" t="s">
        <v>410</v>
      </c>
      <c r="M1" s="270" t="s">
        <v>411</v>
      </c>
      <c r="O1" s="281" t="s">
        <v>485</v>
      </c>
    </row>
    <row r="2" spans="1:25" ht="60" customHeight="1" x14ac:dyDescent="0.25">
      <c r="A2" s="158" t="str">
        <f>IF(KB_Mesotheliom!P12=0,"",KB_Mesotheliom!P12)</f>
        <v>Unvollständig</v>
      </c>
      <c r="C2" s="30" t="str">
        <f>IF($A2="I.O.","",KB_Mesotheliom!A12)</f>
        <v>1a</v>
      </c>
      <c r="D2" s="277" t="str">
        <f>IF($A2="I.O.","",KB_Mesotheliom!C12)</f>
        <v xml:space="preserve">Primärfälle Mesotheliom der Pleura und des Perikards 
</v>
      </c>
      <c r="E2" s="273" t="str">
        <f>IF(AND(KB_Mesotheliom!J12="",$A2&lt;&gt;"I.O."),"-----",IF($A2="I.O.","",KB_Mesotheliom!J12))</f>
        <v>-----</v>
      </c>
      <c r="F2" s="30" t="str">
        <f>IF($A2="I.O.","",KB_Mesotheliom!K12)</f>
        <v>Derzeit keine Vorgaben</v>
      </c>
      <c r="G2" s="273" t="str">
        <f>IF(AND(KB_Mesotheliom!M12="",$A2&lt;&gt;"I.O."),"-----",IF($A2="I.O.","",KB_Mesotheliom!M12))</f>
        <v>-----</v>
      </c>
      <c r="H2" s="275">
        <f>IF($A2="I.O.","",IF(KB_Mesotheliom!O12="",0,KB_Mesotheliom!O12))</f>
        <v>0</v>
      </c>
      <c r="I2" s="275" t="str">
        <f>IF($A2="I.O.","","-----")</f>
        <v>-----</v>
      </c>
      <c r="J2" s="269" t="str">
        <f>IF($A2="I.O.","","-----")</f>
        <v>-----</v>
      </c>
      <c r="K2" s="274" t="str">
        <f>IF($A2="I.O.","",KB_Mesotheliom!P12)</f>
        <v>Unvollständig</v>
      </c>
      <c r="L2" s="277" t="str">
        <f>IF(AND(KB_Mesotheliom!Q12="",$A2&lt;&gt;"I.O."),"-----",IF($A2="I.O.","",KB_Mesotheliom!Q12))</f>
        <v>-----</v>
      </c>
      <c r="M2" s="277" t="str">
        <f>IF(AND(KB_Mesotheliom!R12="",$A2&lt;&gt;"I.O."),"-----",IF($A2="I.O.","",KB_Mesotheliom!R12))</f>
        <v>-----</v>
      </c>
      <c r="O2" s="136" t="str">
        <f t="array" aca="1" ref="O2" ca="1">IF(ROW()-ROW($D$2:$D$9)+1&gt;ROWS($C$2:$C$9)-COUNTBLANK($C$2:$C$9),"",INDIRECT(ADDRESS(SMALL((IF($C$2:$C$9&lt;&gt;"",ROW($C$2:$C$9),ROW()+ROWS($C$2:$C$9))),ROW()-ROW($D$2:$D$9)+1),COLUMN($C$2:$C$9),4)))</f>
        <v>1a</v>
      </c>
      <c r="P2" s="276" t="str">
        <f t="array" aca="1" ref="P2" ca="1">IF(ROW()-ROW($E$2:$E$9)+1&gt;ROWS($D$2:$D$9)-COUNTBLANK($D$2:$D$9),"",INDIRECT(ADDRESS(SMALL((IF($D$2:$D$9&gt;"",ROW($D$2:$D$9),ROW()+ROWS($D$2:$D$9))),ROW()-ROW($E$2:$E$9)+1),COLUMN($D$2:$D$9),4)))</f>
        <v xml:space="preserve">Primärfälle Mesotheliom der Pleura und des Perikards 
</v>
      </c>
      <c r="Q2" s="197" t="str">
        <f t="array" aca="1" ref="Q2" ca="1">IF(ROW()-ROW($F$2:$F$9)+1&gt;ROWS($E$2:$E$9)-COUNTBLANK($E$2:$E$9),"",INDIRECT(ADDRESS(SMALL((IF($E$2:$E$9&gt;"",ROW($E$2:$E$9),ROW()+ROWS($E$2:$E$9))),ROW()-ROW($F$2:$F$9)+1),COLUMN($E$2:$E$9),4)))</f>
        <v>-----</v>
      </c>
      <c r="R2" s="197" t="str">
        <f t="array" aca="1" ref="R2" ca="1">IF(ROW()-ROW($G$2:$G$9)+1&gt;ROWS($F$2:$F$9)-COUNTBLANK($F$2:$F$9),"",INDIRECT(ADDRESS(SMALL((IF($F$2:$F$9&gt;"",ROW($F$2:$F$9),ROW()+ROWS($F$2:$F$9))),ROW()-ROW($G$2:$G$9)+1),COLUMN($F$2:$F$9),4)))</f>
        <v>Derzeit keine Vorgaben</v>
      </c>
      <c r="S2" s="197" t="str">
        <f t="array" aca="1" ref="S2" ca="1">IF(ROW()-ROW($H$2:$H$9)+1&gt;ROWS($G$2:$G$9)-COUNTBLANK($G$2:$G$9),"",INDIRECT(ADDRESS(SMALL((IF($G$2:$G$9&lt;&gt;"",ROW($G$2:$G$9),ROW()+ROWS($G$2:$G$9))),ROW()-ROW($H$2:$H$9)+1),COLUMN($G$2:$G$9),4)))</f>
        <v>-----</v>
      </c>
      <c r="T2" s="136">
        <f t="array" aca="1" ref="T2" ca="1">IF(ROW()-ROW($I$2:$I$9)+1&gt;ROWS($H$2:$H$9)-COUNTBLANK($H$2:$H$9),"",INDIRECT(ADDRESS(SMALL((IF($H$2:$H$9&lt;&gt;"",ROW($H$2:$H$9),ROW()+ROWS($H$2:$H$9))),ROW()-ROW($I$2:$I$9)+1),COLUMN($H$2:$H$9),4)))</f>
        <v>0</v>
      </c>
      <c r="U2" s="136" t="str">
        <f t="array" aca="1" ref="U2" ca="1">IF(ROW()-ROW($J$2:$J$9)+1&gt;ROWS($I$2:$I$9)-COUNTBLANK($I$2:$I$9),"",INDIRECT(ADDRESS(SMALL((IF($I$2:$I$9&lt;&gt;"",ROW($I$2:$I$9),ROW()+ROWS($I$2:$I$9))),ROW()-ROW($J$2:$J$9)+1),COLUMN($I$2:$I$9),4)))</f>
        <v>-----</v>
      </c>
      <c r="V2" s="136" t="str">
        <f t="array" aca="1" ref="V2" ca="1">IF(ROW()-ROW($K$2:$K$9)+1&gt;ROWS($J$2:$J$9)-COUNTBLANK($J$2:$J$9),"",INDIRECT(ADDRESS(SMALL((IF($J$2:$J$9&lt;&gt;"",ROW($J$2:$J$9),ROW()+ROWS($J$2:$J$9))),ROW()-ROW($K$2:$K$9)+1),COLUMN($J$2:$J$9),4)))</f>
        <v>-----</v>
      </c>
      <c r="W2" s="136" t="str">
        <f t="array" aca="1" ref="W2" ca="1">IF(ROW()-ROW($L$2:$L$9)+1&gt;ROWS($K$2:$K$9)-COUNTBLANK($K$2:$K$9),"",INDIRECT(ADDRESS(SMALL((IF($K$2:$K$9&lt;&gt;"",ROW($K$2:$K$9),ROW()+ROWS($K$2:$K$9))),ROW()-ROW($L$2:$L$9)+1),COLUMN($K$2:$K$9),4)))</f>
        <v>Unvollständig</v>
      </c>
      <c r="X2" s="158" t="str">
        <f t="array" aca="1" ref="X2" ca="1">IF(ROW()-ROW($M$2:$M$9)+1&gt;ROWS($L$2:$L$9)-COUNTBLANK($L$2:$L$9),"",INDIRECT(ADDRESS(SMALL((IF($L$2:$L$9&lt;&gt;"",ROW($L$2:$L$9),ROW()+ROWS($L$2:$L$9))),ROW()-ROW($M$2:$M$9)+1),COLUMN($L$2:$L$9),4)))</f>
        <v>-----</v>
      </c>
      <c r="Y2" s="158" t="str">
        <f t="array" aca="1" ref="Y2" ca="1">IF(ROW()-ROW($N$2:$N$9)+1&gt;ROWS($M$2:$M$9)-COUNTBLANK($M$2:$M$9),"",INDIRECT(ADDRESS(SMALL((IF($M$2:$M$9&lt;&gt;"",ROW($M$2:$M$9),ROW()+ROWS($M$2:$M$9))),ROW()-ROW($N$2:$N$9)+1),COLUMN($M$2:$M$9),4)))</f>
        <v>-----</v>
      </c>
    </row>
    <row r="3" spans="1:25" ht="60" customHeight="1" x14ac:dyDescent="0.25">
      <c r="A3" s="158" t="str">
        <f>IF(KB_Mesotheliom!P15=0,"",KB_Mesotheliom!P15)</f>
        <v>Unvollständig</v>
      </c>
      <c r="C3" s="30" t="str">
        <f>IF($A3="I.O.","",KB_Mesotheliom!A15)</f>
        <v>1b</v>
      </c>
      <c r="D3" s="277" t="str">
        <f>IF($A3="I.O.","",KB_Mesotheliom!C15)</f>
        <v xml:space="preserve">Primärfälle Mesotheliom des Peritoneums
</v>
      </c>
      <c r="E3" s="273" t="str">
        <f>IF(AND(KB_Mesotheliom!J15="",$A3&lt;&gt;"I.O."),"-----",IF($A3="I.O.","",KB_Mesotheliom!J15))</f>
        <v>-----</v>
      </c>
      <c r="F3" s="30" t="str">
        <f>IF($A3="I.O.","",KB_Mesotheliom!K15)</f>
        <v>Derzeit keine Vorgaben</v>
      </c>
      <c r="G3" s="273" t="str">
        <f>IF(AND(KB_Mesotheliom!M15="",$A3&lt;&gt;"I.O."),"-----",IF($A3="I.O.","",KB_Mesotheliom!M15))</f>
        <v>-----</v>
      </c>
      <c r="H3" s="275">
        <f>IF($A3="I.O.","",IF(KB_Mesotheliom!O15="",0,KB_Mesotheliom!O15))</f>
        <v>0</v>
      </c>
      <c r="I3" s="275" t="str">
        <f t="shared" ref="I3:J3" si="0">IF($A3="I.O.","","-----")</f>
        <v>-----</v>
      </c>
      <c r="J3" s="269" t="str">
        <f t="shared" si="0"/>
        <v>-----</v>
      </c>
      <c r="K3" s="274" t="str">
        <f>IF($A3="I.O.","",KB_Mesotheliom!P15)</f>
        <v>Unvollständig</v>
      </c>
      <c r="L3" s="277" t="str">
        <f>IF(AND(KB_Mesotheliom!Q15="",$A3&lt;&gt;"I.O."),"-----",IF($A3="I.O.","",KB_Mesotheliom!Q15))</f>
        <v>-----</v>
      </c>
      <c r="M3" s="277" t="str">
        <f>IF(AND(KB_Mesotheliom!R15="",$A3&lt;&gt;"I.O."),"-----",IF($A3="I.O.","",KB_Mesotheliom!R15))</f>
        <v>-----</v>
      </c>
      <c r="O3" s="136" t="str">
        <f t="array" aca="1" ref="O3" ca="1">IF(ROW()-ROW($D$2:$D$9)+1&gt;ROWS($C$2:$C$9)-COUNTBLANK($C$2:$C$9),"",INDIRECT(ADDRESS(SMALL((IF($C$2:$C$9&lt;&gt;"",ROW($C$2:$C$9),ROW()+ROWS($C$2:$C$9))),ROW()-ROW($D$2:$D$9)+1),COLUMN($C$2:$C$9),4)))</f>
        <v>1b</v>
      </c>
      <c r="P3" s="276" t="str">
        <f t="array" aca="1" ref="P3" ca="1">IF(ROW()-ROW($E$2:$E$9)+1&gt;ROWS($D$2:$D$9)-COUNTBLANK($D$2:$D$9),"",INDIRECT(ADDRESS(SMALL((IF($D$2:$D$9&gt;"",ROW($D$2:$D$9),ROW()+ROWS($D$2:$D$9))),ROW()-ROW($E$2:$E$9)+1),COLUMN($D$2:$D$9),4)))</f>
        <v xml:space="preserve">Primärfälle Mesotheliom des Peritoneums
</v>
      </c>
      <c r="Q3" s="197" t="str">
        <f t="array" aca="1" ref="Q3" ca="1">IF(ROW()-ROW($F$2:$F$9)+1&gt;ROWS($E$2:$E$9)-COUNTBLANK($E$2:$E$9),"",INDIRECT(ADDRESS(SMALL((IF($E$2:$E$9&gt;"",ROW($E$2:$E$9),ROW()+ROWS($E$2:$E$9))),ROW()-ROW($F$2:$F$9)+1),COLUMN($E$2:$E$9),4)))</f>
        <v>-----</v>
      </c>
      <c r="R3" s="197" t="str">
        <f t="array" aca="1" ref="R3" ca="1">IF(ROW()-ROW($G$2:$G$9)+1&gt;ROWS($F$2:$F$9)-COUNTBLANK($F$2:$F$9),"",INDIRECT(ADDRESS(SMALL((IF($F$2:$F$9&gt;"",ROW($F$2:$F$9),ROW()+ROWS($F$2:$F$9))),ROW()-ROW($G$2:$G$9)+1),COLUMN($F$2:$F$9),4)))</f>
        <v>Derzeit keine Vorgaben</v>
      </c>
      <c r="S3" s="197" t="str">
        <f t="array" aca="1" ref="S3" ca="1">IF(ROW()-ROW($H$2:$H$9)+1&gt;ROWS($G$2:$G$9)-COUNTBLANK($G$2:$G$9),"",INDIRECT(ADDRESS(SMALL((IF($G$2:$G$9&lt;&gt;"",ROW($G$2:$G$9),ROW()+ROWS($G$2:$G$9))),ROW()-ROW($H$2:$H$9)+1),COLUMN($G$2:$G$9),4)))</f>
        <v>-----</v>
      </c>
      <c r="T3" s="136">
        <f t="array" aca="1" ref="T3" ca="1">IF(ROW()-ROW($I$2:$I$9)+1&gt;ROWS($H$2:$H$9)-COUNTBLANK($H$2:$H$9),"",INDIRECT(ADDRESS(SMALL((IF($H$2:$H$9&lt;&gt;"",ROW($H$2:$H$9),ROW()+ROWS($H$2:$H$9))),ROW()-ROW($I$2:$I$9)+1),COLUMN($H$2:$H$9),4)))</f>
        <v>0</v>
      </c>
      <c r="U3" s="136" t="str">
        <f t="array" aca="1" ref="U3" ca="1">IF(ROW()-ROW($J$2:$J$9)+1&gt;ROWS($I$2:$I$9)-COUNTBLANK($I$2:$I$9),"",INDIRECT(ADDRESS(SMALL((IF($I$2:$I$9&lt;&gt;"",ROW($I$2:$I$9),ROW()+ROWS($I$2:$I$9))),ROW()-ROW($J$2:$J$9)+1),COLUMN($I$2:$I$9),4)))</f>
        <v>-----</v>
      </c>
      <c r="V3" s="136" t="str">
        <f t="array" aca="1" ref="V3" ca="1">IF(ROW()-ROW($K$2:$K$9)+1&gt;ROWS($J$2:$J$9)-COUNTBLANK($J$2:$J$9),"",INDIRECT(ADDRESS(SMALL((IF($J$2:$J$9&lt;&gt;"",ROW($J$2:$J$9),ROW()+ROWS($J$2:$J$9))),ROW()-ROW($K$2:$K$9)+1),COLUMN($J$2:$J$9),4)))</f>
        <v>-----</v>
      </c>
      <c r="W3" s="136" t="str">
        <f t="array" aca="1" ref="W3" ca="1">IF(ROW()-ROW($L$2:$L$9)+1&gt;ROWS($K$2:$K$9)-COUNTBLANK($K$2:$K$9),"",INDIRECT(ADDRESS(SMALL((IF($K$2:$K$9&lt;&gt;"",ROW($K$2:$K$9),ROW()+ROWS($K$2:$K$9))),ROW()-ROW($L$2:$L$9)+1),COLUMN($K$2:$K$9),4)))</f>
        <v>Unvollständig</v>
      </c>
      <c r="X3" s="158" t="str">
        <f t="array" aca="1" ref="X3" ca="1">IF(ROW()-ROW($M$2:$M$9)+1&gt;ROWS($L$2:$L$9)-COUNTBLANK($L$2:$L$9),"",INDIRECT(ADDRESS(SMALL((IF($L$2:$L$9&lt;&gt;"",ROW($L$2:$L$9),ROW()+ROWS($L$2:$L$9))),ROW()-ROW($M$2:$M$9)+1),COLUMN($L$2:$L$9),4)))</f>
        <v>-----</v>
      </c>
      <c r="Y3" s="158" t="str">
        <f t="array" aca="1" ref="Y3" ca="1">IF(ROW()-ROW($N$2:$N$9)+1&gt;ROWS($M$2:$M$9)-COUNTBLANK($M$2:$M$9),"",INDIRECT(ADDRESS(SMALL((IF($M$2:$M$9&lt;&gt;"",ROW($M$2:$M$9),ROW()+ROWS($M$2:$M$9))),ROW()-ROW($N$2:$N$9)+1),COLUMN($M$2:$M$9),4)))</f>
        <v>-----</v>
      </c>
    </row>
    <row r="4" spans="1:25" ht="60" customHeight="1" x14ac:dyDescent="0.25">
      <c r="A4" s="158" t="str">
        <f>IF(KB_Mesotheliom!P18=0,"",KB_Mesotheliom!P18)</f>
        <v>Unvollständig</v>
      </c>
      <c r="C4" s="30" t="str">
        <f>IF($A4="I.O.","",KB_Mesotheliom!A18)</f>
        <v>1c</v>
      </c>
      <c r="D4" s="277" t="str">
        <f>IF($A4="I.O.","",KB_Mesotheliom!C18)</f>
        <v xml:space="preserve">Primärfälle Mesotheliom </v>
      </c>
      <c r="E4" s="273" t="str">
        <f>IF(AND(KB_Mesotheliom!J18="",$A4&lt;&gt;"I.O."),"-----",IF($A4="I.O.","",KB_Mesotheliom!J18))</f>
        <v>-----</v>
      </c>
      <c r="F4" s="30" t="str">
        <f>IF($A4="I.O.","",KB_Mesotheliom!K18)</f>
        <v>≥ 12</v>
      </c>
      <c r="G4" s="273" t="str">
        <f>IF(AND(KB_Mesotheliom!M18="",$A4&lt;&gt;"I.O."),"-----",IF($A4="I.O.","",KB_Mesotheliom!M18))</f>
        <v>-----</v>
      </c>
      <c r="H4" s="275">
        <f>IF($A4="I.O.","",IF(KB_Mesotheliom!O18="",0,KB_Mesotheliom!O18))</f>
        <v>0</v>
      </c>
      <c r="I4" s="275" t="str">
        <f>IF($A4="I.O.","","-----")</f>
        <v>-----</v>
      </c>
      <c r="J4" s="269" t="str">
        <f>IF($A4="I.O.","","-----")</f>
        <v>-----</v>
      </c>
      <c r="K4" s="274" t="str">
        <f>IF($A4="I.O.","",KB_Mesotheliom!P18)</f>
        <v>Unvollständig</v>
      </c>
      <c r="L4" s="277" t="str">
        <f>IF(AND(KB_Mesotheliom!Q18="",$A4&lt;&gt;"I.O."),"-----",IF($A4="I.O.","",KB_Mesotheliom!Q18))</f>
        <v>-----</v>
      </c>
      <c r="M4" s="277" t="str">
        <f>IF(AND(KB_Mesotheliom!R18="",$A4&lt;&gt;"I.O."),"-----",IF($A4="I.O.","",KB_Mesotheliom!R18))</f>
        <v>-----</v>
      </c>
      <c r="O4" s="136" t="str">
        <f t="array" aca="1" ref="O4" ca="1">IF(ROW()-ROW($D$2:$D$9)+1&gt;ROWS($C$2:$C$9)-COUNTBLANK($C$2:$C$9),"",INDIRECT(ADDRESS(SMALL((IF($C$2:$C$9&lt;&gt;"",ROW($C$2:$C$9),ROW()+ROWS($C$2:$C$9))),ROW()-ROW($D$2:$D$9)+1),COLUMN($C$2:$C$9),4)))</f>
        <v>1c</v>
      </c>
      <c r="P4" s="276" t="str">
        <f t="array" aca="1" ref="P4" ca="1">IF(ROW()-ROW($E$2:$E$9)+1&gt;ROWS($D$2:$D$9)-COUNTBLANK($D$2:$D$9),"",INDIRECT(ADDRESS(SMALL((IF($D$2:$D$9&gt;"",ROW($D$2:$D$9),ROW()+ROWS($D$2:$D$9))),ROW()-ROW($E$2:$E$9)+1),COLUMN($D$2:$D$9),4)))</f>
        <v xml:space="preserve">Primärfälle Mesotheliom </v>
      </c>
      <c r="Q4" s="197" t="str">
        <f t="array" aca="1" ref="Q4" ca="1">IF(ROW()-ROW($F$2:$F$9)+1&gt;ROWS($E$2:$E$9)-COUNTBLANK($E$2:$E$9),"",INDIRECT(ADDRESS(SMALL((IF($E$2:$E$9&gt;"",ROW($E$2:$E$9),ROW()+ROWS($E$2:$E$9))),ROW()-ROW($F$2:$F$9)+1),COLUMN($E$2:$E$9),4)))</f>
        <v>-----</v>
      </c>
      <c r="R4" s="197" t="str">
        <f t="array" aca="1" ref="R4" ca="1">IF(ROW()-ROW($G$2:$G$9)+1&gt;ROWS($F$2:$F$9)-COUNTBLANK($F$2:$F$9),"",INDIRECT(ADDRESS(SMALL((IF($F$2:$F$9&gt;"",ROW($F$2:$F$9),ROW()+ROWS($F$2:$F$9))),ROW()-ROW($G$2:$G$9)+1),COLUMN($F$2:$F$9),4)))</f>
        <v>≥ 12</v>
      </c>
      <c r="S4" s="197" t="str">
        <f t="array" aca="1" ref="S4" ca="1">IF(ROW()-ROW($H$2:$H$9)+1&gt;ROWS($G$2:$G$9)-COUNTBLANK($G$2:$G$9),"",INDIRECT(ADDRESS(SMALL((IF($G$2:$G$9&lt;&gt;"",ROW($G$2:$G$9),ROW()+ROWS($G$2:$G$9))),ROW()-ROW($H$2:$H$9)+1),COLUMN($G$2:$G$9),4)))</f>
        <v>-----</v>
      </c>
      <c r="T4" s="136">
        <f t="array" aca="1" ref="T4" ca="1">IF(ROW()-ROW($I$2:$I$9)+1&gt;ROWS($H$2:$H$9)-COUNTBLANK($H$2:$H$9),"",INDIRECT(ADDRESS(SMALL((IF($H$2:$H$9&lt;&gt;"",ROW($H$2:$H$9),ROW()+ROWS($H$2:$H$9))),ROW()-ROW($I$2:$I$9)+1),COLUMN($H$2:$H$9),4)))</f>
        <v>0</v>
      </c>
      <c r="U4" s="136" t="str">
        <f t="array" aca="1" ref="U4" ca="1">IF(ROW()-ROW($J$2:$J$9)+1&gt;ROWS($I$2:$I$9)-COUNTBLANK($I$2:$I$9),"",INDIRECT(ADDRESS(SMALL((IF($I$2:$I$9&lt;&gt;"",ROW($I$2:$I$9),ROW()+ROWS($I$2:$I$9))),ROW()-ROW($J$2:$J$9)+1),COLUMN($I$2:$I$9),4)))</f>
        <v>-----</v>
      </c>
      <c r="V4" s="136" t="str">
        <f t="array" aca="1" ref="V4" ca="1">IF(ROW()-ROW($K$2:$K$9)+1&gt;ROWS($J$2:$J$9)-COUNTBLANK($J$2:$J$9),"",INDIRECT(ADDRESS(SMALL((IF($J$2:$J$9&lt;&gt;"",ROW($J$2:$J$9),ROW()+ROWS($J$2:$J$9))),ROW()-ROW($K$2:$K$9)+1),COLUMN($J$2:$J$9),4)))</f>
        <v>-----</v>
      </c>
      <c r="W4" s="136" t="str">
        <f t="array" aca="1" ref="W4" ca="1">IF(ROW()-ROW($L$2:$L$9)+1&gt;ROWS($K$2:$K$9)-COUNTBLANK($K$2:$K$9),"",INDIRECT(ADDRESS(SMALL((IF($K$2:$K$9&lt;&gt;"",ROW($K$2:$K$9),ROW()+ROWS($K$2:$K$9))),ROW()-ROW($L$2:$L$9)+1),COLUMN($K$2:$K$9),4)))</f>
        <v>Unvollständig</v>
      </c>
      <c r="X4" s="158" t="str">
        <f t="array" aca="1" ref="X4" ca="1">IF(ROW()-ROW($M$2:$M$9)+1&gt;ROWS($L$2:$L$9)-COUNTBLANK($L$2:$L$9),"",INDIRECT(ADDRESS(SMALL((IF($L$2:$L$9&lt;&gt;"",ROW($L$2:$L$9),ROW()+ROWS($L$2:$L$9))),ROW()-ROW($M$2:$M$9)+1),COLUMN($L$2:$L$9),4)))</f>
        <v>-----</v>
      </c>
      <c r="Y4" s="158" t="str">
        <f t="array" aca="1" ref="Y4" ca="1">IF(ROW()-ROW($N$2:$N$9)+1&gt;ROWS($M$2:$M$9)-COUNTBLANK($M$2:$M$9),"",INDIRECT(ADDRESS(SMALL((IF($M$2:$M$9&lt;&gt;"",ROW($M$2:$M$9),ROW()+ROWS($M$2:$M$9))),ROW()-ROW($N$2:$N$9)+1),COLUMN($M$2:$M$9),4)))</f>
        <v>-----</v>
      </c>
    </row>
    <row r="5" spans="1:25" ht="60" customHeight="1" x14ac:dyDescent="0.25">
      <c r="A5" s="158" t="str">
        <f>IF(KB_Mesotheliom!P21=0,"",KB_Mesotheliom!P21)</f>
        <v>Unvollständig</v>
      </c>
      <c r="C5" s="30">
        <f>IF($A5="I.O.","",KB_Mesotheliom!A21)</f>
        <v>2</v>
      </c>
      <c r="D5" s="277" t="str">
        <f>IF($A5="I.O.","",KB_Mesotheliom!C21)</f>
        <v>Operative Therapie bei Mesotheliom</v>
      </c>
      <c r="E5" s="273" t="str">
        <f>IF(AND(KB_Mesotheliom!J21="",$A5&lt;&gt;"I.O."),"-----",IF($A5="I.O.","",KB_Mesotheliom!J21))</f>
        <v>-----</v>
      </c>
      <c r="F5" s="30" t="str">
        <f>IF($A5="I.O.","",KB_Mesotheliom!K21)</f>
        <v>Derzeit keine Vorgaben</v>
      </c>
      <c r="G5" s="273" t="str">
        <f>IF(AND(KB_Mesotheliom!M21="",$A5&lt;&gt;"I.O."),"-----",IF($A5="I.O.","",KB_Mesotheliom!M21))</f>
        <v>-----</v>
      </c>
      <c r="H5" s="275">
        <f>IF($A5="I.O.","",IF(KB_Mesotheliom!O21="",0,KB_Mesotheliom!O21))</f>
        <v>0</v>
      </c>
      <c r="I5" s="275" t="str">
        <f>IF($A5="I.O.","","-----")</f>
        <v>-----</v>
      </c>
      <c r="J5" s="269" t="str">
        <f>IF($A5="I.O.","","-----")</f>
        <v>-----</v>
      </c>
      <c r="K5" s="274" t="str">
        <f>IF($A5="I.O.","",KB_Mesotheliom!P21)</f>
        <v>Unvollständig</v>
      </c>
      <c r="L5" s="277" t="str">
        <f>IF(AND(KB_Mesotheliom!Q21="",$A5&lt;&gt;"I.O."),"-----",IF($A5="I.O.","",KB_Mesotheliom!Q21))</f>
        <v>-----</v>
      </c>
      <c r="M5" s="277" t="str">
        <f>IF(AND(KB_Mesotheliom!R21="",$A5&lt;&gt;"I.O."),"-----",IF($A5="I.O.","",KB_Mesotheliom!R21))</f>
        <v>-----</v>
      </c>
      <c r="O5" s="136">
        <f t="array" aca="1" ref="O5" ca="1">IF(ROW()-ROW($D$2:$D$9)+1&gt;ROWS($C$2:$C$9)-COUNTBLANK($C$2:$C$9),"",INDIRECT(ADDRESS(SMALL((IF($C$2:$C$9&lt;&gt;"",ROW($C$2:$C$9),ROW()+ROWS($C$2:$C$9))),ROW()-ROW($D$2:$D$9)+1),COLUMN($C$2:$C$9),4)))</f>
        <v>2</v>
      </c>
      <c r="P5" s="276" t="str">
        <f t="array" aca="1" ref="P5" ca="1">IF(ROW()-ROW($E$2:$E$9)+1&gt;ROWS($D$2:$D$9)-COUNTBLANK($D$2:$D$9),"",INDIRECT(ADDRESS(SMALL((IF($D$2:$D$9&gt;"",ROW($D$2:$D$9),ROW()+ROWS($D$2:$D$9))),ROW()-ROW($E$2:$E$9)+1),COLUMN($D$2:$D$9),4)))</f>
        <v>Operative Therapie bei Mesotheliom</v>
      </c>
      <c r="Q5" s="197" t="str">
        <f t="array" aca="1" ref="Q5" ca="1">IF(ROW()-ROW($F$2:$F$9)+1&gt;ROWS($E$2:$E$9)-COUNTBLANK($E$2:$E$9),"",INDIRECT(ADDRESS(SMALL((IF($E$2:$E$9&gt;"",ROW($E$2:$E$9),ROW()+ROWS($E$2:$E$9))),ROW()-ROW($F$2:$F$9)+1),COLUMN($E$2:$E$9),4)))</f>
        <v>-----</v>
      </c>
      <c r="R5" s="197" t="str">
        <f t="array" aca="1" ref="R5" ca="1">IF(ROW()-ROW($G$2:$G$9)+1&gt;ROWS($F$2:$F$9)-COUNTBLANK($F$2:$F$9),"",INDIRECT(ADDRESS(SMALL((IF($F$2:$F$9&gt;"",ROW($F$2:$F$9),ROW()+ROWS($F$2:$F$9))),ROW()-ROW($G$2:$G$9)+1),COLUMN($F$2:$F$9),4)))</f>
        <v>Derzeit keine Vorgaben</v>
      </c>
      <c r="S5" s="197" t="str">
        <f t="array" aca="1" ref="S5" ca="1">IF(ROW()-ROW($H$2:$H$9)+1&gt;ROWS($G$2:$G$9)-COUNTBLANK($G$2:$G$9),"",INDIRECT(ADDRESS(SMALL((IF($G$2:$G$9&lt;&gt;"",ROW($G$2:$G$9),ROW()+ROWS($G$2:$G$9))),ROW()-ROW($H$2:$H$9)+1),COLUMN($G$2:$G$9),4)))</f>
        <v>-----</v>
      </c>
      <c r="T5" s="136">
        <f t="array" aca="1" ref="T5" ca="1">IF(ROW()-ROW($I$2:$I$9)+1&gt;ROWS($H$2:$H$9)-COUNTBLANK($H$2:$H$9),"",INDIRECT(ADDRESS(SMALL((IF($H$2:$H$9&lt;&gt;"",ROW($H$2:$H$9),ROW()+ROWS($H$2:$H$9))),ROW()-ROW($I$2:$I$9)+1),COLUMN($H$2:$H$9),4)))</f>
        <v>0</v>
      </c>
      <c r="U5" s="136" t="str">
        <f t="array" aca="1" ref="U5" ca="1">IF(ROW()-ROW($J$2:$J$9)+1&gt;ROWS($I$2:$I$9)-COUNTBLANK($I$2:$I$9),"",INDIRECT(ADDRESS(SMALL((IF($I$2:$I$9&lt;&gt;"",ROW($I$2:$I$9),ROW()+ROWS($I$2:$I$9))),ROW()-ROW($J$2:$J$9)+1),COLUMN($I$2:$I$9),4)))</f>
        <v>-----</v>
      </c>
      <c r="V5" s="136" t="str">
        <f t="array" aca="1" ref="V5" ca="1">IF(ROW()-ROW($K$2:$K$9)+1&gt;ROWS($J$2:$J$9)-COUNTBLANK($J$2:$J$9),"",INDIRECT(ADDRESS(SMALL((IF($J$2:$J$9&lt;&gt;"",ROW($J$2:$J$9),ROW()+ROWS($J$2:$J$9))),ROW()-ROW($K$2:$K$9)+1),COLUMN($J$2:$J$9),4)))</f>
        <v>-----</v>
      </c>
      <c r="W5" s="136" t="str">
        <f t="array" aca="1" ref="W5" ca="1">IF(ROW()-ROW($L$2:$L$9)+1&gt;ROWS($K$2:$K$9)-COUNTBLANK($K$2:$K$9),"",INDIRECT(ADDRESS(SMALL((IF($K$2:$K$9&lt;&gt;"",ROW($K$2:$K$9),ROW()+ROWS($K$2:$K$9))),ROW()-ROW($L$2:$L$9)+1),COLUMN($K$2:$K$9),4)))</f>
        <v>Unvollständig</v>
      </c>
      <c r="X5" s="158" t="str">
        <f t="array" aca="1" ref="X5" ca="1">IF(ROW()-ROW($M$2:$M$9)+1&gt;ROWS($L$2:$L$9)-COUNTBLANK($L$2:$L$9),"",INDIRECT(ADDRESS(SMALL((IF($L$2:$L$9&lt;&gt;"",ROW($L$2:$L$9),ROW()+ROWS($L$2:$L$9))),ROW()-ROW($M$2:$M$9)+1),COLUMN($L$2:$L$9),4)))</f>
        <v>-----</v>
      </c>
      <c r="Y5" s="158" t="str">
        <f t="array" aca="1" ref="Y5" ca="1">IF(ROW()-ROW($N$2:$N$9)+1&gt;ROWS($M$2:$M$9)-COUNTBLANK($M$2:$M$9),"",INDIRECT(ADDRESS(SMALL((IF($M$2:$M$9&lt;&gt;"",ROW($M$2:$M$9),ROW()+ROWS($M$2:$M$9))),ROW()-ROW($N$2:$N$9)+1),COLUMN($M$2:$M$9),4)))</f>
        <v>-----</v>
      </c>
    </row>
    <row r="6" spans="1:25" s="234" customFormat="1" ht="60" customHeight="1" x14ac:dyDescent="0.25">
      <c r="A6" s="158" t="str">
        <f>IF(KB_Mesotheliom!P24=0,"",KB_Mesotheliom!P24)</f>
        <v>Unvollständig</v>
      </c>
      <c r="B6" s="159"/>
      <c r="C6" s="30">
        <f>IF($A6="I.O.","",KB_Mesotheliom!A24)</f>
        <v>3</v>
      </c>
      <c r="D6" s="277" t="str">
        <f>IF($A6="I.O.","",KB_Mesotheliom!C24)</f>
        <v>Prätherapeutische Tumorkonferenz Mesotheliom</v>
      </c>
      <c r="E6" s="273" t="str">
        <f>IF(AND(KB_Mesotheliom!J24="",$A6&lt;&gt;"I.O."),"-----",IF($A6="I.O.","",KB_Mesotheliom!J24))</f>
        <v>-----</v>
      </c>
      <c r="F6" s="30" t="str">
        <f>IF($A6="I.O.","",KB_Mesotheliom!K24)</f>
        <v xml:space="preserve"> ≥ 90%</v>
      </c>
      <c r="G6" s="273" t="str">
        <f>IF(AND(KB_Mesotheliom!M24="",$A6&lt;&gt;"I.O."),"-----",IF($A6="I.O.","",KB_Mesotheliom!M24))</f>
        <v>-----</v>
      </c>
      <c r="H6" s="275" t="str">
        <f>IF($A6="I.O.","",IF(KB_Mesotheliom!O24="","-----",KB_Mesotheliom!O24))</f>
        <v>-----</v>
      </c>
      <c r="I6" s="275">
        <f>IF($A6="I.O.","",IF(KB_Mesotheliom!O25="","-----",KB_Mesotheliom!O25))</f>
        <v>0</v>
      </c>
      <c r="J6" s="269" t="str">
        <f>IF($A6="I.O.","",IF(KB_Mesotheliom!O26="",0,KB_Mesotheliom!O26))</f>
        <v>n.d.</v>
      </c>
      <c r="K6" s="274" t="str">
        <f>IF($A6="I.O.","",KB_Mesotheliom!P24)</f>
        <v>Unvollständig</v>
      </c>
      <c r="L6" s="277" t="str">
        <f>IF(AND(KB_Mesotheliom!Q24="",$A6&lt;&gt;"I.O."),"-----",IF($A6="I.O.","",KB_Mesotheliom!Q24))</f>
        <v>-----</v>
      </c>
      <c r="M6" s="277" t="str">
        <f>IF(AND(KB_Mesotheliom!R24="",$A6&lt;&gt;"I.O."),"-----",IF($A6="I.O.","",KB_Mesotheliom!R24))</f>
        <v>-----</v>
      </c>
      <c r="O6" s="136">
        <f t="array" aca="1" ref="O6" ca="1">IF(ROW()-ROW($D$2:$D$9)+1&gt;ROWS($C$2:$C$9)-COUNTBLANK($C$2:$C$9),"",INDIRECT(ADDRESS(SMALL((IF($C$2:$C$9&lt;&gt;"",ROW($C$2:$C$9),ROW()+ROWS($C$2:$C$9))),ROW()-ROW($D$2:$D$9)+1),COLUMN($C$2:$C$9),4)))</f>
        <v>3</v>
      </c>
      <c r="P6" s="276" t="str">
        <f t="array" aca="1" ref="P6" ca="1">IF(ROW()-ROW($E$2:$E$9)+1&gt;ROWS($D$2:$D$9)-COUNTBLANK($D$2:$D$9),"",INDIRECT(ADDRESS(SMALL((IF($D$2:$D$9&gt;"",ROW($D$2:$D$9),ROW()+ROWS($D$2:$D$9))),ROW()-ROW($E$2:$E$9)+1),COLUMN($D$2:$D$9),4)))</f>
        <v>Prätherapeutische Tumorkonferenz Mesotheliom</v>
      </c>
      <c r="Q6" s="197" t="str">
        <f t="array" aca="1" ref="Q6" ca="1">IF(ROW()-ROW($F$2:$F$9)+1&gt;ROWS($E$2:$E$9)-COUNTBLANK($E$2:$E$9),"",INDIRECT(ADDRESS(SMALL((IF($E$2:$E$9&gt;"",ROW($E$2:$E$9),ROW()+ROWS($E$2:$E$9))),ROW()-ROW($F$2:$F$9)+1),COLUMN($E$2:$E$9),4)))</f>
        <v>-----</v>
      </c>
      <c r="R6" s="197" t="str">
        <f t="array" aca="1" ref="R6" ca="1">IF(ROW()-ROW($G$2:$G$9)+1&gt;ROWS($F$2:$F$9)-COUNTBLANK($F$2:$F$9),"",INDIRECT(ADDRESS(SMALL((IF($F$2:$F$9&gt;"",ROW($F$2:$F$9),ROW()+ROWS($F$2:$F$9))),ROW()-ROW($G$2:$G$9)+1),COLUMN($F$2:$F$9),4)))</f>
        <v xml:space="preserve"> ≥ 90%</v>
      </c>
      <c r="S6" s="197" t="str">
        <f t="array" aca="1" ref="S6" ca="1">IF(ROW()-ROW($H$2:$H$9)+1&gt;ROWS($G$2:$G$9)-COUNTBLANK($G$2:$G$9),"",INDIRECT(ADDRESS(SMALL((IF($G$2:$G$9&lt;&gt;"",ROW($G$2:$G$9),ROW()+ROWS($G$2:$G$9))),ROW()-ROW($H$2:$H$9)+1),COLUMN($G$2:$G$9),4)))</f>
        <v>-----</v>
      </c>
      <c r="T6" s="136" t="str">
        <f t="array" aca="1" ref="T6" ca="1">IF(ROW()-ROW($I$2:$I$9)+1&gt;ROWS($H$2:$H$9)-COUNTBLANK($H$2:$H$9),"",INDIRECT(ADDRESS(SMALL((IF($H$2:$H$9&lt;&gt;"",ROW($H$2:$H$9),ROW()+ROWS($H$2:$H$9))),ROW()-ROW($I$2:$I$9)+1),COLUMN($H$2:$H$9),4)))</f>
        <v>-----</v>
      </c>
      <c r="U6" s="136">
        <f t="array" aca="1" ref="U6" ca="1">IF(ROW()-ROW($J$2:$J$9)+1&gt;ROWS($I$2:$I$9)-COUNTBLANK($I$2:$I$9),"",INDIRECT(ADDRESS(SMALL((IF($I$2:$I$9&lt;&gt;"",ROW($I$2:$I$9),ROW()+ROWS($I$2:$I$9))),ROW()-ROW($J$2:$J$9)+1),COLUMN($I$2:$I$9),4)))</f>
        <v>0</v>
      </c>
      <c r="V6" s="136" t="str">
        <f t="array" aca="1" ref="V6" ca="1">IF(ROW()-ROW($K$2:$K$9)+1&gt;ROWS($J$2:$J$9)-COUNTBLANK($J$2:$J$9),"",INDIRECT(ADDRESS(SMALL((IF($J$2:$J$9&lt;&gt;"",ROW($J$2:$J$9),ROW()+ROWS($J$2:$J$9))),ROW()-ROW($K$2:$K$9)+1),COLUMN($J$2:$J$9),4)))</f>
        <v>n.d.</v>
      </c>
      <c r="W6" s="136" t="str">
        <f t="array" aca="1" ref="W6" ca="1">IF(ROW()-ROW($L$2:$L$9)+1&gt;ROWS($K$2:$K$9)-COUNTBLANK($K$2:$K$9),"",INDIRECT(ADDRESS(SMALL((IF($K$2:$K$9&lt;&gt;"",ROW($K$2:$K$9),ROW()+ROWS($K$2:$K$9))),ROW()-ROW($L$2:$L$9)+1),COLUMN($K$2:$K$9),4)))</f>
        <v>Unvollständig</v>
      </c>
      <c r="X6" s="158" t="str">
        <f t="array" aca="1" ref="X6" ca="1">IF(ROW()-ROW($M$2:$M$9)+1&gt;ROWS($L$2:$L$9)-COUNTBLANK($L$2:$L$9),"",INDIRECT(ADDRESS(SMALL((IF($L$2:$L$9&lt;&gt;"",ROW($L$2:$L$9),ROW()+ROWS($L$2:$L$9))),ROW()-ROW($M$2:$M$9)+1),COLUMN($L$2:$L$9),4)))</f>
        <v>-----</v>
      </c>
      <c r="Y6" s="158" t="str">
        <f t="array" aca="1" ref="Y6" ca="1">IF(ROW()-ROW($N$2:$N$9)+1&gt;ROWS($M$2:$M$9)-COUNTBLANK($M$2:$M$9),"",INDIRECT(ADDRESS(SMALL((IF($M$2:$M$9&lt;&gt;"",ROW($M$2:$M$9),ROW()+ROWS($M$2:$M$9))),ROW()-ROW($N$2:$N$9)+1),COLUMN($M$2:$M$9),4)))</f>
        <v>-----</v>
      </c>
    </row>
    <row r="7" spans="1:25" ht="60" customHeight="1" x14ac:dyDescent="0.25">
      <c r="A7" s="158" t="str">
        <f>IF(KB_Mesotheliom!P27=0,"",KB_Mesotheliom!P27)</f>
        <v>Unvollständig</v>
      </c>
      <c r="C7" s="30">
        <f>IF($A7="I.O.","",KB_Mesotheliom!A27)</f>
        <v>4</v>
      </c>
      <c r="D7" s="277" t="str">
        <f>IF($A7="I.O.","",KB_Mesotheliom!C27)</f>
        <v>Tumorkonferenz nach operativer Therapie Mesotheliom</v>
      </c>
      <c r="E7" s="273" t="str">
        <f>IF(AND(KB_Mesotheliom!J27="",$A7&lt;&gt;"I.O."),"-----",IF($A7="I.O.","",KB_Mesotheliom!J27))</f>
        <v>-----</v>
      </c>
      <c r="F7" s="30" t="str">
        <f>IF($A7="I.O.","",KB_Mesotheliom!K27)</f>
        <v xml:space="preserve"> ≥ 90%</v>
      </c>
      <c r="G7" s="273" t="str">
        <f>IF(AND(KB_Mesotheliom!M27="",$A7&lt;&gt;"I.O."),"-----",IF($A7="I.O.","",KB_Mesotheliom!M27))</f>
        <v>-----</v>
      </c>
      <c r="H7" s="275" t="str">
        <f>IF($A7="I.O.","",IF(KB_Mesotheliom!O27="","-----",KB_Mesotheliom!O27))</f>
        <v>-----</v>
      </c>
      <c r="I7" s="275">
        <f>IF($A7="I.O.","",IF(KB_Mesotheliom!O28="","-----",KB_Mesotheliom!O28))</f>
        <v>0</v>
      </c>
      <c r="J7" s="269" t="str">
        <f>IF($A7="I.O.","",IF(KB_Mesotheliom!O29="",0,KB_Mesotheliom!O29))</f>
        <v>n.d.</v>
      </c>
      <c r="K7" s="274" t="str">
        <f>IF($A7="I.O.","",KB_Mesotheliom!P27)</f>
        <v>Unvollständig</v>
      </c>
      <c r="L7" s="277" t="str">
        <f>IF(AND(KB_Mesotheliom!Q27="",$A7&lt;&gt;"I.O."),"-----",IF($A7="I.O.","",KB_Mesotheliom!Q27))</f>
        <v>-----</v>
      </c>
      <c r="M7" s="277" t="str">
        <f>IF(AND(KB_Mesotheliom!R27="",$A7&lt;&gt;"I.O."),"-----",IF($A7="I.O.","",KB_Mesotheliom!R27))</f>
        <v>-----</v>
      </c>
      <c r="O7" s="136">
        <f t="array" aca="1" ref="O7" ca="1">IF(ROW()-ROW($D$2:$D$9)+1&gt;ROWS($C$2:$C$9)-COUNTBLANK($C$2:$C$9),"",INDIRECT(ADDRESS(SMALL((IF($C$2:$C$9&lt;&gt;"",ROW($C$2:$C$9),ROW()+ROWS($C$2:$C$9))),ROW()-ROW($D$2:$D$9)+1),COLUMN($C$2:$C$9),4)))</f>
        <v>4</v>
      </c>
      <c r="P7" s="276" t="str">
        <f t="array" aca="1" ref="P7" ca="1">IF(ROW()-ROW($E$2:$E$9)+1&gt;ROWS($D$2:$D$9)-COUNTBLANK($D$2:$D$9),"",INDIRECT(ADDRESS(SMALL((IF($D$2:$D$9&gt;"",ROW($D$2:$D$9),ROW()+ROWS($D$2:$D$9))),ROW()-ROW($E$2:$E$9)+1),COLUMN($D$2:$D$9),4)))</f>
        <v>Tumorkonferenz nach operativer Therapie Mesotheliom</v>
      </c>
      <c r="Q7" s="197" t="str">
        <f t="array" aca="1" ref="Q7" ca="1">IF(ROW()-ROW($F$2:$F$9)+1&gt;ROWS($E$2:$E$9)-COUNTBLANK($E$2:$E$9),"",INDIRECT(ADDRESS(SMALL((IF($E$2:$E$9&gt;"",ROW($E$2:$E$9),ROW()+ROWS($E$2:$E$9))),ROW()-ROW($F$2:$F$9)+1),COLUMN($E$2:$E$9),4)))</f>
        <v>-----</v>
      </c>
      <c r="R7" s="197" t="str">
        <f t="array" aca="1" ref="R7" ca="1">IF(ROW()-ROW($G$2:$G$9)+1&gt;ROWS($F$2:$F$9)-COUNTBLANK($F$2:$F$9),"",INDIRECT(ADDRESS(SMALL((IF($F$2:$F$9&gt;"",ROW($F$2:$F$9),ROW()+ROWS($F$2:$F$9))),ROW()-ROW($G$2:$G$9)+1),COLUMN($F$2:$F$9),4)))</f>
        <v xml:space="preserve"> ≥ 90%</v>
      </c>
      <c r="S7" s="197" t="str">
        <f t="array" aca="1" ref="S7" ca="1">IF(ROW()-ROW($H$2:$H$9)+1&gt;ROWS($G$2:$G$9)-COUNTBLANK($G$2:$G$9),"",INDIRECT(ADDRESS(SMALL((IF($G$2:$G$9&lt;&gt;"",ROW($G$2:$G$9),ROW()+ROWS($G$2:$G$9))),ROW()-ROW($H$2:$H$9)+1),COLUMN($G$2:$G$9),4)))</f>
        <v>-----</v>
      </c>
      <c r="T7" s="136" t="str">
        <f t="array" aca="1" ref="T7" ca="1">IF(ROW()-ROW($I$2:$I$9)+1&gt;ROWS($H$2:$H$9)-COUNTBLANK($H$2:$H$9),"",INDIRECT(ADDRESS(SMALL((IF($H$2:$H$9&lt;&gt;"",ROW($H$2:$H$9),ROW()+ROWS($H$2:$H$9))),ROW()-ROW($I$2:$I$9)+1),COLUMN($H$2:$H$9),4)))</f>
        <v>-----</v>
      </c>
      <c r="U7" s="136">
        <f t="array" aca="1" ref="U7" ca="1">IF(ROW()-ROW($J$2:$J$9)+1&gt;ROWS($I$2:$I$9)-COUNTBLANK($I$2:$I$9),"",INDIRECT(ADDRESS(SMALL((IF($I$2:$I$9&lt;&gt;"",ROW($I$2:$I$9),ROW()+ROWS($I$2:$I$9))),ROW()-ROW($J$2:$J$9)+1),COLUMN($I$2:$I$9),4)))</f>
        <v>0</v>
      </c>
      <c r="V7" s="136" t="str">
        <f t="array" aca="1" ref="V7" ca="1">IF(ROW()-ROW($K$2:$K$9)+1&gt;ROWS($J$2:$J$9)-COUNTBLANK($J$2:$J$9),"",INDIRECT(ADDRESS(SMALL((IF($J$2:$J$9&lt;&gt;"",ROW($J$2:$J$9),ROW()+ROWS($J$2:$J$9))),ROW()-ROW($K$2:$K$9)+1),COLUMN($J$2:$J$9),4)))</f>
        <v>n.d.</v>
      </c>
      <c r="W7" s="136" t="str">
        <f t="array" aca="1" ref="W7" ca="1">IF(ROW()-ROW($L$2:$L$9)+1&gt;ROWS($K$2:$K$9)-COUNTBLANK($K$2:$K$9),"",INDIRECT(ADDRESS(SMALL((IF($K$2:$K$9&lt;&gt;"",ROW($K$2:$K$9),ROW()+ROWS($K$2:$K$9))),ROW()-ROW($L$2:$L$9)+1),COLUMN($K$2:$K$9),4)))</f>
        <v>Unvollständig</v>
      </c>
      <c r="X7" s="158" t="str">
        <f t="array" aca="1" ref="X7" ca="1">IF(ROW()-ROW($M$2:$M$9)+1&gt;ROWS($L$2:$L$9)-COUNTBLANK($L$2:$L$9),"",INDIRECT(ADDRESS(SMALL((IF($L$2:$L$9&lt;&gt;"",ROW($L$2:$L$9),ROW()+ROWS($L$2:$L$9))),ROW()-ROW($M$2:$M$9)+1),COLUMN($L$2:$L$9),4)))</f>
        <v>-----</v>
      </c>
      <c r="Y7" s="158" t="str">
        <f t="array" aca="1" ref="Y7" ca="1">IF(ROW()-ROW($N$2:$N$9)+1&gt;ROWS($M$2:$M$9)-COUNTBLANK($M$2:$M$9),"",INDIRECT(ADDRESS(SMALL((IF($M$2:$M$9&lt;&gt;"",ROW($M$2:$M$9),ROW()+ROWS($M$2:$M$9))),ROW()-ROW($N$2:$N$9)+1),COLUMN($M$2:$M$9),4)))</f>
        <v>-----</v>
      </c>
    </row>
    <row r="8" spans="1:25" ht="60" customHeight="1" x14ac:dyDescent="0.25">
      <c r="A8" s="158" t="str">
        <f>IF(KB_Mesotheliom!P33=0,"",KB_Mesotheliom!P33)</f>
        <v>Unvollständig</v>
      </c>
      <c r="C8" s="30">
        <f>IF($A8="I.O.","",KB_Mesotheliom!A33)</f>
        <v>6</v>
      </c>
      <c r="D8" s="277" t="str">
        <f>IF($A8="I.O.","",KB_Mesotheliom!C33)</f>
        <v>Beratung Sozialdienst Mesotheliom</v>
      </c>
      <c r="E8" s="273" t="str">
        <f>IF(AND(KB_Mesotheliom!J33="",$A8&lt;&gt;"I.O."),"-----",IF($A8="I.O.","",KB_Mesotheliom!J33))</f>
        <v>&lt; 50%</v>
      </c>
      <c r="F8" s="30" t="str">
        <f>IF($A8="I.O.","",KB_Mesotheliom!K33)</f>
        <v>Derzeit keine Vorgaben</v>
      </c>
      <c r="G8" s="273" t="str">
        <f>IF(AND(KB_Mesotheliom!M33="",$A8&lt;&gt;"I.O."),"-----",IF($A8="I.O.","",KB_Mesotheliom!M33))</f>
        <v>-----</v>
      </c>
      <c r="H8" s="275" t="str">
        <f>IF($A8="I.O.","",IF(KB_Mesotheliom!O33="","-----",KB_Mesotheliom!O33))</f>
        <v>-----</v>
      </c>
      <c r="I8" s="275">
        <f>IF($A8="I.O.","",IF(KB_Mesotheliom!O34="","-----",KB_Mesotheliom!O34))</f>
        <v>0</v>
      </c>
      <c r="J8" s="269" t="str">
        <f>IF($A8="I.O.","",IF(KB_Mesotheliom!O35="",0,KB_Mesotheliom!O35))</f>
        <v>n.d.</v>
      </c>
      <c r="K8" s="274" t="str">
        <f>IF($A8="I.O.","",KB_Mesotheliom!P33)</f>
        <v>Unvollständig</v>
      </c>
      <c r="L8" s="277" t="str">
        <f>IF(AND(KB_Mesotheliom!Q33="",$A8&lt;&gt;"I.O."),"-----",IF($A8="I.O.","",KB_Mesotheliom!Q33))</f>
        <v>-----</v>
      </c>
      <c r="M8" s="277" t="str">
        <f>IF(AND(KB_Mesotheliom!R33="",$A8&lt;&gt;"I.O."),"-----",IF($A8="I.O.","",KB_Mesotheliom!R33))</f>
        <v>-----</v>
      </c>
      <c r="O8" s="136">
        <f t="array" aca="1" ref="O8" ca="1">IF(ROW()-ROW($D$2:$D$9)+1&gt;ROWS($C$2:$C$9)-COUNTBLANK($C$2:$C$9),"",INDIRECT(ADDRESS(SMALL((IF($C$2:$C$9&lt;&gt;"",ROW($C$2:$C$9),ROW()+ROWS($C$2:$C$9))),ROW()-ROW($D$2:$D$9)+1),COLUMN($C$2:$C$9),4)))</f>
        <v>6</v>
      </c>
      <c r="P8" s="276" t="str">
        <f t="array" aca="1" ref="P8" ca="1">IF(ROW()-ROW($E$2:$E$9)+1&gt;ROWS($D$2:$D$9)-COUNTBLANK($D$2:$D$9),"",INDIRECT(ADDRESS(SMALL((IF($D$2:$D$9&gt;"",ROW($D$2:$D$9),ROW()+ROWS($D$2:$D$9))),ROW()-ROW($E$2:$E$9)+1),COLUMN($D$2:$D$9),4)))</f>
        <v>Beratung Sozialdienst Mesotheliom</v>
      </c>
      <c r="Q8" s="197" t="str">
        <f t="array" aca="1" ref="Q8" ca="1">IF(ROW()-ROW($F$2:$F$9)+1&gt;ROWS($E$2:$E$9)-COUNTBLANK($E$2:$E$9),"",INDIRECT(ADDRESS(SMALL((IF($E$2:$E$9&gt;"",ROW($E$2:$E$9),ROW()+ROWS($E$2:$E$9))),ROW()-ROW($F$2:$F$9)+1),COLUMN($E$2:$E$9),4)))</f>
        <v>&lt; 50%</v>
      </c>
      <c r="R8" s="197" t="str">
        <f t="array" aca="1" ref="R8" ca="1">IF(ROW()-ROW($G$2:$G$9)+1&gt;ROWS($F$2:$F$9)-COUNTBLANK($F$2:$F$9),"",INDIRECT(ADDRESS(SMALL((IF($F$2:$F$9&gt;"",ROW($F$2:$F$9),ROW()+ROWS($F$2:$F$9))),ROW()-ROW($G$2:$G$9)+1),COLUMN($F$2:$F$9),4)))</f>
        <v>Derzeit keine Vorgaben</v>
      </c>
      <c r="S8" s="197" t="str">
        <f t="array" aca="1" ref="S8" ca="1">IF(ROW()-ROW($H$2:$H$9)+1&gt;ROWS($G$2:$G$9)-COUNTBLANK($G$2:$G$9),"",INDIRECT(ADDRESS(SMALL((IF($G$2:$G$9&lt;&gt;"",ROW($G$2:$G$9),ROW()+ROWS($G$2:$G$9))),ROW()-ROW($H$2:$H$9)+1),COLUMN($G$2:$G$9),4)))</f>
        <v>-----</v>
      </c>
      <c r="T8" s="136" t="str">
        <f t="array" aca="1" ref="T8" ca="1">IF(ROW()-ROW($I$2:$I$9)+1&gt;ROWS($H$2:$H$9)-COUNTBLANK($H$2:$H$9),"",INDIRECT(ADDRESS(SMALL((IF($H$2:$H$9&lt;&gt;"",ROW($H$2:$H$9),ROW()+ROWS($H$2:$H$9))),ROW()-ROW($I$2:$I$9)+1),COLUMN($H$2:$H$9),4)))</f>
        <v>-----</v>
      </c>
      <c r="U8" s="136">
        <f t="array" aca="1" ref="U8" ca="1">IF(ROW()-ROW($J$2:$J$9)+1&gt;ROWS($I$2:$I$9)-COUNTBLANK($I$2:$I$9),"",INDIRECT(ADDRESS(SMALL((IF($I$2:$I$9&lt;&gt;"",ROW($I$2:$I$9),ROW()+ROWS($I$2:$I$9))),ROW()-ROW($J$2:$J$9)+1),COLUMN($I$2:$I$9),4)))</f>
        <v>0</v>
      </c>
      <c r="V8" s="136" t="str">
        <f t="array" aca="1" ref="V8" ca="1">IF(ROW()-ROW($K$2:$K$9)+1&gt;ROWS($J$2:$J$9)-COUNTBLANK($J$2:$J$9),"",INDIRECT(ADDRESS(SMALL((IF($J$2:$J$9&lt;&gt;"",ROW($J$2:$J$9),ROW()+ROWS($J$2:$J$9))),ROW()-ROW($K$2:$K$9)+1),COLUMN($J$2:$J$9),4)))</f>
        <v>n.d.</v>
      </c>
      <c r="W8" s="136" t="str">
        <f t="array" aca="1" ref="W8" ca="1">IF(ROW()-ROW($L$2:$L$9)+1&gt;ROWS($K$2:$K$9)-COUNTBLANK($K$2:$K$9),"",INDIRECT(ADDRESS(SMALL((IF($K$2:$K$9&lt;&gt;"",ROW($K$2:$K$9),ROW()+ROWS($K$2:$K$9))),ROW()-ROW($L$2:$L$9)+1),COLUMN($K$2:$K$9),4)))</f>
        <v>Unvollständig</v>
      </c>
      <c r="X8" s="158" t="str">
        <f t="array" aca="1" ref="X8" ca="1">IF(ROW()-ROW($M$2:$M$9)+1&gt;ROWS($L$2:$L$9)-COUNTBLANK($L$2:$L$9),"",INDIRECT(ADDRESS(SMALL((IF($L$2:$L$9&lt;&gt;"",ROW($L$2:$L$9),ROW()+ROWS($L$2:$L$9))),ROW()-ROW($M$2:$M$9)+1),COLUMN($L$2:$L$9),4)))</f>
        <v>-----</v>
      </c>
      <c r="Y8" s="158" t="str">
        <f t="array" aca="1" ref="Y8" ca="1">IF(ROW()-ROW($N$2:$N$9)+1&gt;ROWS($M$2:$M$9)-COUNTBLANK($M$2:$M$9),"",INDIRECT(ADDRESS(SMALL((IF($M$2:$M$9&lt;&gt;"",ROW($M$2:$M$9),ROW()+ROWS($M$2:$M$9))),ROW()-ROW($N$2:$N$9)+1),COLUMN($M$2:$M$9),4)))</f>
        <v>-----</v>
      </c>
    </row>
    <row r="9" spans="1:25" s="234" customFormat="1" ht="60" customHeight="1" x14ac:dyDescent="0.25">
      <c r="A9" s="158" t="str">
        <f>IF(KB_Mesotheliom!P36=0,"",KB_Mesotheliom!P36)</f>
        <v>Unvollständig</v>
      </c>
      <c r="B9" s="159"/>
      <c r="C9" s="30">
        <f>IF($A9="I.O.","",KB_Mesotheliom!A36)</f>
        <v>7</v>
      </c>
      <c r="D9" s="277" t="str">
        <f>IF($A9="I.O.","",KB_Mesotheliom!C36)</f>
        <v>Studienpat. Mesotheliom</v>
      </c>
      <c r="E9" s="273" t="str">
        <f>IF(AND(KB_Mesotheliom!J36="",$A9&lt;&gt;"I.O."),"-----",IF($A9="I.O.","",KB_Mesotheliom!J36))</f>
        <v>-----</v>
      </c>
      <c r="F9" s="30" t="str">
        <f>IF($A9="I.O.","",KB_Mesotheliom!K36)</f>
        <v>≥ 1</v>
      </c>
      <c r="G9" s="273" t="str">
        <f>IF(AND(KB_Mesotheliom!M36="",$A9&lt;&gt;"I.O."),"-----",IF($A9="I.O.","",KB_Mesotheliom!M36))</f>
        <v>-----</v>
      </c>
      <c r="H9" s="275">
        <f>IF($A9="I.O.","",IF(KB_Mesotheliom!O36="",0,KB_Mesotheliom!O36))</f>
        <v>0</v>
      </c>
      <c r="I9" s="275" t="str">
        <f t="shared" ref="I9:J9" si="1">IF($A9="I.O.","","-----")</f>
        <v>-----</v>
      </c>
      <c r="J9" s="269" t="str">
        <f t="shared" si="1"/>
        <v>-----</v>
      </c>
      <c r="K9" s="274" t="str">
        <f>IF($A9="I.O.","",KB_Mesotheliom!P36)</f>
        <v>Unvollständig</v>
      </c>
      <c r="L9" s="277" t="str">
        <f>IF(AND(KB_Mesotheliom!Q36="",$A9&lt;&gt;"I.O."),"-----",IF($A9="I.O.","",KB_Mesotheliom!Q36))</f>
        <v>-----</v>
      </c>
      <c r="M9" s="277" t="str">
        <f>IF(AND(KB_Mesotheliom!R36="",$A9&lt;&gt;"I.O."),"-----",IF($A9="I.O.","",KB_Mesotheliom!R36))</f>
        <v>-----</v>
      </c>
      <c r="O9" s="136">
        <f t="array" aca="1" ref="O9" ca="1">IF(ROW()-ROW($D$2:$D$9)+1&gt;ROWS($C$2:$C$9)-COUNTBLANK($C$2:$C$9),"",INDIRECT(ADDRESS(SMALL((IF($C$2:$C$9&lt;&gt;"",ROW($C$2:$C$9),ROW()+ROWS($C$2:$C$9))),ROW()-ROW($D$2:$D$9)+1),COLUMN($C$2:$C$9),4)))</f>
        <v>7</v>
      </c>
      <c r="P9" s="276" t="str">
        <f t="array" aca="1" ref="P9" ca="1">IF(ROW()-ROW($E$2:$E$9)+1&gt;ROWS($D$2:$D$9)-COUNTBLANK($D$2:$D$9),"",INDIRECT(ADDRESS(SMALL((IF($D$2:$D$9&gt;"",ROW($D$2:$D$9),ROW()+ROWS($D$2:$D$9))),ROW()-ROW($E$2:$E$9)+1),COLUMN($D$2:$D$9),4)))</f>
        <v>Studienpat. Mesotheliom</v>
      </c>
      <c r="Q9" s="197" t="str">
        <f t="array" aca="1" ref="Q9" ca="1">IF(ROW()-ROW($F$2:$F$9)+1&gt;ROWS($E$2:$E$9)-COUNTBLANK($E$2:$E$9),"",INDIRECT(ADDRESS(SMALL((IF($E$2:$E$9&gt;"",ROW($E$2:$E$9),ROW()+ROWS($E$2:$E$9))),ROW()-ROW($F$2:$F$9)+1),COLUMN($E$2:$E$9),4)))</f>
        <v>-----</v>
      </c>
      <c r="R9" s="197" t="str">
        <f t="array" aca="1" ref="R9" ca="1">IF(ROW()-ROW($G$2:$G$9)+1&gt;ROWS($F$2:$F$9)-COUNTBLANK($F$2:$F$9),"",INDIRECT(ADDRESS(SMALL((IF($F$2:$F$9&gt;"",ROW($F$2:$F$9),ROW()+ROWS($F$2:$F$9))),ROW()-ROW($G$2:$G$9)+1),COLUMN($F$2:$F$9),4)))</f>
        <v>≥ 1</v>
      </c>
      <c r="S9" s="197" t="str">
        <f t="array" aca="1" ref="S9" ca="1">IF(ROW()-ROW($H$2:$H$9)+1&gt;ROWS($G$2:$G$9)-COUNTBLANK($G$2:$G$9),"",INDIRECT(ADDRESS(SMALL((IF($G$2:$G$9&lt;&gt;"",ROW($G$2:$G$9),ROW()+ROWS($G$2:$G$9))),ROW()-ROW($H$2:$H$9)+1),COLUMN($G$2:$G$9),4)))</f>
        <v>-----</v>
      </c>
      <c r="T9" s="136">
        <f t="array" aca="1" ref="T9" ca="1">IF(ROW()-ROW($I$2:$I$9)+1&gt;ROWS($H$2:$H$9)-COUNTBLANK($H$2:$H$9),"",INDIRECT(ADDRESS(SMALL((IF($H$2:$H$9&lt;&gt;"",ROW($H$2:$H$9),ROW()+ROWS($H$2:$H$9))),ROW()-ROW($I$2:$I$9)+1),COLUMN($H$2:$H$9),4)))</f>
        <v>0</v>
      </c>
      <c r="U9" s="136" t="str">
        <f t="array" aca="1" ref="U9" ca="1">IF(ROW()-ROW($J$2:$J$9)+1&gt;ROWS($I$2:$I$9)-COUNTBLANK($I$2:$I$9),"",INDIRECT(ADDRESS(SMALL((IF($I$2:$I$9&lt;&gt;"",ROW($I$2:$I$9),ROW()+ROWS($I$2:$I$9))),ROW()-ROW($J$2:$J$9)+1),COLUMN($I$2:$I$9),4)))</f>
        <v>-----</v>
      </c>
      <c r="V9" s="136" t="str">
        <f t="array" aca="1" ref="V9" ca="1">IF(ROW()-ROW($K$2:$K$9)+1&gt;ROWS($J$2:$J$9)-COUNTBLANK($J$2:$J$9),"",INDIRECT(ADDRESS(SMALL((IF($J$2:$J$9&lt;&gt;"",ROW($J$2:$J$9),ROW()+ROWS($J$2:$J$9))),ROW()-ROW($K$2:$K$9)+1),COLUMN($J$2:$J$9),4)))</f>
        <v>-----</v>
      </c>
      <c r="W9" s="136" t="str">
        <f t="array" aca="1" ref="W9" ca="1">IF(ROW()-ROW($L$2:$L$9)+1&gt;ROWS($K$2:$K$9)-COUNTBLANK($K$2:$K$9),"",INDIRECT(ADDRESS(SMALL((IF($K$2:$K$9&lt;&gt;"",ROW($K$2:$K$9),ROW()+ROWS($K$2:$K$9))),ROW()-ROW($L$2:$L$9)+1),COLUMN($K$2:$K$9),4)))</f>
        <v>Unvollständig</v>
      </c>
      <c r="X9" s="158" t="str">
        <f t="array" aca="1" ref="X9" ca="1">IF(ROW()-ROW($M$2:$M$9)+1&gt;ROWS($L$2:$L$9)-COUNTBLANK($L$2:$L$9),"",INDIRECT(ADDRESS(SMALL((IF($L$2:$L$9&lt;&gt;"",ROW($L$2:$L$9),ROW()+ROWS($L$2:$L$9))),ROW()-ROW($M$2:$M$9)+1),COLUMN($L$2:$L$9),4)))</f>
        <v>-----</v>
      </c>
      <c r="Y9" s="158" t="str">
        <f t="array" aca="1" ref="Y9" ca="1">IF(ROW()-ROW($N$2:$N$9)+1&gt;ROWS($M$2:$M$9)-COUNTBLANK($M$2:$M$9),"",INDIRECT(ADDRESS(SMALL((IF($M$2:$M$9&lt;&gt;"",ROW($M$2:$M$9),ROW()+ROWS($M$2:$M$9))),ROW()-ROW($N$2:$N$9)+1),COLUMN($M$2:$M$9),4)))</f>
        <v>-----</v>
      </c>
    </row>
  </sheetData>
  <sheetProtection formatColumns="0" formatRows="0" selectLockedCells="1" sort="0"/>
  <conditionalFormatting sqref="K2:K9">
    <cfRule type="cellIs" dxfId="40" priority="1" stopIfTrue="1" operator="equal">
      <formula>"Sollvorgabe nicht erfüllt"</formula>
    </cfRule>
    <cfRule type="cellIs" dxfId="39" priority="2" stopIfTrue="1" operator="equal">
      <formula>"I.O. (Plausibilität unklar)"</formula>
    </cfRule>
    <cfRule type="cellIs" dxfId="38" priority="3" stopIfTrue="1" operator="equal">
      <formula>"Ausnahme (Plausibilität unklar)"</formula>
    </cfRule>
    <cfRule type="expression" dxfId="37" priority="4" stopIfTrue="1">
      <formula>OR(K2="Unvollständig",K2="Inkorrekt")</formula>
    </cfRule>
    <cfRule type="cellIs" dxfId="36" priority="5"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pageSetUpPr fitToPage="1"/>
  </sheetPr>
  <dimension ref="A1:S52"/>
  <sheetViews>
    <sheetView showGridLines="0" showRuler="0" zoomScaleNormal="100" zoomScaleSheetLayoutView="100" workbookViewId="0">
      <pane ySplit="11" topLeftCell="A12" activePane="bottomLeft" state="frozen"/>
      <selection pane="bottomLeft" activeCell="Q12" sqref="Q12:Q14"/>
    </sheetView>
  </sheetViews>
  <sheetFormatPr defaultColWidth="11.42578125" defaultRowHeight="14.25" x14ac:dyDescent="0.2"/>
  <cols>
    <col min="1" max="1" width="6.42578125" style="3" customWidth="1"/>
    <col min="2" max="2" width="5.140625" style="3" customWidth="1"/>
    <col min="3" max="3" width="22" style="3" customWidth="1"/>
    <col min="4" max="4" width="12.71093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9" ht="9.9499999999999993" customHeight="1" x14ac:dyDescent="0.2">
      <c r="O1" s="3"/>
    </row>
    <row r="2" spans="1:19" ht="12.95" customHeight="1" x14ac:dyDescent="0.2">
      <c r="A2" s="348" t="str">
        <f>Basisdaten_Lunge!A2</f>
        <v>Anlage EB Version I1.3 (Auditjahr 2023 / Kennzahlenjahr 2022)</v>
      </c>
      <c r="O2" s="3"/>
    </row>
    <row r="3" spans="1:19" ht="16.5" customHeight="1" x14ac:dyDescent="0.25">
      <c r="A3" s="83" t="s">
        <v>883</v>
      </c>
      <c r="N3" s="20"/>
      <c r="O3" s="3"/>
    </row>
    <row r="4" spans="1:19" ht="12.75" customHeight="1" x14ac:dyDescent="0.2">
      <c r="N4" s="20"/>
      <c r="O4" s="3"/>
    </row>
    <row r="5" spans="1:19" ht="11.25" customHeight="1" x14ac:dyDescent="0.2">
      <c r="D5" s="10"/>
      <c r="E5" s="10"/>
      <c r="F5" s="10"/>
      <c r="G5" s="10"/>
      <c r="H5" s="10"/>
      <c r="I5" s="10"/>
      <c r="J5" s="10"/>
      <c r="M5" s="10"/>
      <c r="N5" s="20"/>
      <c r="O5" s="3"/>
    </row>
    <row r="6" spans="1:19" s="23" customFormat="1" ht="15" customHeight="1" x14ac:dyDescent="0.25">
      <c r="A6" s="64" t="s">
        <v>236</v>
      </c>
      <c r="B6" s="26"/>
      <c r="D6" s="785" t="str">
        <f>IF(HilfstabelleKB_Mesotheliom!B1="nur Lungenkrebszentrum","",Basisdaten_Lunge!B9)</f>
        <v/>
      </c>
      <c r="E6" s="785"/>
      <c r="F6" s="786"/>
      <c r="G6" s="786"/>
      <c r="H6" s="786"/>
      <c r="I6" s="786"/>
      <c r="J6" s="786"/>
      <c r="K6" s="786"/>
      <c r="L6" s="787"/>
      <c r="M6" s="787"/>
      <c r="N6" s="787"/>
      <c r="O6" s="20"/>
      <c r="P6" s="18"/>
      <c r="Q6" s="20"/>
      <c r="R6" s="20"/>
    </row>
    <row r="7" spans="1:19" s="23" customFormat="1" ht="6.95" customHeight="1" x14ac:dyDescent="0.2">
      <c r="A7" s="6"/>
      <c r="B7" s="6"/>
      <c r="C7" s="22"/>
      <c r="D7" s="10"/>
      <c r="E7" s="10"/>
      <c r="F7" s="10"/>
      <c r="G7" s="10"/>
      <c r="H7" s="10"/>
      <c r="I7" s="10"/>
      <c r="J7" s="10"/>
      <c r="K7" s="10"/>
      <c r="L7" s="10"/>
      <c r="M7" s="10"/>
      <c r="N7" s="20"/>
      <c r="O7" s="20"/>
      <c r="P7" s="18"/>
      <c r="Q7" s="20"/>
      <c r="R7" s="20"/>
    </row>
    <row r="8" spans="1:19" s="23" customFormat="1" ht="15" customHeight="1" x14ac:dyDescent="0.25">
      <c r="A8" s="64" t="s">
        <v>166</v>
      </c>
      <c r="B8" s="26"/>
      <c r="C8" s="25"/>
      <c r="D8" s="605" t="str">
        <f>IF(HilfstabelleKB_Mesotheliom!B1="nur Lungenkrebszentrum","",HilfstabelleKB_Mesotheliom!B3)</f>
        <v/>
      </c>
      <c r="E8" s="727"/>
      <c r="F8" s="20"/>
      <c r="G8" s="20"/>
      <c r="I8" s="23" t="s">
        <v>163</v>
      </c>
      <c r="J8" s="4"/>
      <c r="K8" s="788" t="str">
        <f>IF(HilfstabelleKB_Mesotheliom!B1="nur Lungenkrebszentrum","",HilfstabelleKB_Mesotheliom!B4)</f>
        <v/>
      </c>
      <c r="L8" s="789"/>
      <c r="M8" s="789"/>
      <c r="N8" s="787"/>
      <c r="O8" s="20"/>
      <c r="P8" s="18"/>
      <c r="Q8" s="20"/>
      <c r="R8" s="20"/>
    </row>
    <row r="9" spans="1:19" ht="15" customHeight="1" thickBot="1" x14ac:dyDescent="0.25">
      <c r="D9" s="10"/>
      <c r="E9" s="10"/>
      <c r="F9" s="10"/>
      <c r="G9" s="10"/>
      <c r="H9" s="10"/>
      <c r="I9" s="10"/>
      <c r="J9" s="10"/>
      <c r="M9" s="10"/>
      <c r="N9" s="20"/>
      <c r="O9" s="3"/>
    </row>
    <row r="10" spans="1:19" s="8" customFormat="1" ht="15" customHeight="1" thickBot="1" x14ac:dyDescent="0.3">
      <c r="A10" s="736" t="s">
        <v>492</v>
      </c>
      <c r="B10" s="736" t="s">
        <v>820</v>
      </c>
      <c r="C10" s="736" t="s">
        <v>253</v>
      </c>
      <c r="D10" s="738" t="s">
        <v>19</v>
      </c>
      <c r="E10" s="739"/>
      <c r="F10" s="738" t="s">
        <v>20</v>
      </c>
      <c r="G10" s="739"/>
      <c r="H10" s="733" t="s">
        <v>169</v>
      </c>
      <c r="I10" s="734"/>
      <c r="J10" s="729" t="s">
        <v>422</v>
      </c>
      <c r="K10" s="731" t="s">
        <v>21</v>
      </c>
      <c r="L10" s="732"/>
      <c r="M10" s="729" t="s">
        <v>422</v>
      </c>
      <c r="N10" s="738" t="s">
        <v>17</v>
      </c>
      <c r="O10" s="754"/>
      <c r="P10" s="736" t="s">
        <v>421</v>
      </c>
      <c r="Q10" s="742" t="s">
        <v>165</v>
      </c>
      <c r="R10" s="743"/>
    </row>
    <row r="11" spans="1:19" s="8" customFormat="1" ht="22.5" customHeight="1" thickBot="1" x14ac:dyDescent="0.3">
      <c r="A11" s="737"/>
      <c r="B11" s="737"/>
      <c r="C11" s="737"/>
      <c r="D11" s="740"/>
      <c r="E11" s="741"/>
      <c r="F11" s="740"/>
      <c r="G11" s="741"/>
      <c r="H11" s="735"/>
      <c r="I11" s="734"/>
      <c r="J11" s="730"/>
      <c r="K11" s="731"/>
      <c r="L11" s="732"/>
      <c r="M11" s="730"/>
      <c r="N11" s="755"/>
      <c r="O11" s="756"/>
      <c r="P11" s="753"/>
      <c r="Q11" s="302" t="s">
        <v>510</v>
      </c>
      <c r="R11" s="302" t="s">
        <v>490</v>
      </c>
    </row>
    <row r="12" spans="1:19" ht="27.75" customHeight="1" thickBot="1" x14ac:dyDescent="0.25">
      <c r="A12" s="585" t="s">
        <v>821</v>
      </c>
      <c r="B12" s="587" t="s">
        <v>273</v>
      </c>
      <c r="C12" s="660" t="s">
        <v>873</v>
      </c>
      <c r="D12" s="794" t="s">
        <v>251</v>
      </c>
      <c r="E12" s="582"/>
      <c r="F12" s="581" t="s">
        <v>872</v>
      </c>
      <c r="G12" s="582"/>
      <c r="H12" s="581" t="s">
        <v>251</v>
      </c>
      <c r="I12" s="582"/>
      <c r="J12" s="718"/>
      <c r="K12" s="594" t="s">
        <v>250</v>
      </c>
      <c r="L12" s="723"/>
      <c r="M12" s="934"/>
      <c r="N12" s="745" t="s">
        <v>25</v>
      </c>
      <c r="O12" s="757"/>
      <c r="P12" s="749" t="str">
        <f>IF(O12="",Berechnung1_Mesotheliom!$F$5,IF(OR(O12&lt;Berechnung1_Mesotheliom!E27,O12&gt;Berechnung1_Mesotheliom!F27),Berechnung1_Mesotheliom!$G$5,IF(OR(ROUND(O12,4)&lt;Berechnung1_Mesotheliom!J27,ROUND(O12,4)&gt;Berechnung1_Mesotheliom!K27),Berechnung1_Mesotheliom!$D$5,IF(OR(ROUND(O12,4)&lt;Berechnung1_Mesotheliom!G27,ROUND(O12,4)&gt;Berechnung1_Mesotheliom!H27),Berechnung1_Mesotheliom!$E$5,Berechnung1_Mesotheliom!$C$5))))</f>
        <v>Unvollständig</v>
      </c>
      <c r="Q12" s="752"/>
      <c r="R12" s="714"/>
    </row>
    <row r="13" spans="1:19" ht="27.75" customHeight="1" thickBot="1" x14ac:dyDescent="0.25">
      <c r="A13" s="586"/>
      <c r="B13" s="588"/>
      <c r="C13" s="657"/>
      <c r="D13" s="583"/>
      <c r="E13" s="584"/>
      <c r="F13" s="583"/>
      <c r="G13" s="584"/>
      <c r="H13" s="583"/>
      <c r="I13" s="584"/>
      <c r="J13" s="719"/>
      <c r="K13" s="596"/>
      <c r="L13" s="724"/>
      <c r="M13" s="935"/>
      <c r="N13" s="745"/>
      <c r="O13" s="758"/>
      <c r="P13" s="750"/>
      <c r="Q13" s="698"/>
      <c r="R13" s="698"/>
      <c r="S13" s="495">
        <f>Basisdaten_Lunge!B5</f>
        <v>0</v>
      </c>
    </row>
    <row r="14" spans="1:19" ht="27.75" customHeight="1" thickBot="1" x14ac:dyDescent="0.25">
      <c r="A14" s="601"/>
      <c r="B14" s="603"/>
      <c r="C14" s="658"/>
      <c r="D14" s="609"/>
      <c r="E14" s="610"/>
      <c r="F14" s="609"/>
      <c r="G14" s="610"/>
      <c r="H14" s="609"/>
      <c r="I14" s="610"/>
      <c r="J14" s="720"/>
      <c r="K14" s="725"/>
      <c r="L14" s="726"/>
      <c r="M14" s="936"/>
      <c r="N14" s="745"/>
      <c r="O14" s="759"/>
      <c r="P14" s="751"/>
      <c r="Q14" s="698"/>
      <c r="R14" s="698"/>
    </row>
    <row r="15" spans="1:19" ht="27.75" customHeight="1" thickBot="1" x14ac:dyDescent="0.25">
      <c r="A15" s="585" t="s">
        <v>822</v>
      </c>
      <c r="B15" s="587" t="s">
        <v>273</v>
      </c>
      <c r="C15" s="660" t="s">
        <v>875</v>
      </c>
      <c r="D15" s="794" t="s">
        <v>251</v>
      </c>
      <c r="E15" s="582"/>
      <c r="F15" s="581" t="s">
        <v>874</v>
      </c>
      <c r="G15" s="582"/>
      <c r="H15" s="794" t="s">
        <v>251</v>
      </c>
      <c r="I15" s="582"/>
      <c r="J15" s="718"/>
      <c r="K15" s="594" t="s">
        <v>250</v>
      </c>
      <c r="L15" s="723"/>
      <c r="M15" s="934"/>
      <c r="N15" s="745" t="s">
        <v>25</v>
      </c>
      <c r="O15" s="757"/>
      <c r="P15" s="749" t="str">
        <f>IF(O15="",Berechnung1_Mesotheliom!$F$5,IF(OR(O15&lt;Berechnung1_Mesotheliom!E30,O15&gt;Berechnung1_Mesotheliom!F30),Berechnung1_Mesotheliom!$G$5,IF(OR(ROUND(O15,4)&lt;Berechnung1_Mesotheliom!J30,ROUND(O15,4)&gt;Berechnung1_Mesotheliom!K30),Berechnung1_Mesotheliom!$D$5,IF(OR(ROUND(O15,4)&lt;Berechnung1_Mesotheliom!G30,ROUND(O15,4)&gt;Berechnung1_Mesotheliom!H30),Berechnung1_Mesotheliom!$E$5,Berechnung1_Mesotheliom!$C$5))))</f>
        <v>Unvollständig</v>
      </c>
      <c r="Q15" s="752"/>
      <c r="R15" s="714"/>
    </row>
    <row r="16" spans="1:19" ht="27.75" customHeight="1" thickBot="1" x14ac:dyDescent="0.25">
      <c r="A16" s="586"/>
      <c r="B16" s="588"/>
      <c r="C16" s="657"/>
      <c r="D16" s="583"/>
      <c r="E16" s="584"/>
      <c r="F16" s="583"/>
      <c r="G16" s="584"/>
      <c r="H16" s="583"/>
      <c r="I16" s="584"/>
      <c r="J16" s="719"/>
      <c r="K16" s="596"/>
      <c r="L16" s="724"/>
      <c r="M16" s="935"/>
      <c r="N16" s="745"/>
      <c r="O16" s="758"/>
      <c r="P16" s="750"/>
      <c r="Q16" s="698"/>
      <c r="R16" s="698"/>
    </row>
    <row r="17" spans="1:18" ht="27.75" customHeight="1" thickBot="1" x14ac:dyDescent="0.25">
      <c r="A17" s="601"/>
      <c r="B17" s="603"/>
      <c r="C17" s="658"/>
      <c r="D17" s="609"/>
      <c r="E17" s="610"/>
      <c r="F17" s="609"/>
      <c r="G17" s="610"/>
      <c r="H17" s="609"/>
      <c r="I17" s="610"/>
      <c r="J17" s="720"/>
      <c r="K17" s="725"/>
      <c r="L17" s="726"/>
      <c r="M17" s="936"/>
      <c r="N17" s="745"/>
      <c r="O17" s="759"/>
      <c r="P17" s="751"/>
      <c r="Q17" s="698"/>
      <c r="R17" s="698"/>
    </row>
    <row r="18" spans="1:18" ht="27" customHeight="1" thickBot="1" x14ac:dyDescent="0.25">
      <c r="A18" s="585" t="s">
        <v>862</v>
      </c>
      <c r="B18" s="587"/>
      <c r="C18" s="660" t="s">
        <v>876</v>
      </c>
      <c r="D18" s="581" t="s">
        <v>255</v>
      </c>
      <c r="E18" s="582"/>
      <c r="F18" s="581" t="s">
        <v>877</v>
      </c>
      <c r="G18" s="582"/>
      <c r="H18" s="794" t="s">
        <v>251</v>
      </c>
      <c r="I18" s="582"/>
      <c r="J18" s="718"/>
      <c r="K18" s="744" t="s">
        <v>863</v>
      </c>
      <c r="L18" s="723"/>
      <c r="M18" s="934"/>
      <c r="N18" s="937" t="s">
        <v>25</v>
      </c>
      <c r="O18" s="746">
        <f>O12+O15</f>
        <v>0</v>
      </c>
      <c r="P18" s="721" t="str">
        <f>IF(OR(O12="",O15="",O18=""),Berechnung1_Mesotheliom!$F$5,IF(OR(O18&lt;Berechnung1_Mesotheliom!E33,O18&gt;Berechnung1_Mesotheliom!F33),Berechnung1_Mesotheliom!$G$5,IF(OR(ROUND(O18,4)&lt;Berechnung1_Mesotheliom!J33,ROUND(O18,4)&gt;Berechnung1_Mesotheliom!K33),Berechnung1_Mesotheliom!$D$5,IF(OR(ROUND(O18,4)&lt;Berechnung1_Mesotheliom!G33,ROUND(O18,4)&gt;Berechnung1_Mesotheliom!H33),Berechnung1_Mesotheliom!$E$5,Berechnung1_Mesotheliom!$C$5))))</f>
        <v>Unvollständig</v>
      </c>
      <c r="Q18" s="697"/>
      <c r="R18" s="697"/>
    </row>
    <row r="19" spans="1:18" ht="27" customHeight="1" thickBot="1" x14ac:dyDescent="0.25">
      <c r="A19" s="586"/>
      <c r="B19" s="588"/>
      <c r="C19" s="657"/>
      <c r="D19" s="583"/>
      <c r="E19" s="584"/>
      <c r="F19" s="583"/>
      <c r="G19" s="584"/>
      <c r="H19" s="583"/>
      <c r="I19" s="584"/>
      <c r="J19" s="719"/>
      <c r="K19" s="596"/>
      <c r="L19" s="724"/>
      <c r="M19" s="935"/>
      <c r="N19" s="938"/>
      <c r="O19" s="747">
        <f>IF(Basisdaten_Lunge!$K$33="",0,Basisdaten_Lunge!$K$33)</f>
        <v>0</v>
      </c>
      <c r="P19" s="721"/>
      <c r="Q19" s="698"/>
      <c r="R19" s="698"/>
    </row>
    <row r="20" spans="1:18" ht="27" customHeight="1" thickBot="1" x14ac:dyDescent="0.25">
      <c r="A20" s="601"/>
      <c r="B20" s="603"/>
      <c r="C20" s="658"/>
      <c r="D20" s="609"/>
      <c r="E20" s="610"/>
      <c r="F20" s="609"/>
      <c r="G20" s="610"/>
      <c r="H20" s="609"/>
      <c r="I20" s="610"/>
      <c r="J20" s="720"/>
      <c r="K20" s="725"/>
      <c r="L20" s="726"/>
      <c r="M20" s="936"/>
      <c r="N20" s="939"/>
      <c r="O20" s="748" t="str">
        <f>IF(O18="","n.d.",IF(O19="","n.d.",IF(O19=0,"",O18 /O19)))</f>
        <v/>
      </c>
      <c r="P20" s="721"/>
      <c r="Q20" s="698"/>
      <c r="R20" s="698"/>
    </row>
    <row r="21" spans="1:18" ht="27.75" customHeight="1" thickBot="1" x14ac:dyDescent="0.25">
      <c r="A21" s="585">
        <v>2</v>
      </c>
      <c r="B21" s="587" t="s">
        <v>278</v>
      </c>
      <c r="C21" s="660" t="s">
        <v>880</v>
      </c>
      <c r="D21" s="794" t="s">
        <v>251</v>
      </c>
      <c r="E21" s="582"/>
      <c r="F21" s="581" t="s">
        <v>1042</v>
      </c>
      <c r="G21" s="582"/>
      <c r="H21" s="794" t="s">
        <v>251</v>
      </c>
      <c r="I21" s="582"/>
      <c r="J21" s="718"/>
      <c r="K21" s="744" t="s">
        <v>250</v>
      </c>
      <c r="L21" s="723"/>
      <c r="M21" s="934"/>
      <c r="N21" s="937" t="s">
        <v>25</v>
      </c>
      <c r="O21" s="757"/>
      <c r="P21" s="721" t="str">
        <f>IF(O21="",Berechnung1_Mesotheliom!$F$5,IF(OR(O21&lt;Berechnung1_Mesotheliom!E36,O21&gt;Berechnung1_Mesotheliom!F36),Berechnung1_Mesotheliom!$G$5,IF(OR(ROUND(O21,4)&lt;Berechnung1_Mesotheliom!J36,ROUND(O21,4)&gt;Berechnung1_Mesotheliom!K36),Berechnung1_Mesotheliom!$D$5,IF(OR(ROUND(O21,4)&lt;Berechnung1_Mesotheliom!G36,ROUND(O21,4)&gt;Berechnung1_Mesotheliom!H36),Berechnung1_Mesotheliom!$E$5,Berechnung1_Mesotheliom!$C$5))))</f>
        <v>Unvollständig</v>
      </c>
      <c r="Q21" s="697"/>
      <c r="R21" s="697"/>
    </row>
    <row r="22" spans="1:18" ht="27.75" customHeight="1" thickBot="1" x14ac:dyDescent="0.25">
      <c r="A22" s="586"/>
      <c r="B22" s="588"/>
      <c r="C22" s="657"/>
      <c r="D22" s="583"/>
      <c r="E22" s="584"/>
      <c r="F22" s="583"/>
      <c r="G22" s="584"/>
      <c r="H22" s="583"/>
      <c r="I22" s="584"/>
      <c r="J22" s="719"/>
      <c r="K22" s="596"/>
      <c r="L22" s="724"/>
      <c r="M22" s="935"/>
      <c r="N22" s="938"/>
      <c r="O22" s="758"/>
      <c r="P22" s="721"/>
      <c r="Q22" s="698"/>
      <c r="R22" s="760"/>
    </row>
    <row r="23" spans="1:18" ht="27.75" customHeight="1" thickBot="1" x14ac:dyDescent="0.25">
      <c r="A23" s="601"/>
      <c r="B23" s="603"/>
      <c r="C23" s="658"/>
      <c r="D23" s="609"/>
      <c r="E23" s="610"/>
      <c r="F23" s="609"/>
      <c r="G23" s="610"/>
      <c r="H23" s="609"/>
      <c r="I23" s="610"/>
      <c r="J23" s="720"/>
      <c r="K23" s="725"/>
      <c r="L23" s="726"/>
      <c r="M23" s="936"/>
      <c r="N23" s="939"/>
      <c r="O23" s="759"/>
      <c r="P23" s="721"/>
      <c r="Q23" s="698"/>
      <c r="R23" s="761"/>
    </row>
    <row r="24" spans="1:18" ht="27" customHeight="1" thickBot="1" x14ac:dyDescent="0.25">
      <c r="A24" s="585">
        <v>3</v>
      </c>
      <c r="B24" s="587"/>
      <c r="C24" s="660" t="s">
        <v>864</v>
      </c>
      <c r="D24" s="581" t="s">
        <v>257</v>
      </c>
      <c r="E24" s="582"/>
      <c r="F24" s="581" t="s">
        <v>732</v>
      </c>
      <c r="G24" s="582"/>
      <c r="H24" s="581" t="s">
        <v>865</v>
      </c>
      <c r="I24" s="582"/>
      <c r="J24" s="718"/>
      <c r="K24" s="594" t="s">
        <v>541</v>
      </c>
      <c r="L24" s="723"/>
      <c r="M24" s="934"/>
      <c r="N24" s="15" t="s">
        <v>20</v>
      </c>
      <c r="O24" s="42"/>
      <c r="P24" s="721" t="str">
        <f>IF(O26=Berechnung1_Mesotheliom!D39,Berechnung1_Mesotheliom!$F$5,IF(OR(O26&lt; Berechnung1_Mesotheliom!E39,O26&gt; Berechnung1_Mesotheliom!F39),Berechnung1_Mesotheliom!$G$5,IF(OR(ROUND(O26,4)&lt;Berechnung1_Mesotheliom!J39,ROUND(O26,4)&gt;Berechnung1_Mesotheliom!K39),Berechnung1_Mesotheliom!$D$5,IF(OR(ROUND(O26,4)&lt;Berechnung1_Mesotheliom!G39,ROUND(O26,4)&gt;Berechnung1_Mesotheliom!H39),Berechnung1_Mesotheliom!$E$5,Berechnung1_Mesotheliom!$C$5))))</f>
        <v>Unvollständig</v>
      </c>
      <c r="Q24" s="697"/>
      <c r="R24" s="697"/>
    </row>
    <row r="25" spans="1:18" ht="27" customHeight="1" thickBot="1" x14ac:dyDescent="0.25">
      <c r="A25" s="586"/>
      <c r="B25" s="588"/>
      <c r="C25" s="657"/>
      <c r="D25" s="583"/>
      <c r="E25" s="584"/>
      <c r="F25" s="583"/>
      <c r="G25" s="584"/>
      <c r="H25" s="583"/>
      <c r="I25" s="584"/>
      <c r="J25" s="719"/>
      <c r="K25" s="596"/>
      <c r="L25" s="724"/>
      <c r="M25" s="935"/>
      <c r="N25" s="36" t="s">
        <v>22</v>
      </c>
      <c r="O25" s="65">
        <f>O18</f>
        <v>0</v>
      </c>
      <c r="P25" s="721"/>
      <c r="Q25" s="698"/>
      <c r="R25" s="760"/>
    </row>
    <row r="26" spans="1:18" ht="27" customHeight="1" thickBot="1" x14ac:dyDescent="0.25">
      <c r="A26" s="601"/>
      <c r="B26" s="603"/>
      <c r="C26" s="658"/>
      <c r="D26" s="609"/>
      <c r="E26" s="610"/>
      <c r="F26" s="609"/>
      <c r="G26" s="610"/>
      <c r="H26" s="609"/>
      <c r="I26" s="610"/>
      <c r="J26" s="720"/>
      <c r="K26" s="725"/>
      <c r="L26" s="726"/>
      <c r="M26" s="936"/>
      <c r="N26" s="36" t="s">
        <v>23</v>
      </c>
      <c r="O26" s="268" t="str">
        <f>IF(O24="","n.d.",IF(O25="","n.d.",IF(O25=0,"",O24 /O25)))</f>
        <v>n.d.</v>
      </c>
      <c r="P26" s="721"/>
      <c r="Q26" s="698"/>
      <c r="R26" s="761"/>
    </row>
    <row r="27" spans="1:18" ht="27" customHeight="1" thickBot="1" x14ac:dyDescent="0.25">
      <c r="A27" s="585">
        <v>4</v>
      </c>
      <c r="B27" s="587"/>
      <c r="C27" s="660" t="s">
        <v>866</v>
      </c>
      <c r="D27" s="581" t="s">
        <v>867</v>
      </c>
      <c r="E27" s="582"/>
      <c r="F27" s="581" t="s">
        <v>733</v>
      </c>
      <c r="G27" s="582"/>
      <c r="H27" s="581" t="s">
        <v>871</v>
      </c>
      <c r="I27" s="582"/>
      <c r="J27" s="718"/>
      <c r="K27" s="594" t="s">
        <v>541</v>
      </c>
      <c r="L27" s="723"/>
      <c r="M27" s="934"/>
      <c r="N27" s="15" t="s">
        <v>20</v>
      </c>
      <c r="O27" s="42"/>
      <c r="P27" s="721" t="str">
        <f>IF(O29=Berechnung1_Mesotheliom!D42,Berechnung1_Mesotheliom!$F$5,IF(OR(O29&lt;Berechnung1_Mesotheliom!E42,O29&gt; Berechnung1_Mesotheliom!F42),Berechnung1_Mesotheliom!$G$5,IF(OR(ROUND(O29,4)&lt;Berechnung1_Mesotheliom!J42,ROUND(O29,4)&gt;Berechnung1_Mesotheliom!K42),Berechnung1_Mesotheliom!$D$5,IF(OR(ROUND(O29,4)&lt;Berechnung1_Mesotheliom!G42,ROUND(O29,4)&gt;Berechnung1_Mesotheliom!H42),Berechnung1_Mesotheliom!$E$5,Berechnung1_Mesotheliom!$C$5))))</f>
        <v>Unvollständig</v>
      </c>
      <c r="Q27" s="697"/>
      <c r="R27" s="697"/>
    </row>
    <row r="28" spans="1:18" ht="27" customHeight="1" thickBot="1" x14ac:dyDescent="0.25">
      <c r="A28" s="586"/>
      <c r="B28" s="588"/>
      <c r="C28" s="657"/>
      <c r="D28" s="583"/>
      <c r="E28" s="584"/>
      <c r="F28" s="583"/>
      <c r="G28" s="584"/>
      <c r="H28" s="583"/>
      <c r="I28" s="584"/>
      <c r="J28" s="719"/>
      <c r="K28" s="596"/>
      <c r="L28" s="724"/>
      <c r="M28" s="935"/>
      <c r="N28" s="36" t="s">
        <v>22</v>
      </c>
      <c r="O28" s="321">
        <f>O21</f>
        <v>0</v>
      </c>
      <c r="P28" s="721"/>
      <c r="Q28" s="698"/>
      <c r="R28" s="760"/>
    </row>
    <row r="29" spans="1:18" ht="27" customHeight="1" thickBot="1" x14ac:dyDescent="0.25">
      <c r="A29" s="601"/>
      <c r="B29" s="603"/>
      <c r="C29" s="658"/>
      <c r="D29" s="609"/>
      <c r="E29" s="610"/>
      <c r="F29" s="609"/>
      <c r="G29" s="610"/>
      <c r="H29" s="609"/>
      <c r="I29" s="610"/>
      <c r="J29" s="720"/>
      <c r="K29" s="725"/>
      <c r="L29" s="726"/>
      <c r="M29" s="936"/>
      <c r="N29" s="36" t="s">
        <v>23</v>
      </c>
      <c r="O29" s="268" t="str">
        <f>IF(O27="","n.d.",IF(O28="","n.d.",IF(O28=0,"",O27 /O28)))</f>
        <v>n.d.</v>
      </c>
      <c r="P29" s="721"/>
      <c r="Q29" s="698"/>
      <c r="R29" s="761"/>
    </row>
    <row r="30" spans="1:18" ht="27.75" customHeight="1" thickBot="1" x14ac:dyDescent="0.25">
      <c r="A30" s="668" t="s">
        <v>976</v>
      </c>
      <c r="B30" s="693"/>
      <c r="C30" s="674" t="s">
        <v>1043</v>
      </c>
      <c r="D30" s="677" t="s">
        <v>977</v>
      </c>
      <c r="E30" s="678"/>
      <c r="F30" s="677" t="s">
        <v>1044</v>
      </c>
      <c r="G30" s="678"/>
      <c r="H30" s="677" t="s">
        <v>868</v>
      </c>
      <c r="I30" s="678"/>
      <c r="J30" s="683"/>
      <c r="K30" s="686" t="s">
        <v>979</v>
      </c>
      <c r="L30" s="687"/>
      <c r="M30" s="683"/>
      <c r="N30" s="506" t="s">
        <v>20</v>
      </c>
      <c r="O30" s="505"/>
      <c r="P30" s="662" t="str">
        <f>IF(O32=Berechnung1_Mesotheliom!D45,Berechnung1_Mesotheliom!$F$17,IF(OR(O32&lt; Berechnung1_Mesotheliom!E45,O32&gt; Berechnung1_Mesotheliom!F45),Berechnung1_Mesotheliom!$G$17,IF(OR(ROUND(O32,4)&lt;Berechnung1_Mesotheliom!J45,ROUND(O32,4)&gt;Berechnung1_Mesotheliom!K45),Berechnung1_Mesotheliom!$D$17,IF(OR(ROUND(O32,4)&lt;Berechnung1_Mesotheliom!G45,ROUND(O32,4)&gt;Berechnung1_Mesotheliom!H45),Berechnung1_Mesotheliom!$E$17,Berechnung1_Mesotheliom!$C$17))))</f>
        <v>optional - unvollständig</v>
      </c>
      <c r="Q30" s="665"/>
      <c r="R30" s="665"/>
    </row>
    <row r="31" spans="1:18" ht="27.75" customHeight="1" thickBot="1" x14ac:dyDescent="0.25">
      <c r="A31" s="669"/>
      <c r="B31" s="672"/>
      <c r="C31" s="675"/>
      <c r="D31" s="679"/>
      <c r="E31" s="680"/>
      <c r="F31" s="679"/>
      <c r="G31" s="680"/>
      <c r="H31" s="679"/>
      <c r="I31" s="680"/>
      <c r="J31" s="684"/>
      <c r="K31" s="688"/>
      <c r="L31" s="689"/>
      <c r="M31" s="684"/>
      <c r="N31" s="506" t="s">
        <v>22</v>
      </c>
      <c r="O31" s="508">
        <f>O18</f>
        <v>0</v>
      </c>
      <c r="P31" s="662"/>
      <c r="Q31" s="664"/>
      <c r="R31" s="664"/>
    </row>
    <row r="32" spans="1:18" ht="27.75" customHeight="1" thickBot="1" x14ac:dyDescent="0.25">
      <c r="A32" s="670"/>
      <c r="B32" s="673"/>
      <c r="C32" s="676"/>
      <c r="D32" s="681"/>
      <c r="E32" s="682"/>
      <c r="F32" s="681"/>
      <c r="G32" s="682"/>
      <c r="H32" s="681"/>
      <c r="I32" s="682"/>
      <c r="J32" s="685"/>
      <c r="K32" s="690"/>
      <c r="L32" s="691"/>
      <c r="M32" s="685"/>
      <c r="N32" s="506" t="s">
        <v>23</v>
      </c>
      <c r="O32" s="507" t="str">
        <f>IF(O30="","n.d.",IF(O31="","n.d.",IF(O31=0,"",O30 /O31)))</f>
        <v>n.d.</v>
      </c>
      <c r="P32" s="662"/>
      <c r="Q32" s="664"/>
      <c r="R32" s="664"/>
    </row>
    <row r="33" spans="1:18" ht="27.75" customHeight="1" thickBot="1" x14ac:dyDescent="0.25">
      <c r="A33" s="585">
        <v>6</v>
      </c>
      <c r="B33" s="587"/>
      <c r="C33" s="660" t="s">
        <v>869</v>
      </c>
      <c r="D33" s="581" t="s">
        <v>1097</v>
      </c>
      <c r="E33" s="582"/>
      <c r="F33" s="581" t="s">
        <v>895</v>
      </c>
      <c r="G33" s="582"/>
      <c r="H33" s="581" t="s">
        <v>868</v>
      </c>
      <c r="I33" s="582"/>
      <c r="J33" s="718" t="s">
        <v>610</v>
      </c>
      <c r="K33" s="594" t="s">
        <v>250</v>
      </c>
      <c r="L33" s="723"/>
      <c r="M33" s="934"/>
      <c r="N33" s="15" t="s">
        <v>20</v>
      </c>
      <c r="O33" s="42"/>
      <c r="P33" s="721" t="str">
        <f>IF(O35=Berechnung1_Mesotheliom!D48,Berechnung1_Mesotheliom!$F$5,IF(OR(O35&lt; Berechnung1_Mesotheliom!E48,O35&gt; Berechnung1_Mesotheliom!F48),Berechnung1_Mesotheliom!$G$5,IF(OR(ROUND(O35,4)&lt;Berechnung1_Mesotheliom!J48,ROUND(O35,4)&gt;Berechnung1_Mesotheliom!K48),Berechnung1_Mesotheliom!$D$5,IF(OR(ROUND(O35,4)&lt;Berechnung1_Mesotheliom!G48,ROUND(O35,3)&gt;Berechnung1_Mesotheliom!H48),Berechnung1_Mesotheliom!$E$5,Berechnung1_Mesotheliom!$C$5))))</f>
        <v>Unvollständig</v>
      </c>
      <c r="Q33" s="697"/>
      <c r="R33" s="697"/>
    </row>
    <row r="34" spans="1:18" ht="27.75" customHeight="1" thickBot="1" x14ac:dyDescent="0.25">
      <c r="A34" s="586"/>
      <c r="B34" s="588"/>
      <c r="C34" s="657"/>
      <c r="D34" s="583"/>
      <c r="E34" s="584"/>
      <c r="F34" s="583"/>
      <c r="G34" s="584"/>
      <c r="H34" s="583"/>
      <c r="I34" s="584"/>
      <c r="J34" s="719"/>
      <c r="K34" s="596"/>
      <c r="L34" s="724"/>
      <c r="M34" s="935"/>
      <c r="N34" s="36" t="s">
        <v>22</v>
      </c>
      <c r="O34" s="65">
        <f>O18</f>
        <v>0</v>
      </c>
      <c r="P34" s="721"/>
      <c r="Q34" s="698"/>
      <c r="R34" s="760"/>
    </row>
    <row r="35" spans="1:18" ht="27.75" customHeight="1" thickBot="1" x14ac:dyDescent="0.25">
      <c r="A35" s="601"/>
      <c r="B35" s="603"/>
      <c r="C35" s="658"/>
      <c r="D35" s="609"/>
      <c r="E35" s="610"/>
      <c r="F35" s="609"/>
      <c r="G35" s="610"/>
      <c r="H35" s="609"/>
      <c r="I35" s="610"/>
      <c r="J35" s="720"/>
      <c r="K35" s="725"/>
      <c r="L35" s="726"/>
      <c r="M35" s="936"/>
      <c r="N35" s="36" t="s">
        <v>23</v>
      </c>
      <c r="O35" s="268" t="str">
        <f>IF(O33="","n.d.",IF(O34="","n.d.",IF(O34=0,"",O33 /O34)))</f>
        <v>n.d.</v>
      </c>
      <c r="P35" s="721"/>
      <c r="Q35" s="698"/>
      <c r="R35" s="761"/>
    </row>
    <row r="36" spans="1:18" ht="27.75" customHeight="1" thickBot="1" x14ac:dyDescent="0.25">
      <c r="A36" s="585">
        <v>7</v>
      </c>
      <c r="B36" s="587" t="s">
        <v>276</v>
      </c>
      <c r="C36" s="660" t="s">
        <v>945</v>
      </c>
      <c r="D36" s="581" t="s">
        <v>946</v>
      </c>
      <c r="E36" s="582"/>
      <c r="F36" s="581" t="s">
        <v>1045</v>
      </c>
      <c r="G36" s="582"/>
      <c r="H36" s="581" t="s">
        <v>251</v>
      </c>
      <c r="I36" s="582"/>
      <c r="J36" s="718"/>
      <c r="K36" s="594" t="s">
        <v>870</v>
      </c>
      <c r="L36" s="723"/>
      <c r="M36" s="934"/>
      <c r="N36" s="762" t="s">
        <v>25</v>
      </c>
      <c r="O36" s="757"/>
      <c r="P36" s="749" t="str">
        <f>IF(O36="",Berechnung1_Mesotheliom!$F$5,IF(OR(O36&lt;Berechnung1_Mesotheliom!E51,O36&gt;Berechnung1_Mesotheliom!F51),Berechnung1_Mesotheliom!$G$5,IF(OR(ROUND(O36,4)&lt;Berechnung1_Mesotheliom!J51,ROUND(O36,4)&gt;Berechnung1_Mesotheliom!K51),Berechnung1_Mesotheliom!$D$5,IF(OR(ROUND(O36,4)&lt;Berechnung1_Mesotheliom!G51,ROUND(O36,4)&gt;Berechnung1_Mesotheliom!H51),Berechnung1_Mesotheliom!$E$5,Berechnung1_Mesotheliom!$C$5))))</f>
        <v>Unvollständig</v>
      </c>
      <c r="Q36" s="697"/>
      <c r="R36" s="697"/>
    </row>
    <row r="37" spans="1:18" ht="27.75" customHeight="1" thickBot="1" x14ac:dyDescent="0.25">
      <c r="A37" s="586"/>
      <c r="B37" s="588"/>
      <c r="C37" s="657"/>
      <c r="D37" s="583"/>
      <c r="E37" s="584"/>
      <c r="F37" s="583"/>
      <c r="G37" s="584"/>
      <c r="H37" s="583"/>
      <c r="I37" s="584"/>
      <c r="J37" s="719"/>
      <c r="K37" s="596"/>
      <c r="L37" s="724"/>
      <c r="M37" s="935"/>
      <c r="N37" s="763"/>
      <c r="O37" s="758"/>
      <c r="P37" s="750"/>
      <c r="Q37" s="698"/>
      <c r="R37" s="760"/>
    </row>
    <row r="38" spans="1:18" ht="27.75" customHeight="1" thickBot="1" x14ac:dyDescent="0.25">
      <c r="A38" s="601"/>
      <c r="B38" s="603"/>
      <c r="C38" s="658"/>
      <c r="D38" s="609"/>
      <c r="E38" s="610"/>
      <c r="F38" s="609"/>
      <c r="G38" s="610"/>
      <c r="H38" s="609"/>
      <c r="I38" s="610"/>
      <c r="J38" s="720"/>
      <c r="K38" s="725"/>
      <c r="L38" s="726"/>
      <c r="M38" s="936"/>
      <c r="N38" s="764"/>
      <c r="O38" s="759"/>
      <c r="P38" s="751"/>
      <c r="Q38" s="698"/>
      <c r="R38" s="761"/>
    </row>
    <row r="39" spans="1:18" customFormat="1" ht="8.1" customHeight="1" x14ac:dyDescent="0.25">
      <c r="K39" s="272"/>
      <c r="L39" s="272"/>
    </row>
    <row r="40" spans="1:18" customFormat="1" ht="18" customHeight="1" thickBot="1" x14ac:dyDescent="0.3">
      <c r="A40" s="494" t="s">
        <v>168</v>
      </c>
      <c r="B40" s="9"/>
      <c r="C40" s="3"/>
      <c r="D40" s="10"/>
      <c r="E40" s="10"/>
      <c r="F40" s="10"/>
      <c r="G40" s="10"/>
      <c r="K40" s="272"/>
      <c r="L40" s="272"/>
    </row>
    <row r="41" spans="1:18" customFormat="1" ht="18" customHeight="1" thickBot="1" x14ac:dyDescent="0.3">
      <c r="A41" s="482"/>
      <c r="B41" s="700" t="s">
        <v>898</v>
      </c>
      <c r="C41" s="701"/>
      <c r="D41" s="483" t="s">
        <v>183</v>
      </c>
      <c r="E41" s="484" t="str">
        <f>CONCATENATE(TEXT(Berechnung1_Mesotheliom!C9,"0,00%")," (",Berechnung1_Mesotheliom!C6, ")")</f>
        <v>0,00% (0)</v>
      </c>
      <c r="F41" s="704" t="str">
        <f>CONCATENATE(TEXT(Berechnung1_Mesotheliom!D10,"0,00%")," (",Berechnung1_Mesotheliom!D7, ")")</f>
        <v>0,00% (0)</v>
      </c>
      <c r="G41" s="712" t="s">
        <v>189</v>
      </c>
      <c r="K41" s="272"/>
      <c r="L41" s="272"/>
    </row>
    <row r="42" spans="1:18" customFormat="1" ht="18" customHeight="1" thickBot="1" x14ac:dyDescent="0.3">
      <c r="A42" s="482"/>
      <c r="B42" s="702"/>
      <c r="C42" s="703"/>
      <c r="D42" s="485" t="s">
        <v>164</v>
      </c>
      <c r="E42" s="486" t="str">
        <f>CONCATENATE(TEXT(Berechnung1_Mesotheliom!K9,"0,00%")," (",Berechnung1_Mesotheliom!K6, ")")</f>
        <v>0,00% (0)</v>
      </c>
      <c r="F42" s="704"/>
      <c r="G42" s="713"/>
      <c r="K42" s="272"/>
      <c r="L42" s="272"/>
    </row>
    <row r="43" spans="1:18" customFormat="1" ht="18" customHeight="1" thickBot="1" x14ac:dyDescent="0.3">
      <c r="A43" s="487" t="s">
        <v>899</v>
      </c>
      <c r="B43" s="705" t="s">
        <v>916</v>
      </c>
      <c r="C43" s="706"/>
      <c r="D43" s="706"/>
      <c r="E43" s="707"/>
      <c r="F43" s="488" t="str">
        <f>CONCATENATE(TEXT(Berechnung1_Mesotheliom!E10,"0,00%")," (",Berechnung1_Mesotheliom!E7, ")")</f>
        <v>0,00% (0)</v>
      </c>
      <c r="G43" s="493" t="str">
        <f>CONCATENATE(TEXT(Berechnung1_Mesotheliom!E11,"0,00%")," (",Berechnung1_Mesotheliom!E8, ")")</f>
        <v>0,00% (0)</v>
      </c>
      <c r="K43" s="272"/>
      <c r="L43" s="272"/>
    </row>
    <row r="44" spans="1:18" customFormat="1" ht="18" customHeight="1" thickBot="1" x14ac:dyDescent="0.3">
      <c r="A44" s="482"/>
      <c r="B44" s="708" t="s">
        <v>185</v>
      </c>
      <c r="C44" s="709"/>
      <c r="D44" s="489" t="s">
        <v>184</v>
      </c>
      <c r="E44" s="490" t="str">
        <f>CONCATENATE(TEXT(Berechnung1_Mesotheliom!G9,"0,00%")," (",Berechnung1_Mesotheliom!G6, ")")</f>
        <v>0,00% (0)</v>
      </c>
      <c r="F44" s="704" t="str">
        <f>CONCATENATE(TEXT(Berechnung1_Mesotheliom!G10,"0,00%")," (",Berechnung1_Mesotheliom!G8, ")")</f>
        <v>100,00% (8)</v>
      </c>
      <c r="G44" s="704"/>
      <c r="K44" s="272"/>
      <c r="L44" s="272"/>
    </row>
    <row r="45" spans="1:18" customFormat="1" ht="18" customHeight="1" thickBot="1" x14ac:dyDescent="0.3">
      <c r="A45" s="482"/>
      <c r="B45" s="710"/>
      <c r="C45" s="711"/>
      <c r="D45" s="491" t="s">
        <v>186</v>
      </c>
      <c r="E45" s="492" t="str">
        <f>CONCATENATE(TEXT(Berechnung1_Mesotheliom!F9,"0,00%")," (",Berechnung1_Mesotheliom!F6, ")")</f>
        <v>100,00% (8)</v>
      </c>
      <c r="F45" s="704"/>
      <c r="G45" s="704"/>
      <c r="K45" s="272"/>
      <c r="L45" s="272"/>
    </row>
    <row r="46" spans="1:18" customFormat="1" ht="8.1" customHeight="1" x14ac:dyDescent="0.25">
      <c r="K46" s="272"/>
      <c r="L46" s="272"/>
    </row>
    <row r="47" spans="1:18" customFormat="1" ht="9.75" customHeight="1" x14ac:dyDescent="0.25">
      <c r="A47" s="79" t="s">
        <v>161</v>
      </c>
      <c r="K47" s="272"/>
      <c r="L47" s="272"/>
    </row>
    <row r="48" spans="1:18" customFormat="1" ht="15.75" customHeight="1" x14ac:dyDescent="0.25">
      <c r="A48" s="531" t="s">
        <v>878</v>
      </c>
      <c r="B48" s="531"/>
      <c r="C48" s="531"/>
      <c r="D48" s="531"/>
      <c r="E48" s="531"/>
      <c r="F48" s="531"/>
      <c r="G48" s="531"/>
      <c r="H48" s="531"/>
      <c r="I48" s="531"/>
      <c r="J48" s="531"/>
      <c r="K48" s="531"/>
      <c r="L48" s="531"/>
      <c r="M48" s="531"/>
      <c r="N48" s="531"/>
      <c r="O48" s="531"/>
      <c r="P48" s="531"/>
    </row>
    <row r="49" spans="1:16" ht="126" customHeight="1" x14ac:dyDescent="0.2">
      <c r="A49" s="728" t="s">
        <v>889</v>
      </c>
      <c r="B49" s="933"/>
      <c r="C49" s="933"/>
      <c r="D49" s="933"/>
      <c r="E49" s="933"/>
      <c r="F49" s="933"/>
      <c r="G49" s="933"/>
      <c r="H49" s="933"/>
      <c r="I49" s="933"/>
      <c r="J49" s="933"/>
      <c r="K49" s="933"/>
      <c r="L49" s="933"/>
      <c r="M49" s="933"/>
      <c r="N49" s="933"/>
      <c r="O49" s="933"/>
      <c r="P49" s="933"/>
    </row>
    <row r="50" spans="1:16" ht="2.25" customHeight="1" x14ac:dyDescent="0.2"/>
    <row r="51" spans="1:16" ht="12.75" customHeight="1" x14ac:dyDescent="0.25">
      <c r="A51" s="79" t="s">
        <v>751</v>
      </c>
      <c r="B51"/>
      <c r="C51"/>
      <c r="D51"/>
      <c r="E51"/>
      <c r="F51"/>
      <c r="G51"/>
      <c r="H51"/>
      <c r="I51"/>
      <c r="J51"/>
      <c r="K51" s="3"/>
      <c r="L51" s="3"/>
      <c r="M51"/>
      <c r="N51"/>
      <c r="O51"/>
      <c r="P51"/>
    </row>
    <row r="52" spans="1:16" ht="21.75" customHeight="1" x14ac:dyDescent="0.2">
      <c r="A52" s="699" t="s">
        <v>890</v>
      </c>
      <c r="B52" s="699"/>
      <c r="C52" s="699"/>
      <c r="D52" s="699"/>
      <c r="E52" s="699"/>
      <c r="F52" s="699"/>
      <c r="G52" s="699"/>
      <c r="H52" s="699"/>
      <c r="I52" s="699"/>
      <c r="J52" s="699"/>
      <c r="K52" s="699"/>
      <c r="L52" s="699"/>
      <c r="M52" s="699"/>
      <c r="N52" s="699"/>
      <c r="O52" s="699"/>
      <c r="P52" s="699"/>
    </row>
  </sheetData>
  <sheetProtection algorithmName="SHA-512" hashValue="fyVYSi4WtapkWKluaeY4gCT6rR3Ss19rALR4q8Zutdoug7n6JxuIG1mn5ElOMJCX6v3VPtemHhcMl+UxBqtHwA==" saltValue="+21auOm2JuaaOhNxPGb1VQ==" spinCount="100000" sheet="1" objects="1" scenarios="1" selectLockedCells="1"/>
  <dataConsolidate/>
  <mergeCells count="142">
    <mergeCell ref="A10:A11"/>
    <mergeCell ref="B10:B11"/>
    <mergeCell ref="C10:C11"/>
    <mergeCell ref="D10:E11"/>
    <mergeCell ref="F10:G11"/>
    <mergeCell ref="N12:N14"/>
    <mergeCell ref="A12:A14"/>
    <mergeCell ref="B12:B14"/>
    <mergeCell ref="C12:C14"/>
    <mergeCell ref="D12:E14"/>
    <mergeCell ref="F12:G14"/>
    <mergeCell ref="H12:I14"/>
    <mergeCell ref="J12:J14"/>
    <mergeCell ref="H10:I11"/>
    <mergeCell ref="J10:J11"/>
    <mergeCell ref="K10:L11"/>
    <mergeCell ref="M10:M11"/>
    <mergeCell ref="N10:O11"/>
    <mergeCell ref="K12:L14"/>
    <mergeCell ref="M12:M14"/>
    <mergeCell ref="O12:O14"/>
    <mergeCell ref="P15:P17"/>
    <mergeCell ref="Q15:Q17"/>
    <mergeCell ref="R15:R17"/>
    <mergeCell ref="K15:L17"/>
    <mergeCell ref="M15:M17"/>
    <mergeCell ref="N15:N17"/>
    <mergeCell ref="O15:O17"/>
    <mergeCell ref="D6:N6"/>
    <mergeCell ref="D8:E8"/>
    <mergeCell ref="K8:N8"/>
    <mergeCell ref="Q10:R10"/>
    <mergeCell ref="P10:P11"/>
    <mergeCell ref="P12:P14"/>
    <mergeCell ref="Q12:Q14"/>
    <mergeCell ref="R12:R14"/>
    <mergeCell ref="A18:A20"/>
    <mergeCell ref="B18:B20"/>
    <mergeCell ref="C18:C20"/>
    <mergeCell ref="D18:E20"/>
    <mergeCell ref="F18:G20"/>
    <mergeCell ref="H18:I20"/>
    <mergeCell ref="J18:J20"/>
    <mergeCell ref="H15:I17"/>
    <mergeCell ref="J15:J17"/>
    <mergeCell ref="A15:A17"/>
    <mergeCell ref="B15:B17"/>
    <mergeCell ref="C15:C17"/>
    <mergeCell ref="D15:E17"/>
    <mergeCell ref="F15:G17"/>
    <mergeCell ref="A21:A23"/>
    <mergeCell ref="B21:B23"/>
    <mergeCell ref="C21:C23"/>
    <mergeCell ref="D21:E23"/>
    <mergeCell ref="F21:G23"/>
    <mergeCell ref="R21:R23"/>
    <mergeCell ref="H21:I23"/>
    <mergeCell ref="J21:J23"/>
    <mergeCell ref="K21:L23"/>
    <mergeCell ref="M21:M23"/>
    <mergeCell ref="P21:P23"/>
    <mergeCell ref="Q21:Q23"/>
    <mergeCell ref="H24:I26"/>
    <mergeCell ref="J24:J26"/>
    <mergeCell ref="K24:L26"/>
    <mergeCell ref="M24:M26"/>
    <mergeCell ref="K18:L20"/>
    <mergeCell ref="M18:M20"/>
    <mergeCell ref="P18:P20"/>
    <mergeCell ref="Q18:Q20"/>
    <mergeCell ref="R18:R20"/>
    <mergeCell ref="N18:N20"/>
    <mergeCell ref="O18:O20"/>
    <mergeCell ref="N21:N23"/>
    <mergeCell ref="O21:O23"/>
    <mergeCell ref="F30:G32"/>
    <mergeCell ref="P24:P26"/>
    <mergeCell ref="Q24:Q26"/>
    <mergeCell ref="R24:R26"/>
    <mergeCell ref="A27:A29"/>
    <mergeCell ref="B27:B29"/>
    <mergeCell ref="C27:C29"/>
    <mergeCell ref="D27:E29"/>
    <mergeCell ref="F27:G29"/>
    <mergeCell ref="H27:I29"/>
    <mergeCell ref="J27:J29"/>
    <mergeCell ref="H30:I32"/>
    <mergeCell ref="J30:J32"/>
    <mergeCell ref="K30:L32"/>
    <mergeCell ref="M30:M32"/>
    <mergeCell ref="P30:P32"/>
    <mergeCell ref="Q30:Q32"/>
    <mergeCell ref="K27:L29"/>
    <mergeCell ref="M27:M29"/>
    <mergeCell ref="A24:A26"/>
    <mergeCell ref="B24:B26"/>
    <mergeCell ref="C24:C26"/>
    <mergeCell ref="D24:E26"/>
    <mergeCell ref="F24:G26"/>
    <mergeCell ref="A36:A38"/>
    <mergeCell ref="B36:B38"/>
    <mergeCell ref="C36:C38"/>
    <mergeCell ref="D36:E38"/>
    <mergeCell ref="F36:G38"/>
    <mergeCell ref="H36:I38"/>
    <mergeCell ref="J36:J38"/>
    <mergeCell ref="R30:R32"/>
    <mergeCell ref="P27:P29"/>
    <mergeCell ref="Q27:Q29"/>
    <mergeCell ref="A33:A35"/>
    <mergeCell ref="B33:B35"/>
    <mergeCell ref="C33:C35"/>
    <mergeCell ref="D33:E35"/>
    <mergeCell ref="F33:G35"/>
    <mergeCell ref="H33:I35"/>
    <mergeCell ref="J33:J35"/>
    <mergeCell ref="K33:L35"/>
    <mergeCell ref="M33:M35"/>
    <mergeCell ref="R27:R29"/>
    <mergeCell ref="A30:A32"/>
    <mergeCell ref="B30:B32"/>
    <mergeCell ref="C30:C32"/>
    <mergeCell ref="D30:E32"/>
    <mergeCell ref="R36:R38"/>
    <mergeCell ref="K36:L38"/>
    <mergeCell ref="M36:M38"/>
    <mergeCell ref="N36:N38"/>
    <mergeCell ref="O36:O38"/>
    <mergeCell ref="P36:P38"/>
    <mergeCell ref="Q36:Q38"/>
    <mergeCell ref="P33:P35"/>
    <mergeCell ref="Q33:Q35"/>
    <mergeCell ref="R33:R35"/>
    <mergeCell ref="A52:P52"/>
    <mergeCell ref="B41:C42"/>
    <mergeCell ref="F41:F42"/>
    <mergeCell ref="B43:E43"/>
    <mergeCell ref="B44:C45"/>
    <mergeCell ref="F44:G45"/>
    <mergeCell ref="G41:G42"/>
    <mergeCell ref="A48:P48"/>
    <mergeCell ref="A49:P49"/>
  </mergeCells>
  <conditionalFormatting sqref="A12:R38">
    <cfRule type="expression" dxfId="35" priority="1">
      <formula>ISNUMBER(FIND("nur Lungenkrebszentrum",$S$13))</formula>
    </cfRule>
  </conditionalFormatting>
  <conditionalFormatting sqref="O12">
    <cfRule type="expression" dxfId="34" priority="6" stopIfTrue="1">
      <formula>LEN(TRIM(O12))=0</formula>
    </cfRule>
  </conditionalFormatting>
  <conditionalFormatting sqref="O15">
    <cfRule type="expression" dxfId="33" priority="25" stopIfTrue="1">
      <formula>LEN(TRIM(O15))=0</formula>
    </cfRule>
  </conditionalFormatting>
  <conditionalFormatting sqref="O21">
    <cfRule type="expression" dxfId="32" priority="7" stopIfTrue="1">
      <formula>LEN(TRIM(O21))=0</formula>
    </cfRule>
  </conditionalFormatting>
  <conditionalFormatting sqref="O24">
    <cfRule type="expression" dxfId="31" priority="117" stopIfTrue="1">
      <formula>LEN(TRIM(O24))=0</formula>
    </cfRule>
  </conditionalFormatting>
  <conditionalFormatting sqref="O27">
    <cfRule type="expression" dxfId="30" priority="120" stopIfTrue="1">
      <formula>LEN(TRIM(O27))=0</formula>
    </cfRule>
  </conditionalFormatting>
  <conditionalFormatting sqref="O30">
    <cfRule type="expression" dxfId="29" priority="119" stopIfTrue="1">
      <formula>LEN(TRIM(O30))=0</formula>
    </cfRule>
  </conditionalFormatting>
  <conditionalFormatting sqref="O33">
    <cfRule type="expression" dxfId="28" priority="118" stopIfTrue="1">
      <formula>LEN(TRIM(O33))=0</formula>
    </cfRule>
  </conditionalFormatting>
  <conditionalFormatting sqref="O36">
    <cfRule type="expression" dxfId="27" priority="5" stopIfTrue="1">
      <formula>LEN(TRIM(O36))=0</formula>
    </cfRule>
  </conditionalFormatting>
  <conditionalFormatting sqref="P12:P20">
    <cfRule type="cellIs" dxfId="26" priority="127" stopIfTrue="1" operator="equal">
      <formula>"Sollvorgabe nicht erfüllt"</formula>
    </cfRule>
    <cfRule type="cellIs" dxfId="25" priority="128" stopIfTrue="1" operator="equal">
      <formula>"I.O."</formula>
    </cfRule>
  </conditionalFormatting>
  <conditionalFormatting sqref="P12:P23">
    <cfRule type="cellIs" dxfId="24" priority="85" stopIfTrue="1" operator="equal">
      <formula>"Ausnahme (Plausibilität unklar)"</formula>
    </cfRule>
  </conditionalFormatting>
  <conditionalFormatting sqref="P12:P38">
    <cfRule type="expression" dxfId="23" priority="10" stopIfTrue="1">
      <formula>OR(P12=$D$45,P12=$D$44)</formula>
    </cfRule>
  </conditionalFormatting>
  <conditionalFormatting sqref="P15:P17">
    <cfRule type="cellIs" dxfId="22" priority="126" operator="equal">
      <formula>"Ausnahme (Plausibilität unklar)"</formula>
    </cfRule>
  </conditionalFormatting>
  <conditionalFormatting sqref="P21:P23">
    <cfRule type="cellIs" dxfId="21" priority="86" stopIfTrue="1" operator="equal">
      <formula>"Sollvorgabe nicht erfüllt"</formula>
    </cfRule>
    <cfRule type="cellIs" dxfId="20" priority="87" stopIfTrue="1" operator="equal">
      <formula>"I.O."</formula>
    </cfRule>
  </conditionalFormatting>
  <conditionalFormatting sqref="P24:P29">
    <cfRule type="cellIs" dxfId="19" priority="89" stopIfTrue="1" operator="equal">
      <formula>"I.O. (Plausibilität unklar)"</formula>
    </cfRule>
    <cfRule type="cellIs" dxfId="18" priority="90" stopIfTrue="1" operator="equal">
      <formula>"Sollvorgabe nicht erfüllt"</formula>
    </cfRule>
    <cfRule type="cellIs" dxfId="17" priority="91" stopIfTrue="1" operator="equal">
      <formula>"I.O."</formula>
    </cfRule>
  </conditionalFormatting>
  <conditionalFormatting sqref="P30:P32">
    <cfRule type="cellIs" dxfId="16" priority="81" stopIfTrue="1" operator="equal">
      <formula>"optional - I.O. (Plausibilität unklar)"</formula>
    </cfRule>
    <cfRule type="cellIs" dxfId="15" priority="82" stopIfTrue="1" operator="equal">
      <formula>"optional - Sollvorgabe nicht erfüllt"</formula>
    </cfRule>
    <cfRule type="cellIs" dxfId="14" priority="83" stopIfTrue="1" operator="equal">
      <formula>"optional - I.O."</formula>
    </cfRule>
  </conditionalFormatting>
  <conditionalFormatting sqref="P33:P35">
    <cfRule type="cellIs" dxfId="13" priority="77" stopIfTrue="1" operator="equal">
      <formula>"I.O. (Plausibilität unklar)"</formula>
    </cfRule>
    <cfRule type="cellIs" dxfId="12" priority="78" stopIfTrue="1" operator="equal">
      <formula>"Sollvorgabe nicht erfüllt"</formula>
    </cfRule>
    <cfRule type="cellIs" dxfId="11" priority="79" stopIfTrue="1" operator="equal">
      <formula>"I.O."</formula>
    </cfRule>
  </conditionalFormatting>
  <conditionalFormatting sqref="P36:P38">
    <cfRule type="cellIs" dxfId="10" priority="122" stopIfTrue="1" operator="equal">
      <formula>"Ausnahme (Plausibilität unklar)"</formula>
    </cfRule>
    <cfRule type="cellIs" dxfId="9" priority="123" stopIfTrue="1" operator="equal">
      <formula>"Sollvorgabe nicht erfüllt"</formula>
    </cfRule>
    <cfRule type="cellIs" dxfId="8" priority="124" stopIfTrue="1" operator="equal">
      <formula>"I.O."</formula>
    </cfRule>
  </conditionalFormatting>
  <conditionalFormatting sqref="Q12:Q38">
    <cfRule type="notContainsBlanks" dxfId="7" priority="26">
      <formula>LEN(TRIM(Q12))&gt;0</formula>
    </cfRule>
    <cfRule type="expression" dxfId="6" priority="27">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dataValidations count="11">
    <dataValidation type="textLength" allowBlank="1" showErrorMessage="1" errorTitle="Zeichenlänge" error="Minimal 30 Zeichen und max. 500 Zeichen." sqref="Q15:Q17" xr:uid="{00000000-0002-0000-1100-000000000000}">
      <formula1>30</formula1>
      <formula2>500</formula2>
    </dataValidation>
    <dataValidation type="whole" showInputMessage="1" showErrorMessage="1" errorTitle="Eingabefehler" error="Ganze Zahl zwischen 0 und 5000 eingeben._x000a_" sqref="O12:O17" xr:uid="{00000000-0002-0000-1100-000001000000}">
      <formula1>0</formula1>
      <formula2>5000</formula2>
    </dataValidation>
    <dataValidation type="textLength" allowBlank="1" showInputMessage="1" showErrorMessage="1" errorTitle="Zeichenlänge" error="Minimal 30 Zeichen und max. 500 Zeichen." sqref="R12:R17 Q18:R38" xr:uid="{00000000-0002-0000-1100-000002000000}">
      <formula1>30</formula1>
      <formula2>500</formula2>
    </dataValidation>
    <dataValidation type="whole" showInputMessage="1" showErrorMessage="1" errorTitle="Eingabefehler" error="1. Zähler muss eine positive ganze Zahl sein_x000a_2. Zähler kann nicht größer als Nenner sein" sqref="O33 O30" xr:uid="{00000000-0002-0000-1100-000003000000}">
      <formula1>0</formula1>
      <formula2>IF(O31="",0,O31)</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8" xr:uid="{00000000-0002-0000-1100-000004000000}">
      <formula1>0</formula1>
      <formula2>IF(O19="",0,O19)</formula2>
    </dataValidation>
    <dataValidation errorStyle="information" allowBlank="1" showInputMessage="1" showErrorMessage="1" errorTitle="Kennzahl" promptTitle="Kennzahl" sqref="A10:B11" xr:uid="{00000000-0002-0000-1100-000005000000}"/>
    <dataValidation type="textLength" allowBlank="1" showInputMessage="1" showErrorMessage="1" errorTitle="Zeichenlänge" error="Minimal 30 Zeichen und max. 500 Zeichen." promptTitle="Hinweis" prompt="Wenn die Datenqualität nicht &quot;I.O.&quot; ist, ist der Kennzahlenwert zu begründen." sqref="Q12:Q14" xr:uid="{00000000-0002-0000-1100-000006000000}">
      <formula1>30</formula1>
      <formula2>500</formula2>
    </dataValidation>
    <dataValidation type="whole" allowBlank="1" showInputMessage="1" showErrorMessage="1" errorTitle="Eingabefehler" error="Ganze Zahl zwischen 0 und 5000 eingeben." sqref="O36:O38 O21:O23" xr:uid="{00000000-0002-0000-1100-000008000000}">
      <formula1>0</formula1>
      <formula2>5000</formula2>
    </dataValidation>
    <dataValidation allowBlank="1" showInputMessage="1" showErrorMessage="1" errorTitle="Eingabefehler" error="Ganze Zahl zwischen 0 und 5000 eingeben." sqref="P36:P38" xr:uid="{00000000-0002-0000-1100-000009000000}"/>
    <dataValidation type="whole" showInputMessage="1" showErrorMessage="1" errorTitle="Eingabefehler" error="1. Zähler muss eine positive ganze Zahl sein._x000a_2. Zähler kann nicht größer als Nenner sein." sqref="O24 O27" xr:uid="{00000000-0002-0000-1100-00000A000000}">
      <formula1>0</formula1>
      <formula2>IF(O25="",0,O25)</formula2>
    </dataValidation>
    <dataValidation type="textLength" allowBlank="1" showInputMessage="1" showErrorMessage="1" errorTitle="Zeichenlänge" error="Minimal 30 Zeichen und max. 200 Zeichen." sqref="Q39:R46" xr:uid="{00000000-0002-0000-1100-00000B000000}">
      <formula1>30</formula1>
      <formula2>200</formula2>
    </dataValidation>
  </dataValidations>
  <pageMargins left="0.39370078740157483" right="0.19685039370078741" top="0.59055118110236227" bottom="0.39370078740157483" header="0.11811023622047245" footer="0.11811023622047245"/>
  <pageSetup paperSize="9" scale="94" fitToHeight="0" orientation="landscape" r:id="rId1"/>
  <headerFooter>
    <oddFooter>&amp;L&amp;"Arial,Standard"&amp;7&amp;F&amp;C&amp;"Arial,Standard"&amp;7 © DKG  Alle Rechte vorbehalten&amp;R&amp;"Arial,Standard"&amp;7&amp;P</oddFooter>
  </headerFooter>
  <rowBreaks count="2" manualBreakCount="2">
    <brk id="23" max="15" man="1"/>
    <brk id="35" max="15" man="1"/>
  </rowBreaks>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1"/>
  <sheetViews>
    <sheetView showGridLines="0" showRuler="0" showWhiteSpace="0" topLeftCell="A2" zoomScaleNormal="100" zoomScaleSheetLayoutView="100" workbookViewId="0">
      <selection activeCell="Q14" sqref="Q14"/>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6" t="str">
        <f ca="1">IF(L11=TRUE,"A1:L15",CONCATENATE("A1:L",MATCH(0,A:A,-1)))</f>
        <v>A1:L21</v>
      </c>
    </row>
    <row r="2" spans="1:13" s="3" customFormat="1" ht="22.5" customHeight="1" x14ac:dyDescent="0.2">
      <c r="A2" s="23" t="s">
        <v>1036</v>
      </c>
    </row>
    <row r="3" spans="1:13" s="3" customFormat="1" ht="16.5" x14ac:dyDescent="0.25">
      <c r="A3" s="19" t="s">
        <v>886</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236</v>
      </c>
      <c r="C6" s="605" t="str">
        <f>IF(HilfstabelleKB_Mesotheliom!B1="nur Lungenkrebszentrum","",Basisdaten_Lunge!B9)</f>
        <v/>
      </c>
      <c r="D6" s="819"/>
      <c r="E6" s="819"/>
      <c r="F6" s="819"/>
      <c r="G6" s="819"/>
      <c r="H6" s="819"/>
      <c r="I6" s="819"/>
      <c r="J6" s="820"/>
      <c r="K6" s="20"/>
    </row>
    <row r="7" spans="1:13" s="23" customFormat="1" ht="6.95" customHeight="1" x14ac:dyDescent="0.2">
      <c r="B7" s="6"/>
      <c r="C7" s="10"/>
      <c r="D7" s="10"/>
      <c r="E7" s="10"/>
      <c r="F7" s="10"/>
      <c r="G7" s="10"/>
      <c r="H7" s="10"/>
      <c r="I7" s="10"/>
      <c r="J7" s="10"/>
      <c r="K7" s="20"/>
    </row>
    <row r="8" spans="1:13" s="23" customFormat="1" ht="15" customHeight="1" x14ac:dyDescent="0.2">
      <c r="B8" s="26" t="s">
        <v>166</v>
      </c>
      <c r="C8" s="814" t="str">
        <f>IF(HilfstabelleKB_Mesotheliom!B1="nur Lungenkrebszentrum","",HilfstabelleKB_Mesotheliom!B3)</f>
        <v/>
      </c>
      <c r="D8" s="815"/>
      <c r="E8" s="815"/>
      <c r="F8" s="815"/>
      <c r="G8" s="816"/>
      <c r="I8" s="283" t="s">
        <v>163</v>
      </c>
      <c r="J8" s="38" t="str">
        <f>IF(HilfstabelleKB_Mesotheliom!B1="nur Lungenkrebszentrum","",HilfstabelleKB_Mesotheliom!B4)</f>
        <v/>
      </c>
      <c r="K8" s="20"/>
    </row>
    <row r="9" spans="1:13" s="3" customFormat="1" ht="14.25" x14ac:dyDescent="0.2">
      <c r="K9" s="20"/>
    </row>
    <row r="10" spans="1:13" s="3" customFormat="1" x14ac:dyDescent="0.25">
      <c r="B10" s="9" t="str">
        <f ca="1">IF(M11=TRUE,"Kein Datendefizit vorhanden","")</f>
        <v/>
      </c>
      <c r="K10" s="20"/>
      <c r="M10" s="282" t="s">
        <v>486</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82" t="b">
        <f t="array" aca="1" ref="M11" ca="1">$A$14:$K$21=""</f>
        <v>0</v>
      </c>
    </row>
    <row r="12" spans="1:13" ht="18.75" customHeight="1" x14ac:dyDescent="0.25">
      <c r="A12" s="817" t="str">
        <f ca="1">IF($M$11=TRUE,"","KN")</f>
        <v>KN</v>
      </c>
      <c r="B12" s="817" t="str">
        <f ca="1">IF($M$11=TRUE,"","Kennzahlendefinition")</f>
        <v>Kennzahlendefinition</v>
      </c>
      <c r="C12" s="817" t="str">
        <f ca="1">IF($M$11=TRUE,"","Vorgaben Datenqualität")</f>
        <v>Vorgaben Datenqualität</v>
      </c>
      <c r="D12" s="817"/>
      <c r="E12" s="817"/>
      <c r="F12" s="817" t="str">
        <f ca="1">IF($M$11=TRUE,"","Ist-Werte")</f>
        <v>Ist-Werte</v>
      </c>
      <c r="G12" s="817"/>
      <c r="H12" s="817"/>
      <c r="I12" s="817" t="str">
        <f ca="1">IF($M$11=TRUE,"","Daten-qualität
1), 2), 3)")</f>
        <v>Daten-qualität
1), 2), 3)</v>
      </c>
      <c r="J12" s="312" t="str">
        <f ca="1">IF($M$11=TRUE,"","Verifizierung Zentrum")</f>
        <v>Verifizierung Zentrum</v>
      </c>
      <c r="K12" s="311"/>
    </row>
    <row r="13" spans="1:13" ht="21" customHeight="1" x14ac:dyDescent="0.25">
      <c r="A13" s="818"/>
      <c r="B13" s="818"/>
      <c r="C13" s="278" t="str">
        <f ca="1">IF($M$11=TRUE,"","Plausi unklar")</f>
        <v>Plausi unklar</v>
      </c>
      <c r="D13" s="278" t="str">
        <f ca="1">IF($M$11=TRUE,"","Sollvorgabe")</f>
        <v>Sollvorgabe</v>
      </c>
      <c r="E13" s="278" t="str">
        <f ca="1">IF($M$11=TRUE,"","Plausi unklar")</f>
        <v>Plausi unklar</v>
      </c>
      <c r="F13" s="278" t="str">
        <f ca="1">IF($M$11=TRUE,"","Zähler / Anzahl")</f>
        <v>Zähler / Anzahl</v>
      </c>
      <c r="G13" s="278" t="str">
        <f ca="1">IF($M$11=TRUE,"","Nenner")</f>
        <v>Nenner</v>
      </c>
      <c r="H13" s="278" t="str">
        <f ca="1">IF($M$11=TRUE,"","Quote")</f>
        <v>Quote</v>
      </c>
      <c r="I13" s="818"/>
      <c r="J13" s="308" t="str">
        <f ca="1">IF($M$11=TRUE,"","Begründung / Ursache")</f>
        <v>Begründung / Ursache</v>
      </c>
      <c r="K13" s="284" t="str">
        <f ca="1">IF($M$11=TRUE,"","Eingeleitete / geplante Aktionen")</f>
        <v>Eingeleitete / geplante Aktionen</v>
      </c>
    </row>
    <row r="14" spans="1:13" ht="135" customHeight="1" x14ac:dyDescent="0.25">
      <c r="A14" s="191" t="str">
        <f ca="1">'Hilfstabelle DatendefKB_Mesoth.'!O2</f>
        <v>1a</v>
      </c>
      <c r="B14" s="285" t="str">
        <f ca="1">'Hilfstabelle DatendefKB_Mesoth.'!P2</f>
        <v xml:space="preserve">Primärfälle Mesotheliom der Pleura und des Perikards 
</v>
      </c>
      <c r="C14" s="288" t="str">
        <f ca="1">'Hilfstabelle DatendefKB_Mesoth.'!Q2</f>
        <v>-----</v>
      </c>
      <c r="D14" s="191" t="str">
        <f ca="1">'Hilfstabelle DatendefKB_Mesoth.'!R2</f>
        <v>Derzeit keine Vorgaben</v>
      </c>
      <c r="E14" s="288" t="str">
        <f ca="1">'Hilfstabelle DatendefKB_Mesoth.'!S2</f>
        <v>-----</v>
      </c>
      <c r="F14" s="191">
        <f ca="1">'Hilfstabelle DatendefKB_Mesoth.'!T2</f>
        <v>0</v>
      </c>
      <c r="G14" s="191" t="str">
        <f ca="1">'Hilfstabelle DatendefKB_Mesoth.'!U2</f>
        <v>-----</v>
      </c>
      <c r="H14" s="287" t="str">
        <f ca="1">'Hilfstabelle DatendefKB_Mesoth.'!V2</f>
        <v>-----</v>
      </c>
      <c r="I14" s="191" t="str">
        <f ca="1">'Hilfstabelle DatendefKB_Mesoth.'!W2</f>
        <v>Unvollständig</v>
      </c>
      <c r="J14" s="192" t="str">
        <f ca="1">'Hilfstabelle DatendefKB_Mesoth.'!X2</f>
        <v>-----</v>
      </c>
      <c r="K14" s="285" t="str">
        <f ca="1">'Hilfstabelle DatendefKB_Mesoth.'!Y2</f>
        <v>-----</v>
      </c>
    </row>
    <row r="15" spans="1:13" ht="135" customHeight="1" x14ac:dyDescent="0.25">
      <c r="A15" s="191" t="str">
        <f ca="1">'Hilfstabelle DatendefKB_Mesoth.'!O3</f>
        <v>1b</v>
      </c>
      <c r="B15" s="285" t="str">
        <f ca="1">'Hilfstabelle DatendefKB_Mesoth.'!P3</f>
        <v xml:space="preserve">Primärfälle Mesotheliom des Peritoneums
</v>
      </c>
      <c r="C15" s="288" t="str">
        <f ca="1">'Hilfstabelle DatendefKB_Mesoth.'!Q3</f>
        <v>-----</v>
      </c>
      <c r="D15" s="191" t="str">
        <f ca="1">'Hilfstabelle DatendefKB_Mesoth.'!R3</f>
        <v>Derzeit keine Vorgaben</v>
      </c>
      <c r="E15" s="288" t="str">
        <f ca="1">'Hilfstabelle DatendefKB_Mesoth.'!S3</f>
        <v>-----</v>
      </c>
      <c r="F15" s="191">
        <f ca="1">'Hilfstabelle DatendefKB_Mesoth.'!T3</f>
        <v>0</v>
      </c>
      <c r="G15" s="191" t="str">
        <f ca="1">'Hilfstabelle DatendefKB_Mesoth.'!U3</f>
        <v>-----</v>
      </c>
      <c r="H15" s="287" t="str">
        <f ca="1">'Hilfstabelle DatendefKB_Mesoth.'!V3</f>
        <v>-----</v>
      </c>
      <c r="I15" s="191" t="str">
        <f ca="1">'Hilfstabelle DatendefKB_Mesoth.'!W3</f>
        <v>Unvollständig</v>
      </c>
      <c r="J15" s="192" t="str">
        <f ca="1">'Hilfstabelle DatendefKB_Mesoth.'!X3</f>
        <v>-----</v>
      </c>
      <c r="K15" s="285" t="str">
        <f ca="1">'Hilfstabelle DatendefKB_Mesoth.'!Y3</f>
        <v>-----</v>
      </c>
    </row>
    <row r="16" spans="1:13" ht="135" customHeight="1" x14ac:dyDescent="0.25">
      <c r="A16" s="191" t="str">
        <f ca="1">'Hilfstabelle DatendefKB_Mesoth.'!O4</f>
        <v>1c</v>
      </c>
      <c r="B16" s="285" t="str">
        <f ca="1">'Hilfstabelle DatendefKB_Mesoth.'!P4</f>
        <v xml:space="preserve">Primärfälle Mesotheliom </v>
      </c>
      <c r="C16" s="288" t="str">
        <f ca="1">'Hilfstabelle DatendefKB_Mesoth.'!Q4</f>
        <v>-----</v>
      </c>
      <c r="D16" s="191" t="str">
        <f ca="1">'Hilfstabelle DatendefKB_Mesoth.'!R4</f>
        <v>≥ 12</v>
      </c>
      <c r="E16" s="288" t="str">
        <f ca="1">'Hilfstabelle DatendefKB_Mesoth.'!S4</f>
        <v>-----</v>
      </c>
      <c r="F16" s="191">
        <f ca="1">'Hilfstabelle DatendefKB_Mesoth.'!T4</f>
        <v>0</v>
      </c>
      <c r="G16" s="191" t="str">
        <f ca="1">'Hilfstabelle DatendefKB_Mesoth.'!U4</f>
        <v>-----</v>
      </c>
      <c r="H16" s="287" t="str">
        <f ca="1">'Hilfstabelle DatendefKB_Mesoth.'!V4</f>
        <v>-----</v>
      </c>
      <c r="I16" s="191" t="str">
        <f ca="1">'Hilfstabelle DatendefKB_Mesoth.'!W4</f>
        <v>Unvollständig</v>
      </c>
      <c r="J16" s="192" t="str">
        <f ca="1">'Hilfstabelle DatendefKB_Mesoth.'!X4</f>
        <v>-----</v>
      </c>
      <c r="K16" s="285" t="str">
        <f ca="1">'Hilfstabelle DatendefKB_Mesoth.'!Y4</f>
        <v>-----</v>
      </c>
    </row>
    <row r="17" spans="1:11" ht="135" customHeight="1" x14ac:dyDescent="0.25">
      <c r="A17" s="191">
        <f ca="1">'Hilfstabelle DatendefKB_Mesoth.'!O5</f>
        <v>2</v>
      </c>
      <c r="B17" s="285" t="str">
        <f ca="1">'Hilfstabelle DatendefKB_Mesoth.'!P5</f>
        <v>Operative Therapie bei Mesotheliom</v>
      </c>
      <c r="C17" s="288" t="str">
        <f ca="1">'Hilfstabelle DatendefKB_Mesoth.'!Q5</f>
        <v>-----</v>
      </c>
      <c r="D17" s="191" t="str">
        <f ca="1">'Hilfstabelle DatendefKB_Mesoth.'!R5</f>
        <v>Derzeit keine Vorgaben</v>
      </c>
      <c r="E17" s="288" t="str">
        <f ca="1">'Hilfstabelle DatendefKB_Mesoth.'!S5</f>
        <v>-----</v>
      </c>
      <c r="F17" s="191">
        <f ca="1">'Hilfstabelle DatendefKB_Mesoth.'!T5</f>
        <v>0</v>
      </c>
      <c r="G17" s="191" t="str">
        <f ca="1">'Hilfstabelle DatendefKB_Mesoth.'!U5</f>
        <v>-----</v>
      </c>
      <c r="H17" s="287" t="str">
        <f ca="1">'Hilfstabelle DatendefKB_Mesoth.'!V5</f>
        <v>-----</v>
      </c>
      <c r="I17" s="191" t="str">
        <f ca="1">'Hilfstabelle DatendefKB_Mesoth.'!W5</f>
        <v>Unvollständig</v>
      </c>
      <c r="J17" s="192" t="str">
        <f ca="1">'Hilfstabelle DatendefKB_Mesoth.'!X5</f>
        <v>-----</v>
      </c>
      <c r="K17" s="285" t="str">
        <f ca="1">'Hilfstabelle DatendefKB_Mesoth.'!Y5</f>
        <v>-----</v>
      </c>
    </row>
    <row r="18" spans="1:11" ht="135" customHeight="1" x14ac:dyDescent="0.25">
      <c r="A18" s="191">
        <f ca="1">'Hilfstabelle DatendefKB_Mesoth.'!O6</f>
        <v>3</v>
      </c>
      <c r="B18" s="285" t="str">
        <f ca="1">'Hilfstabelle DatendefKB_Mesoth.'!P6</f>
        <v>Prätherapeutische Tumorkonferenz Mesotheliom</v>
      </c>
      <c r="C18" s="288" t="str">
        <f ca="1">'Hilfstabelle DatendefKB_Mesoth.'!Q6</f>
        <v>-----</v>
      </c>
      <c r="D18" s="191" t="str">
        <f ca="1">'Hilfstabelle DatendefKB_Mesoth.'!R6</f>
        <v xml:space="preserve"> ≥ 90%</v>
      </c>
      <c r="E18" s="288" t="str">
        <f ca="1">'Hilfstabelle DatendefKB_Mesoth.'!S6</f>
        <v>-----</v>
      </c>
      <c r="F18" s="191" t="str">
        <f ca="1">'Hilfstabelle DatendefKB_Mesoth.'!T6</f>
        <v>-----</v>
      </c>
      <c r="G18" s="191">
        <f ca="1">'Hilfstabelle DatendefKB_Mesoth.'!U6</f>
        <v>0</v>
      </c>
      <c r="H18" s="287" t="str">
        <f ca="1">'Hilfstabelle DatendefKB_Mesoth.'!V6</f>
        <v>n.d.</v>
      </c>
      <c r="I18" s="191" t="str">
        <f ca="1">'Hilfstabelle DatendefKB_Mesoth.'!W6</f>
        <v>Unvollständig</v>
      </c>
      <c r="J18" s="192" t="str">
        <f ca="1">'Hilfstabelle DatendefKB_Mesoth.'!X6</f>
        <v>-----</v>
      </c>
      <c r="K18" s="285" t="str">
        <f ca="1">'Hilfstabelle DatendefKB_Mesoth.'!Y6</f>
        <v>-----</v>
      </c>
    </row>
    <row r="19" spans="1:11" ht="135" customHeight="1" x14ac:dyDescent="0.25">
      <c r="A19" s="191">
        <f ca="1">'Hilfstabelle DatendefKB_Mesoth.'!O7</f>
        <v>4</v>
      </c>
      <c r="B19" s="285" t="str">
        <f ca="1">'Hilfstabelle DatendefKB_Mesoth.'!P7</f>
        <v>Tumorkonferenz nach operativer Therapie Mesotheliom</v>
      </c>
      <c r="C19" s="288" t="str">
        <f ca="1">'Hilfstabelle DatendefKB_Mesoth.'!Q7</f>
        <v>-----</v>
      </c>
      <c r="D19" s="191" t="str">
        <f ca="1">'Hilfstabelle DatendefKB_Mesoth.'!R7</f>
        <v xml:space="preserve"> ≥ 90%</v>
      </c>
      <c r="E19" s="288" t="str">
        <f ca="1">'Hilfstabelle DatendefKB_Mesoth.'!S7</f>
        <v>-----</v>
      </c>
      <c r="F19" s="191" t="str">
        <f ca="1">'Hilfstabelle DatendefKB_Mesoth.'!T7</f>
        <v>-----</v>
      </c>
      <c r="G19" s="191">
        <f ca="1">'Hilfstabelle DatendefKB_Mesoth.'!U7</f>
        <v>0</v>
      </c>
      <c r="H19" s="287" t="str">
        <f ca="1">'Hilfstabelle DatendefKB_Mesoth.'!V7</f>
        <v>n.d.</v>
      </c>
      <c r="I19" s="191" t="str">
        <f ca="1">'Hilfstabelle DatendefKB_Mesoth.'!W7</f>
        <v>Unvollständig</v>
      </c>
      <c r="J19" s="192" t="str">
        <f ca="1">'Hilfstabelle DatendefKB_Mesoth.'!X7</f>
        <v>-----</v>
      </c>
      <c r="K19" s="285" t="str">
        <f ca="1">'Hilfstabelle DatendefKB_Mesoth.'!Y7</f>
        <v>-----</v>
      </c>
    </row>
    <row r="20" spans="1:11" ht="135" customHeight="1" x14ac:dyDescent="0.25">
      <c r="A20" s="191">
        <f ca="1">'Hilfstabelle DatendefKB_Mesoth.'!O8</f>
        <v>6</v>
      </c>
      <c r="B20" s="285" t="str">
        <f ca="1">'Hilfstabelle DatendefKB_Mesoth.'!P8</f>
        <v>Beratung Sozialdienst Mesotheliom</v>
      </c>
      <c r="C20" s="288" t="str">
        <f ca="1">'Hilfstabelle DatendefKB_Mesoth.'!Q8</f>
        <v>&lt; 50%</v>
      </c>
      <c r="D20" s="191" t="str">
        <f ca="1">'Hilfstabelle DatendefKB_Mesoth.'!R8</f>
        <v>Derzeit keine Vorgaben</v>
      </c>
      <c r="E20" s="288" t="str">
        <f ca="1">'Hilfstabelle DatendefKB_Mesoth.'!S8</f>
        <v>-----</v>
      </c>
      <c r="F20" s="191" t="str">
        <f ca="1">'Hilfstabelle DatendefKB_Mesoth.'!T8</f>
        <v>-----</v>
      </c>
      <c r="G20" s="191">
        <f ca="1">'Hilfstabelle DatendefKB_Mesoth.'!U8</f>
        <v>0</v>
      </c>
      <c r="H20" s="287" t="str">
        <f ca="1">'Hilfstabelle DatendefKB_Mesoth.'!V8</f>
        <v>n.d.</v>
      </c>
      <c r="I20" s="191" t="str">
        <f ca="1">'Hilfstabelle DatendefKB_Mesoth.'!W8</f>
        <v>Unvollständig</v>
      </c>
      <c r="J20" s="192" t="str">
        <f ca="1">'Hilfstabelle DatendefKB_Mesoth.'!X8</f>
        <v>-----</v>
      </c>
      <c r="K20" s="285" t="str">
        <f ca="1">'Hilfstabelle DatendefKB_Mesoth.'!Y8</f>
        <v>-----</v>
      </c>
    </row>
    <row r="21" spans="1:11" ht="135" customHeight="1" x14ac:dyDescent="0.25">
      <c r="A21" s="191">
        <f ca="1">'Hilfstabelle DatendefKB_Mesoth.'!O9</f>
        <v>7</v>
      </c>
      <c r="B21" s="285" t="str">
        <f ca="1">'Hilfstabelle DatendefKB_Mesoth.'!P9</f>
        <v>Studienpat. Mesotheliom</v>
      </c>
      <c r="C21" s="288" t="str">
        <f ca="1">'Hilfstabelle DatendefKB_Mesoth.'!Q9</f>
        <v>-----</v>
      </c>
      <c r="D21" s="191" t="str">
        <f ca="1">'Hilfstabelle DatendefKB_Mesoth.'!R9</f>
        <v>≥ 1</v>
      </c>
      <c r="E21" s="288" t="str">
        <f ca="1">'Hilfstabelle DatendefKB_Mesoth.'!S9</f>
        <v>-----</v>
      </c>
      <c r="F21" s="191">
        <f ca="1">'Hilfstabelle DatendefKB_Mesoth.'!T9</f>
        <v>0</v>
      </c>
      <c r="G21" s="191" t="str">
        <f ca="1">'Hilfstabelle DatendefKB_Mesoth.'!U9</f>
        <v>-----</v>
      </c>
      <c r="H21" s="287" t="str">
        <f ca="1">'Hilfstabelle DatendefKB_Mesoth.'!V9</f>
        <v>-----</v>
      </c>
      <c r="I21" s="191" t="str">
        <f ca="1">'Hilfstabelle DatendefKB_Mesoth.'!W9</f>
        <v>Unvollständig</v>
      </c>
      <c r="J21" s="192" t="str">
        <f ca="1">'Hilfstabelle DatendefKB_Mesoth.'!X9</f>
        <v>-----</v>
      </c>
      <c r="K21" s="285" t="str">
        <f ca="1">'Hilfstabelle DatendefKB_Mesoth.'!Y9</f>
        <v>-----</v>
      </c>
    </row>
  </sheetData>
  <sheetProtection algorithmName="SHA-512" hashValue="JnDjoaMveLjPWyyYTcUNygxQTz5LLNzeE+W/s6BY49pj58yMcRHoMxqpOq+ojte5hZ7zum8/f9RSQBtBynQdbQ==" saltValue="0bYNIlYO+W6PrgjbKjOIyw==" spinCount="100000" sheet="1" objects="1" scenarios="1" selectLockedCells="1"/>
  <mergeCells count="7">
    <mergeCell ref="C6:J6"/>
    <mergeCell ref="C8:G8"/>
    <mergeCell ref="A12:A13"/>
    <mergeCell ref="B12:B13"/>
    <mergeCell ref="C12:E12"/>
    <mergeCell ref="F12:H12"/>
    <mergeCell ref="I12:I13"/>
  </mergeCells>
  <conditionalFormatting sqref="A14:H21 J14:K21">
    <cfRule type="notContainsBlanks" dxfId="5" priority="17" stopIfTrue="1">
      <formula>LEN(TRIM(A14))&gt;0</formula>
    </cfRule>
  </conditionalFormatting>
  <conditionalFormatting sqref="A12:K13">
    <cfRule type="expression" dxfId="4" priority="2" stopIfTrue="1">
      <formula>$B$10="Kein Datendefizit vorhanden"</formula>
    </cfRule>
  </conditionalFormatting>
  <conditionalFormatting sqref="I14:I21">
    <cfRule type="expression" dxfId="3" priority="1" stopIfTrue="1">
      <formula>AND($I14&lt;&gt;"",$I14="Sollvorgabe nicht erfüllt")</formula>
    </cfRule>
    <cfRule type="expression" dxfId="2" priority="18" stopIfTrue="1">
      <formula>AND($I14&lt;&gt;"",$I14="I.O. (Plausibilität unklar)")</formula>
    </cfRule>
    <cfRule type="expression" dxfId="1" priority="19" stopIfTrue="1">
      <formula>AND($I14&lt;&gt;"",$I14="Ausnahme (Plausibilität unklar)")</formula>
    </cfRule>
    <cfRule type="expression" dxfId="0" priority="20"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K38"/>
  <sheetViews>
    <sheetView workbookViewId="0">
      <selection activeCell="B2" sqref="B2"/>
    </sheetView>
  </sheetViews>
  <sheetFormatPr defaultColWidth="11.42578125" defaultRowHeight="14.25" x14ac:dyDescent="0.2"/>
  <cols>
    <col min="1" max="1" width="23.85546875" style="132" customWidth="1"/>
    <col min="2" max="2" width="22.28515625" style="132" customWidth="1"/>
    <col min="3" max="3" width="12.7109375" style="132" customWidth="1"/>
    <col min="4" max="4" width="14.7109375" style="132" customWidth="1"/>
    <col min="5" max="5" width="8.42578125" style="132" customWidth="1"/>
    <col min="6" max="6" width="50.5703125" style="132" customWidth="1"/>
    <col min="7" max="7" width="45.7109375" style="132" customWidth="1"/>
    <col min="8" max="8" width="9.5703125" style="132" customWidth="1"/>
    <col min="9" max="9" width="26.42578125" style="132" customWidth="1"/>
    <col min="10" max="10" width="23.5703125" style="132" customWidth="1"/>
    <col min="11" max="11" width="22" style="132" customWidth="1"/>
    <col min="12" max="256" width="9.140625" style="132" customWidth="1"/>
    <col min="257" max="16384" width="11.42578125" style="132"/>
  </cols>
  <sheetData>
    <row r="1" spans="1:11" x14ac:dyDescent="0.2">
      <c r="A1" s="20" t="s">
        <v>882</v>
      </c>
      <c r="B1" s="523" t="str">
        <f>IF(Basisdaten_Lunge!B5="","",Basisdaten_Lunge!B5)</f>
        <v/>
      </c>
    </row>
    <row r="2" spans="1:11" x14ac:dyDescent="0.2">
      <c r="A2" s="20" t="s">
        <v>121</v>
      </c>
      <c r="B2" s="146">
        <v>189</v>
      </c>
    </row>
    <row r="3" spans="1:11" x14ac:dyDescent="0.2">
      <c r="A3" s="20" t="s">
        <v>46</v>
      </c>
      <c r="B3" s="146" t="str">
        <f>IF(OR(B1="",B1="nur Lungenkrebszentrum"),IF(Basisdaten_Lunge!B7=0,"",Basisdaten_Lunge!B7),Basisdaten_Lunge!B7&amp;" MESO")</f>
        <v/>
      </c>
      <c r="K3" s="6"/>
    </row>
    <row r="4" spans="1:11" x14ac:dyDescent="0.2">
      <c r="A4" s="20" t="s">
        <v>163</v>
      </c>
      <c r="B4" s="147" t="str">
        <f>IF(OR(B1="",B1="nur Lungenkrebszentrum"),"",IF(Basisdaten_Lunge!I13=0,"",Basisdaten_Lunge!I13))</f>
        <v/>
      </c>
    </row>
    <row r="6" spans="1:11" x14ac:dyDescent="0.2">
      <c r="A6" s="151" t="s">
        <v>447</v>
      </c>
      <c r="B6" s="150"/>
    </row>
    <row r="7" spans="1:11" x14ac:dyDescent="0.2">
      <c r="A7" s="151" t="s">
        <v>448</v>
      </c>
      <c r="B7" s="150"/>
    </row>
    <row r="8" spans="1:11" x14ac:dyDescent="0.2">
      <c r="A8" s="151" t="s">
        <v>449</v>
      </c>
      <c r="B8" s="150"/>
    </row>
    <row r="9" spans="1:11" x14ac:dyDescent="0.2">
      <c r="A9" s="151" t="s">
        <v>468</v>
      </c>
      <c r="B9" s="150"/>
    </row>
    <row r="10" spans="1:11" x14ac:dyDescent="0.2">
      <c r="A10" s="151" t="s">
        <v>469</v>
      </c>
      <c r="B10" s="150"/>
    </row>
    <row r="12" spans="1:11" ht="19.5" customHeight="1" x14ac:dyDescent="0.2">
      <c r="A12" s="152" t="s">
        <v>120</v>
      </c>
      <c r="B12" s="152" t="s">
        <v>119</v>
      </c>
      <c r="C12" s="152" t="s">
        <v>22</v>
      </c>
      <c r="D12" s="152" t="s">
        <v>45</v>
      </c>
      <c r="E12" s="152" t="s">
        <v>118</v>
      </c>
      <c r="F12" s="152" t="s">
        <v>122</v>
      </c>
      <c r="G12" s="152" t="s">
        <v>116</v>
      </c>
      <c r="H12" s="152" t="s">
        <v>117</v>
      </c>
      <c r="I12" s="155" t="s">
        <v>450</v>
      </c>
      <c r="J12" s="155" t="s">
        <v>451</v>
      </c>
      <c r="K12" s="155" t="s">
        <v>452</v>
      </c>
    </row>
    <row r="13" spans="1:11" x14ac:dyDescent="0.2">
      <c r="A13" s="306" t="s">
        <v>821</v>
      </c>
      <c r="B13" s="145" t="str">
        <f>IF(KB_Mesotheliom!O12="","n.d.",KB_Mesotheliom!O12)</f>
        <v>n.d.</v>
      </c>
      <c r="C13" s="143"/>
      <c r="D13" s="144"/>
      <c r="E13" s="145">
        <f>Berechnung1_Mesotheliom!N27</f>
        <v>1</v>
      </c>
      <c r="F13" s="146" t="str">
        <f>IF(KB_Mesotheliom!Q12=0,"",KB_Mesotheliom!Q12)</f>
        <v/>
      </c>
      <c r="G13" s="146" t="str">
        <f>IF(KB_Mesotheliom!R12=0,"",KB_Mesotheliom!R12)</f>
        <v/>
      </c>
      <c r="H13" s="153">
        <f>Berechnung1_Mesotheliom!O27</f>
        <v>0</v>
      </c>
      <c r="I13" s="154"/>
      <c r="J13" s="154"/>
      <c r="K13" s="154"/>
    </row>
    <row r="14" spans="1:11" x14ac:dyDescent="0.2">
      <c r="A14" s="306" t="s">
        <v>822</v>
      </c>
      <c r="B14" s="145" t="str">
        <f>IF(KB_Mesotheliom!O15="","n.d.",KB_Mesotheliom!O15)</f>
        <v>n.d.</v>
      </c>
      <c r="C14" s="143"/>
      <c r="D14" s="144"/>
      <c r="E14" s="145">
        <f>Berechnung1_Mesotheliom!N30</f>
        <v>1</v>
      </c>
      <c r="F14" s="146" t="str">
        <f>IF(KB_Mesotheliom!Q15=0,"",KB_Mesotheliom!Q15)</f>
        <v/>
      </c>
      <c r="G14" s="146" t="str">
        <f>IF(KB_Mesotheliom!R15=0,"",KB_Mesotheliom!R15)</f>
        <v/>
      </c>
      <c r="H14" s="153">
        <f>Berechnung1_Mesotheliom!O30</f>
        <v>0</v>
      </c>
      <c r="I14" s="154"/>
      <c r="J14" s="154"/>
      <c r="K14" s="154"/>
    </row>
    <row r="15" spans="1:11" x14ac:dyDescent="0.2">
      <c r="A15" s="306" t="s">
        <v>862</v>
      </c>
      <c r="B15" s="145" t="str">
        <f>IF(KB_Mesotheliom!O18=0,"n.d.",KB_Mesotheliom!O18)</f>
        <v>n.d.</v>
      </c>
      <c r="C15" s="467"/>
      <c r="D15" s="468"/>
      <c r="E15" s="145">
        <f>Berechnung1_Mesotheliom!N33</f>
        <v>1</v>
      </c>
      <c r="F15" s="146" t="str">
        <f>IF(KB_Mesotheliom!Q18=0,"",KB_Mesotheliom!Q18)</f>
        <v/>
      </c>
      <c r="G15" s="146" t="str">
        <f>IF(KB_Mesotheliom!R18=0,"",KB_Mesotheliom!R18)</f>
        <v/>
      </c>
      <c r="H15" s="153">
        <f>Berechnung1_Mesotheliom!O33</f>
        <v>0</v>
      </c>
      <c r="I15" s="154"/>
      <c r="J15" s="154"/>
      <c r="K15" s="154"/>
    </row>
    <row r="16" spans="1:11" x14ac:dyDescent="0.2">
      <c r="A16" s="149">
        <v>2</v>
      </c>
      <c r="B16" s="145" t="str">
        <f>IF(KB_Mesotheliom!O21="","n.d.",KB_Mesotheliom!O21)</f>
        <v>n.d.</v>
      </c>
      <c r="C16" s="467"/>
      <c r="D16" s="468"/>
      <c r="E16" s="145">
        <f>Berechnung1_Mesotheliom!N36</f>
        <v>1</v>
      </c>
      <c r="F16" s="146" t="str">
        <f>IF(KB_Mesotheliom!Q21=0,"",KB_Mesotheliom!Q21)</f>
        <v/>
      </c>
      <c r="G16" s="146" t="str">
        <f>IF(KB_Mesotheliom!R21=0,"",KB_Mesotheliom!R21)</f>
        <v/>
      </c>
      <c r="H16" s="153">
        <f>Berechnung1_Mesotheliom!O36</f>
        <v>0</v>
      </c>
      <c r="I16" s="154"/>
      <c r="J16" s="154"/>
      <c r="K16" s="154"/>
    </row>
    <row r="17" spans="1:11" x14ac:dyDescent="0.2">
      <c r="A17" s="149">
        <v>3</v>
      </c>
      <c r="B17" s="145" t="str">
        <f>IF(KB_Mesotheliom!O24="","",KB_Mesotheliom!O24)</f>
        <v/>
      </c>
      <c r="C17" s="145">
        <f>IF(KB_Mesotheliom!O25="","",KB_Mesotheliom!O25)</f>
        <v>0</v>
      </c>
      <c r="D17" s="305" t="str">
        <f>IF(KB_Mesotheliom!O26="n.d.","n.d.",KB_Mesotheliom!O26*100)</f>
        <v>n.d.</v>
      </c>
      <c r="E17" s="145">
        <f>Berechnung1_Mesotheliom!N39</f>
        <v>1</v>
      </c>
      <c r="F17" s="146" t="str">
        <f>IF(KB_Mesotheliom!Q24=0,"",KB_Mesotheliom!Q24)</f>
        <v/>
      </c>
      <c r="G17" s="146" t="str">
        <f>IF(KB_Mesotheliom!R24=0,"",KB_Mesotheliom!R24)</f>
        <v/>
      </c>
      <c r="H17" s="153">
        <f>Berechnung1_Mesotheliom!O39</f>
        <v>0</v>
      </c>
      <c r="I17" s="154"/>
      <c r="J17" s="154"/>
      <c r="K17" s="154"/>
    </row>
    <row r="18" spans="1:11" x14ac:dyDescent="0.2">
      <c r="A18" s="149">
        <v>4</v>
      </c>
      <c r="B18" s="145" t="str">
        <f>IF(KB_Mesotheliom!O27="","",KB_Mesotheliom!O27)</f>
        <v/>
      </c>
      <c r="C18" s="145">
        <f>IF(KB_Mesotheliom!O28="","",KB_Mesotheliom!O28)</f>
        <v>0</v>
      </c>
      <c r="D18" s="305" t="str">
        <f>IF(KB_Mesotheliom!O29="n.d.","n.d.",KB_Mesotheliom!O29*100)</f>
        <v>n.d.</v>
      </c>
      <c r="E18" s="145">
        <f>Berechnung1_Mesotheliom!N42</f>
        <v>1</v>
      </c>
      <c r="F18" s="146" t="str">
        <f>IF(KB_Mesotheliom!Q27=0,"",KB_Mesotheliom!Q27)</f>
        <v/>
      </c>
      <c r="G18" s="146" t="str">
        <f>IF(KB_Mesotheliom!R27=0,"",KB_Mesotheliom!R27)</f>
        <v/>
      </c>
      <c r="H18" s="153">
        <f>Berechnung1_Mesotheliom!O42</f>
        <v>0</v>
      </c>
      <c r="I18" s="154"/>
      <c r="J18" s="154"/>
      <c r="K18" s="156"/>
    </row>
    <row r="19" spans="1:11" x14ac:dyDescent="0.2">
      <c r="A19" s="149">
        <v>5</v>
      </c>
      <c r="B19" s="145" t="str">
        <f>IF(KB_Mesotheliom!O30="","",KB_Mesotheliom!O30)</f>
        <v/>
      </c>
      <c r="C19" s="145">
        <f>IF(KB_Mesotheliom!O31="","",KB_Mesotheliom!O31)</f>
        <v>0</v>
      </c>
      <c r="D19" s="305" t="str">
        <f>IF(KB_Mesotheliom!O32="n.d.","n.d.",KB_Mesotheliom!O32*100)</f>
        <v>n.d.</v>
      </c>
      <c r="E19" s="145">
        <f>Berechnung1_Mesotheliom!N45</f>
        <v>1</v>
      </c>
      <c r="F19" s="146" t="str">
        <f>IF(KB_Mesotheliom!Q30=0,"",KB_Mesotheliom!Q30)</f>
        <v/>
      </c>
      <c r="G19" s="146" t="str">
        <f>IF(KB_Mesotheliom!R30=0,"",KB_Mesotheliom!R30)</f>
        <v/>
      </c>
      <c r="H19" s="153">
        <f>Berechnung1_Mesotheliom!O45</f>
        <v>0</v>
      </c>
      <c r="I19" s="154"/>
      <c r="J19" s="154"/>
      <c r="K19" s="156"/>
    </row>
    <row r="20" spans="1:11" x14ac:dyDescent="0.2">
      <c r="A20" s="149">
        <v>6</v>
      </c>
      <c r="B20" s="145" t="str">
        <f>IF(KB_Mesotheliom!O33="","",KB_Mesotheliom!O33)</f>
        <v/>
      </c>
      <c r="C20" s="145">
        <f>IF(KB_Mesotheliom!O34="","",KB_Mesotheliom!O34)</f>
        <v>0</v>
      </c>
      <c r="D20" s="305" t="str">
        <f>IF(KB_Mesotheliom!O35="n.d.","n.d.",KB_Mesotheliom!O35*100)</f>
        <v>n.d.</v>
      </c>
      <c r="E20" s="145">
        <f>Berechnung1_Mesotheliom!N48</f>
        <v>1</v>
      </c>
      <c r="F20" s="146" t="str">
        <f>IF(KB_Mesotheliom!Q33=0,"",KB_Mesotheliom!Q33)</f>
        <v/>
      </c>
      <c r="G20" s="146" t="str">
        <f>IF(KB_Mesotheliom!R33=0,"",KB_Mesotheliom!R33)</f>
        <v/>
      </c>
      <c r="H20" s="153">
        <f>Berechnung1_Mesotheliom!O48</f>
        <v>0</v>
      </c>
      <c r="I20" s="154"/>
      <c r="J20" s="154"/>
      <c r="K20" s="156"/>
    </row>
    <row r="21" spans="1:11" x14ac:dyDescent="0.2">
      <c r="A21" s="149">
        <v>7</v>
      </c>
      <c r="B21" s="145" t="str">
        <f>IF(KB_Mesotheliom!O36="","n.d.",KB_Mesotheliom!O36)</f>
        <v>n.d.</v>
      </c>
      <c r="C21" s="143"/>
      <c r="D21" s="144"/>
      <c r="E21" s="145">
        <f>Berechnung1_Mesotheliom!N51</f>
        <v>1</v>
      </c>
      <c r="F21" s="146" t="str">
        <f>IF(KB_Mesotheliom!Q36=0,"",KB_Mesotheliom!Q36)</f>
        <v/>
      </c>
      <c r="G21" s="146" t="str">
        <f>IF(KB_Mesotheliom!R36=0,"",KB_Mesotheliom!R36)</f>
        <v/>
      </c>
      <c r="H21" s="153">
        <f>Berechnung1_Mesotheliom!O51</f>
        <v>0</v>
      </c>
      <c r="I21" s="154"/>
      <c r="J21" s="154"/>
      <c r="K21" s="156"/>
    </row>
    <row r="38" spans="5:5" x14ac:dyDescent="0.2">
      <c r="E38" s="3" t="s">
        <v>884</v>
      </c>
    </row>
  </sheetData>
  <pageMargins left="0.7" right="0.7" top="0.78740157499999996" bottom="0.78740157499999996" header="0.3" footer="0.3"/>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O53"/>
  <sheetViews>
    <sheetView zoomScaleNormal="100" workbookViewId="0">
      <selection activeCell="P18" sqref="P18"/>
    </sheetView>
  </sheetViews>
  <sheetFormatPr defaultColWidth="11.42578125" defaultRowHeight="11.25" x14ac:dyDescent="0.2"/>
  <cols>
    <col min="1" max="1" width="9.140625" style="102" customWidth="1"/>
    <col min="2" max="2" width="14.85546875" style="102" customWidth="1"/>
    <col min="3" max="3" width="9.140625" style="102" customWidth="1"/>
    <col min="4" max="4" width="13.7109375" style="102" customWidth="1"/>
    <col min="5" max="5" width="18.42578125" style="102" customWidth="1"/>
    <col min="6" max="6" width="16.85546875" style="102" customWidth="1"/>
    <col min="7" max="7" width="18.140625" style="102" customWidth="1"/>
    <col min="8" max="9" width="20.28515625" style="102" customWidth="1"/>
    <col min="10" max="10" width="14.5703125" style="102" customWidth="1"/>
    <col min="11" max="11" width="15.42578125" style="102" customWidth="1"/>
    <col min="12" max="12" width="16.28515625" style="102" customWidth="1"/>
    <col min="13" max="256" width="9.140625" style="102" customWidth="1"/>
    <col min="257" max="16384" width="11.42578125" style="102"/>
  </cols>
  <sheetData>
    <row r="3" spans="2:15" s="7" customFormat="1" x14ac:dyDescent="0.2">
      <c r="C3" s="98" t="s">
        <v>175</v>
      </c>
      <c r="M3" s="99"/>
      <c r="N3" s="99"/>
      <c r="O3" s="99"/>
    </row>
    <row r="4" spans="2:15" s="7" customFormat="1" x14ac:dyDescent="0.2">
      <c r="D4" s="33" t="s">
        <v>164</v>
      </c>
      <c r="I4" s="33"/>
      <c r="M4" s="99"/>
      <c r="N4" s="99"/>
      <c r="O4" s="99"/>
    </row>
    <row r="5" spans="2:15" s="7" customFormat="1" ht="22.5" x14ac:dyDescent="0.2">
      <c r="C5" s="33" t="s">
        <v>173</v>
      </c>
      <c r="D5" s="33" t="s">
        <v>174</v>
      </c>
      <c r="E5" s="33" t="s">
        <v>27</v>
      </c>
      <c r="F5" s="33" t="s">
        <v>186</v>
      </c>
      <c r="G5" s="33" t="s">
        <v>184</v>
      </c>
      <c r="H5" s="415" t="s">
        <v>750</v>
      </c>
      <c r="I5" s="33" t="s">
        <v>43</v>
      </c>
      <c r="K5" s="415" t="s">
        <v>778</v>
      </c>
      <c r="M5" s="99"/>
      <c r="N5" s="99"/>
      <c r="O5" s="99"/>
    </row>
    <row r="6" spans="2:15" s="7" customFormat="1" x14ac:dyDescent="0.2">
      <c r="C6" s="33">
        <f>COUNTIF(KB_Mesotheliom!P12:P38,C5)</f>
        <v>0</v>
      </c>
      <c r="D6" s="33">
        <f>COUNTIF(KB_Mesotheliom!P12:P38,D5)</f>
        <v>0</v>
      </c>
      <c r="E6" s="33">
        <f>COUNTIF(KB_Mesotheliom!P12:P38,E5)</f>
        <v>0</v>
      </c>
      <c r="F6" s="33">
        <f>COUNTIF(KB_Mesotheliom!P12:P38,F5)</f>
        <v>8</v>
      </c>
      <c r="G6" s="33">
        <f>COUNTIF(KB_Mesotheliom!P12:P38,G5)</f>
        <v>0</v>
      </c>
      <c r="H6" s="33">
        <f>COUNTIF(KB_Mesotheliom!P12:P38,H5)</f>
        <v>0</v>
      </c>
      <c r="I6" s="33">
        <f t="shared" ref="I6:I11" si="0">SUM(C6:H6)</f>
        <v>8</v>
      </c>
      <c r="K6" s="101">
        <f>D6+H6</f>
        <v>0</v>
      </c>
      <c r="M6" s="99"/>
      <c r="N6" s="99"/>
      <c r="O6" s="99"/>
    </row>
    <row r="7" spans="2:15" s="7" customFormat="1" x14ac:dyDescent="0.2">
      <c r="C7" s="33"/>
      <c r="D7" s="33">
        <f>C6+D6+H6</f>
        <v>0</v>
      </c>
      <c r="E7" s="33">
        <f>E6</f>
        <v>0</v>
      </c>
      <c r="F7" s="33"/>
      <c r="G7" s="33">
        <f>F6+G6</f>
        <v>8</v>
      </c>
      <c r="I7" s="33">
        <f t="shared" si="0"/>
        <v>8</v>
      </c>
      <c r="K7" s="101"/>
      <c r="M7" s="99"/>
      <c r="N7" s="99"/>
      <c r="O7" s="99"/>
    </row>
    <row r="8" spans="2:15" s="7" customFormat="1" x14ac:dyDescent="0.2">
      <c r="B8" s="7" t="s">
        <v>492</v>
      </c>
      <c r="C8" s="33"/>
      <c r="D8" s="33"/>
      <c r="E8" s="33">
        <f>D7+E7</f>
        <v>0</v>
      </c>
      <c r="F8" s="33"/>
      <c r="G8" s="33">
        <f>G7</f>
        <v>8</v>
      </c>
      <c r="I8" s="33">
        <f t="shared" si="0"/>
        <v>8</v>
      </c>
      <c r="K8" s="101"/>
      <c r="M8" s="99"/>
      <c r="N8" s="99"/>
      <c r="O8" s="99"/>
    </row>
    <row r="9" spans="2:15" s="7" customFormat="1" x14ac:dyDescent="0.2">
      <c r="B9" s="362">
        <v>8</v>
      </c>
      <c r="C9" s="343">
        <f t="shared" ref="C9:H9" si="1">ROUND(C6/$B$9,4)</f>
        <v>0</v>
      </c>
      <c r="D9" s="343">
        <f>ROUND(D6/$B$9,4)</f>
        <v>0</v>
      </c>
      <c r="E9" s="343">
        <f>ROUND(E6/$B$9,4)</f>
        <v>0</v>
      </c>
      <c r="F9" s="343">
        <f t="shared" si="1"/>
        <v>1</v>
      </c>
      <c r="G9" s="343">
        <f t="shared" si="1"/>
        <v>0</v>
      </c>
      <c r="H9" s="343">
        <f t="shared" si="1"/>
        <v>0</v>
      </c>
      <c r="I9" s="343">
        <f t="shared" si="0"/>
        <v>1</v>
      </c>
      <c r="K9" s="445">
        <f>D9+H9</f>
        <v>0</v>
      </c>
      <c r="M9" s="99"/>
      <c r="N9" s="99"/>
      <c r="O9" s="99"/>
    </row>
    <row r="10" spans="2:15" s="7" customFormat="1" x14ac:dyDescent="0.2">
      <c r="C10" s="343"/>
      <c r="D10" s="343">
        <f>ROUND((C6+D6+H6)/$B$9,4)</f>
        <v>0</v>
      </c>
      <c r="E10" s="343">
        <f>ROUND(E6/$B$9,4)</f>
        <v>0</v>
      </c>
      <c r="F10" s="343"/>
      <c r="G10" s="343">
        <f>ROUND((F6+G6)/$B$9,4)</f>
        <v>1</v>
      </c>
      <c r="I10" s="343">
        <f t="shared" si="0"/>
        <v>1</v>
      </c>
      <c r="M10" s="99"/>
      <c r="N10" s="99"/>
      <c r="O10" s="99"/>
    </row>
    <row r="11" spans="2:15" s="7" customFormat="1" x14ac:dyDescent="0.2">
      <c r="C11" s="344"/>
      <c r="D11" s="344"/>
      <c r="E11" s="343">
        <f>ROUND((C6+D6+E6+H6)/$B$9,4)</f>
        <v>0</v>
      </c>
      <c r="F11" s="344"/>
      <c r="G11" s="343">
        <f>G10</f>
        <v>1</v>
      </c>
      <c r="I11" s="343">
        <f t="shared" si="0"/>
        <v>1</v>
      </c>
      <c r="M11" s="99"/>
      <c r="N11" s="99"/>
      <c r="O11" s="99"/>
    </row>
    <row r="12" spans="2:15" s="7" customFormat="1" x14ac:dyDescent="0.2">
      <c r="E12" s="34"/>
      <c r="G12" s="34"/>
      <c r="H12" s="34"/>
      <c r="I12" s="34"/>
      <c r="M12" s="99"/>
      <c r="N12" s="99"/>
      <c r="O12" s="99"/>
    </row>
    <row r="13" spans="2:15" s="7" customFormat="1" x14ac:dyDescent="0.2">
      <c r="M13" s="99"/>
      <c r="N13" s="99"/>
      <c r="O13" s="99"/>
    </row>
    <row r="14" spans="2:15" s="7" customFormat="1" x14ac:dyDescent="0.2">
      <c r="M14" s="99"/>
      <c r="N14" s="99"/>
      <c r="O14" s="99"/>
    </row>
    <row r="15" spans="2:15" s="7" customFormat="1" x14ac:dyDescent="0.2">
      <c r="M15" s="99"/>
      <c r="N15" s="99"/>
      <c r="O15" s="99"/>
    </row>
    <row r="16" spans="2:15" s="7" customFormat="1" x14ac:dyDescent="0.2">
      <c r="C16" s="98" t="s">
        <v>176</v>
      </c>
      <c r="M16" s="99"/>
      <c r="N16" s="99"/>
      <c r="O16" s="99"/>
    </row>
    <row r="17" spans="1:15" s="7" customFormat="1" ht="33.75" x14ac:dyDescent="0.2">
      <c r="B17" s="446"/>
      <c r="C17" s="35" t="s">
        <v>177</v>
      </c>
      <c r="D17" s="35" t="s">
        <v>178</v>
      </c>
      <c r="E17" s="35" t="s">
        <v>179</v>
      </c>
      <c r="F17" s="35" t="s">
        <v>180</v>
      </c>
      <c r="G17" s="35" t="s">
        <v>181</v>
      </c>
      <c r="M17" s="99"/>
      <c r="N17" s="99"/>
      <c r="O17" s="99"/>
    </row>
    <row r="18" spans="1:15" s="7" customFormat="1" x14ac:dyDescent="0.2">
      <c r="B18" s="446"/>
      <c r="C18" s="35"/>
      <c r="D18" s="35"/>
      <c r="E18" s="35"/>
      <c r="F18" s="35"/>
      <c r="G18" s="35"/>
      <c r="M18" s="99"/>
      <c r="N18" s="99"/>
      <c r="O18" s="99"/>
    </row>
    <row r="19" spans="1:15" s="7" customFormat="1" x14ac:dyDescent="0.2">
      <c r="C19" s="35"/>
      <c r="D19" s="35"/>
      <c r="E19" s="35"/>
      <c r="F19" s="35"/>
      <c r="G19" s="35"/>
      <c r="M19" s="99"/>
      <c r="N19" s="99"/>
      <c r="O19" s="99"/>
    </row>
    <row r="20" spans="1:15" s="7" customFormat="1" x14ac:dyDescent="0.2">
      <c r="C20" s="35"/>
      <c r="D20" s="35"/>
      <c r="E20" s="35"/>
      <c r="F20" s="35"/>
      <c r="G20" s="35"/>
      <c r="M20" s="99"/>
      <c r="N20" s="99"/>
      <c r="O20" s="99"/>
    </row>
    <row r="21" spans="1:15" s="7" customFormat="1" x14ac:dyDescent="0.2">
      <c r="B21" s="35"/>
      <c r="C21" s="35"/>
      <c r="D21" s="35"/>
      <c r="E21" s="35"/>
      <c r="F21" s="35"/>
      <c r="M21" s="99"/>
      <c r="N21" s="99"/>
      <c r="O21" s="99"/>
    </row>
    <row r="22" spans="1:15" s="7" customFormat="1" x14ac:dyDescent="0.2">
      <c r="B22" s="35"/>
      <c r="C22" s="100" t="s">
        <v>162</v>
      </c>
      <c r="D22" s="81"/>
      <c r="E22" s="35"/>
      <c r="F22" s="35"/>
      <c r="M22" s="99"/>
      <c r="N22" s="99"/>
      <c r="O22" s="99"/>
    </row>
    <row r="23" spans="1:15" s="7" customFormat="1" x14ac:dyDescent="0.2">
      <c r="M23" s="99"/>
      <c r="N23" s="99"/>
      <c r="O23" s="99"/>
    </row>
    <row r="24" spans="1:15" s="7" customFormat="1" x14ac:dyDescent="0.2">
      <c r="C24" s="88" t="s">
        <v>18</v>
      </c>
      <c r="D24" s="88" t="s">
        <v>187</v>
      </c>
      <c r="E24" s="88" t="s">
        <v>197</v>
      </c>
      <c r="F24" s="88" t="s">
        <v>196</v>
      </c>
      <c r="G24" s="88" t="s">
        <v>194</v>
      </c>
      <c r="H24" s="88" t="s">
        <v>195</v>
      </c>
      <c r="I24" s="88"/>
      <c r="J24" s="88" t="s">
        <v>198</v>
      </c>
      <c r="K24" s="88" t="s">
        <v>199</v>
      </c>
      <c r="L24" s="88" t="s">
        <v>193</v>
      </c>
      <c r="M24" s="88" t="s">
        <v>115</v>
      </c>
      <c r="N24" s="88" t="s">
        <v>114</v>
      </c>
      <c r="O24" s="88" t="s">
        <v>113</v>
      </c>
    </row>
    <row r="25" spans="1:15" s="7" customFormat="1" x14ac:dyDescent="0.2">
      <c r="A25" s="101"/>
      <c r="C25" s="89"/>
      <c r="D25" s="89"/>
      <c r="E25" s="89"/>
      <c r="F25" s="89"/>
      <c r="G25" s="89"/>
      <c r="H25" s="89"/>
      <c r="I25" s="89"/>
      <c r="J25" s="89"/>
      <c r="K25" s="89"/>
      <c r="L25" s="89"/>
      <c r="M25" s="89"/>
      <c r="N25" s="89"/>
      <c r="O25" s="90"/>
    </row>
    <row r="26" spans="1:15" s="7" customFormat="1" x14ac:dyDescent="0.2">
      <c r="A26" s="101"/>
      <c r="C26" s="89"/>
      <c r="D26" s="89"/>
      <c r="E26" s="89"/>
      <c r="F26" s="89"/>
      <c r="G26" s="89"/>
      <c r="H26" s="89"/>
      <c r="I26" s="89"/>
      <c r="J26" s="89"/>
      <c r="K26" s="89"/>
      <c r="L26" s="89"/>
      <c r="M26" s="89"/>
      <c r="N26" s="89"/>
      <c r="O26" s="90"/>
    </row>
    <row r="27" spans="1:15" s="7" customFormat="1" x14ac:dyDescent="0.2">
      <c r="A27" s="101"/>
      <c r="C27" s="58" t="s">
        <v>821</v>
      </c>
      <c r="D27" s="59" t="s">
        <v>188</v>
      </c>
      <c r="E27" s="91">
        <v>0</v>
      </c>
      <c r="F27" s="91">
        <v>1000000000000</v>
      </c>
      <c r="G27" s="91">
        <v>-100000000000000</v>
      </c>
      <c r="H27" s="91">
        <v>1000000000000000</v>
      </c>
      <c r="I27" s="91"/>
      <c r="J27" s="91">
        <v>-10000</v>
      </c>
      <c r="K27" s="91">
        <v>1000000000000</v>
      </c>
      <c r="L27" s="471">
        <f>KB_Mesotheliom!O12</f>
        <v>0</v>
      </c>
      <c r="M27" s="93">
        <f>IF(KB_Mesotheliom!P12=Berechnung1_Mesotheliom!$H$5,5,IF(KB_Mesotheliom!P12=Berechnung1_Mesotheliom!$G$5,1,IF(KB_Mesotheliom!P12=Berechnung1_Mesotheliom!$F$5,1,IF(KB_Mesotheliom!P12=Berechnung1_Mesotheliom!$E$5,2,IF(KB_Mesotheliom!P12=Berechnung1_Mesotheliom!$D$5,3,IF(KB_Mesotheliom!P12=Berechnung1_Mesotheliom!$C$5,4,""))))))</f>
        <v>1</v>
      </c>
      <c r="N27" s="93">
        <f>IF(M27&gt;1,M27+3,M27)</f>
        <v>1</v>
      </c>
      <c r="O27" s="93">
        <f>IF(KB_Mesotheliom!R12="",0,1)</f>
        <v>0</v>
      </c>
    </row>
    <row r="28" spans="1:15" s="7" customFormat="1" x14ac:dyDescent="0.2">
      <c r="A28" s="101"/>
      <c r="C28" s="94"/>
      <c r="D28" s="95"/>
      <c r="E28" s="96"/>
      <c r="F28" s="96"/>
      <c r="G28" s="96"/>
      <c r="H28" s="96"/>
      <c r="I28" s="96"/>
      <c r="J28" s="96"/>
      <c r="K28" s="96"/>
      <c r="L28" s="96"/>
      <c r="M28" s="96"/>
      <c r="N28" s="96"/>
      <c r="O28" s="97"/>
    </row>
    <row r="29" spans="1:15" s="7" customFormat="1" x14ac:dyDescent="0.2">
      <c r="A29" s="101"/>
      <c r="C29" s="94"/>
      <c r="D29" s="95"/>
      <c r="E29" s="96"/>
      <c r="F29" s="96"/>
      <c r="G29" s="96"/>
      <c r="H29" s="96"/>
      <c r="I29" s="96"/>
      <c r="J29" s="96"/>
      <c r="K29" s="96"/>
      <c r="L29" s="96"/>
      <c r="M29" s="96"/>
      <c r="N29" s="96"/>
      <c r="O29" s="97"/>
    </row>
    <row r="30" spans="1:15" ht="12.75" customHeight="1" x14ac:dyDescent="0.2">
      <c r="B30" s="7"/>
      <c r="C30" s="474" t="s">
        <v>822</v>
      </c>
      <c r="D30" s="474" t="s">
        <v>188</v>
      </c>
      <c r="E30" s="469">
        <v>0</v>
      </c>
      <c r="F30" s="469">
        <v>1000000000000</v>
      </c>
      <c r="G30" s="470">
        <v>-100000000000000</v>
      </c>
      <c r="H30" s="470">
        <v>1000000000000000</v>
      </c>
      <c r="I30" s="474"/>
      <c r="J30" s="475">
        <v>-10000</v>
      </c>
      <c r="K30" s="469">
        <v>1000000000000</v>
      </c>
      <c r="L30" s="472">
        <f>KB_Mesotheliom!O15</f>
        <v>0</v>
      </c>
      <c r="M30" s="476">
        <f>IF(KB_Mesotheliom!P15=Berechnung1_Mesotheliom!$H$5,5,IF(KB_Mesotheliom!P15=Berechnung1_Mesotheliom!$G$5,1,IF(KB_Mesotheliom!P15=Berechnung1_Mesotheliom!$F$5,1,IF(KB_Mesotheliom!P15=Berechnung1_Mesotheliom!$E$5,2,IF(KB_Mesotheliom!P15=Berechnung1_Mesotheliom!$D$5,3,IF(KB_Mesotheliom!P15=Berechnung1_Mesotheliom!$C$5,4,""))))))</f>
        <v>1</v>
      </c>
      <c r="N30" s="474">
        <f>IF(M30&gt;1,M30+3,M30)</f>
        <v>1</v>
      </c>
      <c r="O30" s="474">
        <f>IF(KB_Mesotheliom!R15="",0,1)</f>
        <v>0</v>
      </c>
    </row>
    <row r="31" spans="1:15" s="7" customFormat="1" x14ac:dyDescent="0.2">
      <c r="A31" s="101"/>
      <c r="C31" s="94"/>
      <c r="D31" s="95"/>
      <c r="E31" s="96"/>
      <c r="F31" s="96"/>
      <c r="G31" s="96"/>
      <c r="H31" s="96"/>
      <c r="I31" s="96"/>
      <c r="J31" s="96"/>
      <c r="K31" s="96"/>
      <c r="L31" s="96"/>
      <c r="M31" s="96"/>
      <c r="N31" s="96"/>
      <c r="O31" s="97"/>
    </row>
    <row r="32" spans="1:15" s="7" customFormat="1" x14ac:dyDescent="0.2">
      <c r="A32" s="101"/>
      <c r="C32" s="94"/>
      <c r="D32" s="95"/>
      <c r="E32" s="96"/>
      <c r="F32" s="96"/>
      <c r="G32" s="96"/>
      <c r="H32" s="96"/>
      <c r="I32" s="96"/>
      <c r="J32" s="96"/>
      <c r="K32" s="96"/>
      <c r="L32" s="96"/>
      <c r="M32" s="96"/>
      <c r="N32" s="96"/>
      <c r="O32" s="97"/>
    </row>
    <row r="33" spans="1:15" s="7" customFormat="1" x14ac:dyDescent="0.2">
      <c r="A33" s="101"/>
      <c r="C33" s="58" t="s">
        <v>862</v>
      </c>
      <c r="D33" s="59" t="s">
        <v>188</v>
      </c>
      <c r="E33" s="91">
        <v>0</v>
      </c>
      <c r="F33" s="469">
        <v>1000000000000</v>
      </c>
      <c r="G33" s="473">
        <v>12</v>
      </c>
      <c r="H33" s="470">
        <v>1000000000000000</v>
      </c>
      <c r="I33" s="91"/>
      <c r="J33" s="91">
        <v>-10000</v>
      </c>
      <c r="K33" s="91">
        <v>1000000000000</v>
      </c>
      <c r="L33" s="471">
        <f>KB_Mesotheliom!O18</f>
        <v>0</v>
      </c>
      <c r="M33" s="93">
        <f>IF(KB_Mesotheliom!P18=Berechnung1_Mesotheliom!$G$5,1,IF(KB_Mesotheliom!P18=Berechnung1_Mesotheliom!$F$5,1,IF(KB_Mesotheliom!P18=Berechnung1_Mesotheliom!$E$5,2,IF(KB_Mesotheliom!P18=Berechnung1_Mesotheliom!$D$5,3,IF(KB_Mesotheliom!P18=Berechnung1_Mesotheliom!$C$5,4,"")))))</f>
        <v>1</v>
      </c>
      <c r="N33" s="93">
        <f>IF(M33&gt;1,M33+3,M33)</f>
        <v>1</v>
      </c>
      <c r="O33" s="93">
        <f>IF(KB_Mesotheliom!R18="",0,1)</f>
        <v>0</v>
      </c>
    </row>
    <row r="34" spans="1:15" s="7" customFormat="1" x14ac:dyDescent="0.2">
      <c r="A34" s="101"/>
      <c r="C34" s="31"/>
      <c r="D34" s="31"/>
      <c r="E34" s="31"/>
      <c r="F34" s="31"/>
      <c r="G34" s="31"/>
      <c r="H34" s="31"/>
      <c r="I34" s="31"/>
      <c r="J34" s="31"/>
      <c r="K34" s="31"/>
      <c r="L34" s="31"/>
      <c r="M34" s="31"/>
      <c r="N34" s="31"/>
      <c r="O34" s="31"/>
    </row>
    <row r="35" spans="1:15" s="7" customFormat="1" x14ac:dyDescent="0.2">
      <c r="A35" s="101"/>
      <c r="C35" s="94"/>
      <c r="D35" s="95"/>
      <c r="E35" s="96"/>
      <c r="F35" s="96"/>
      <c r="G35" s="96"/>
      <c r="H35" s="96"/>
      <c r="I35" s="96"/>
      <c r="J35" s="96"/>
      <c r="K35" s="96"/>
      <c r="L35" s="96"/>
      <c r="M35" s="96"/>
      <c r="N35" s="96"/>
      <c r="O35" s="97"/>
    </row>
    <row r="36" spans="1:15" s="7" customFormat="1" x14ac:dyDescent="0.2">
      <c r="A36" s="101"/>
      <c r="C36" s="58" t="s">
        <v>885</v>
      </c>
      <c r="D36" s="59" t="s">
        <v>188</v>
      </c>
      <c r="E36" s="91">
        <v>0</v>
      </c>
      <c r="F36" s="91">
        <v>1000000000000</v>
      </c>
      <c r="G36" s="91">
        <v>-100000000000000</v>
      </c>
      <c r="H36" s="91">
        <v>1000000000000</v>
      </c>
      <c r="I36" s="91"/>
      <c r="J36" s="91">
        <v>-10000</v>
      </c>
      <c r="K36" s="91">
        <v>1000000000000</v>
      </c>
      <c r="L36" s="471">
        <f>KB_Mesotheliom!O21</f>
        <v>0</v>
      </c>
      <c r="M36" s="93">
        <f>IF(KB_Mesotheliom!P21=Berechnung1_Mesotheliom!$G$5,1,IF(KB_Mesotheliom!P21=Berechnung1_Mesotheliom!$F$5,1,IF(KB_Mesotheliom!P21=Berechnung1_Mesotheliom!$E$5,2,IF(KB_Mesotheliom!P21=Berechnung1_Mesotheliom!$D$5,3,IF(KB_Mesotheliom!P21=Berechnung1_Mesotheliom!$C$5,4,"")))))</f>
        <v>1</v>
      </c>
      <c r="N36" s="93">
        <f>IF(M36&gt;1,M36+3,M36)</f>
        <v>1</v>
      </c>
      <c r="O36" s="93">
        <f>IF(KB_Mesotheliom!R21="",0,1)</f>
        <v>0</v>
      </c>
    </row>
    <row r="37" spans="1:15" s="7" customFormat="1" x14ac:dyDescent="0.2">
      <c r="A37" s="101"/>
      <c r="C37" s="31"/>
      <c r="D37" s="31"/>
      <c r="E37" s="31"/>
      <c r="F37" s="31"/>
      <c r="G37" s="96"/>
      <c r="H37" s="31"/>
      <c r="I37" s="31"/>
      <c r="J37" s="31"/>
      <c r="K37" s="31"/>
      <c r="L37" s="31"/>
      <c r="M37" s="31"/>
      <c r="N37" s="31"/>
      <c r="O37" s="31"/>
    </row>
    <row r="38" spans="1:15" s="7" customFormat="1" x14ac:dyDescent="0.2">
      <c r="A38" s="101"/>
      <c r="C38" s="94"/>
      <c r="D38" s="95"/>
      <c r="E38" s="96"/>
      <c r="F38" s="96"/>
      <c r="G38" s="96"/>
      <c r="H38" s="96"/>
      <c r="I38" s="96"/>
      <c r="J38" s="96"/>
      <c r="K38" s="96"/>
      <c r="L38" s="96"/>
      <c r="M38" s="96"/>
      <c r="N38" s="96"/>
      <c r="O38" s="97"/>
    </row>
    <row r="39" spans="1:15" s="7" customFormat="1" x14ac:dyDescent="0.2">
      <c r="A39" s="101"/>
      <c r="C39" s="58">
        <v>3</v>
      </c>
      <c r="D39" s="59" t="s">
        <v>188</v>
      </c>
      <c r="E39" s="91">
        <v>0</v>
      </c>
      <c r="F39" s="91">
        <v>1</v>
      </c>
      <c r="G39" s="91">
        <v>0.9</v>
      </c>
      <c r="H39" s="91">
        <v>10000</v>
      </c>
      <c r="I39" s="91"/>
      <c r="J39" s="91">
        <v>-10000</v>
      </c>
      <c r="K39" s="91">
        <v>1000000</v>
      </c>
      <c r="L39" s="91" t="str">
        <f>KB_Mesotheliom!O26</f>
        <v>n.d.</v>
      </c>
      <c r="M39" s="93">
        <f>IF(KB_Mesotheliom!P24=Berechnung1_Mesotheliom!$G$5,1,IF(KB_Mesotheliom!P24=Berechnung1_Mesotheliom!$F$5,1,IF(KB_Mesotheliom!P24=Berechnung1_Mesotheliom!$E$5,2,IF(KB_Mesotheliom!P24=Berechnung1_Mesotheliom!$D$5,3,IF(KB_Mesotheliom!P24=Berechnung1_Mesotheliom!$C$5,4,"")))))</f>
        <v>1</v>
      </c>
      <c r="N39" s="93">
        <f>IF(M39&gt;1,M39+3,M39)</f>
        <v>1</v>
      </c>
      <c r="O39" s="93">
        <f>IF(KB_Mesotheliom!R24="",0,1)</f>
        <v>0</v>
      </c>
    </row>
    <row r="40" spans="1:15" s="7" customFormat="1" x14ac:dyDescent="0.2">
      <c r="A40" s="101"/>
      <c r="C40" s="94"/>
      <c r="D40" s="95"/>
      <c r="E40" s="96"/>
      <c r="F40" s="96"/>
      <c r="G40" s="96"/>
      <c r="H40" s="96"/>
      <c r="I40" s="96"/>
      <c r="J40" s="96"/>
      <c r="K40" s="96"/>
      <c r="L40" s="96"/>
      <c r="M40" s="96"/>
      <c r="N40" s="96"/>
      <c r="O40" s="97"/>
    </row>
    <row r="41" spans="1:15" s="7" customFormat="1" x14ac:dyDescent="0.2">
      <c r="A41" s="101"/>
      <c r="C41" s="94"/>
      <c r="D41" s="95"/>
      <c r="E41" s="96"/>
      <c r="F41" s="96"/>
      <c r="G41" s="96"/>
      <c r="H41" s="96"/>
      <c r="I41" s="96"/>
      <c r="J41" s="96"/>
      <c r="K41" s="96"/>
      <c r="L41" s="96"/>
      <c r="M41" s="96"/>
      <c r="N41" s="96"/>
      <c r="O41" s="97"/>
    </row>
    <row r="42" spans="1:15" s="7" customFormat="1" x14ac:dyDescent="0.2">
      <c r="A42" s="101"/>
      <c r="C42" s="59">
        <v>4</v>
      </c>
      <c r="D42" s="59" t="s">
        <v>188</v>
      </c>
      <c r="E42" s="91">
        <v>0</v>
      </c>
      <c r="F42" s="91">
        <v>1</v>
      </c>
      <c r="G42" s="91">
        <v>0.9</v>
      </c>
      <c r="H42" s="91">
        <v>10000</v>
      </c>
      <c r="I42" s="91"/>
      <c r="J42" s="91">
        <v>-10000</v>
      </c>
      <c r="K42" s="91">
        <v>1000000</v>
      </c>
      <c r="L42" s="91" t="str">
        <f>KB_Mesotheliom!O29</f>
        <v>n.d.</v>
      </c>
      <c r="M42" s="93">
        <f>IF(KB_Mesotheliom!P27=Berechnung1_Mesotheliom!$G$5,1,IF(KB_Mesotheliom!P27=Berechnung1_Mesotheliom!$F$5,1,IF(KB_Mesotheliom!P27=Berechnung1_Mesotheliom!$E$5,2,IF(KB_Mesotheliom!P27=Berechnung1_Mesotheliom!$D$5,3,IF(KB_Mesotheliom!P27=Berechnung1_Mesotheliom!$C$5,4,"")))))</f>
        <v>1</v>
      </c>
      <c r="N42" s="93">
        <f>IF(M42&gt;1,M42+3,M42)</f>
        <v>1</v>
      </c>
      <c r="O42" s="93">
        <f>IF(KB_Mesotheliom!R27="",0,1)</f>
        <v>0</v>
      </c>
    </row>
    <row r="43" spans="1:15" s="7" customFormat="1" x14ac:dyDescent="0.2">
      <c r="A43" s="101"/>
      <c r="C43" s="94"/>
      <c r="D43" s="95"/>
      <c r="E43" s="96"/>
      <c r="F43" s="96"/>
      <c r="G43" s="96"/>
      <c r="H43" s="96"/>
      <c r="I43" s="96"/>
      <c r="J43" s="96"/>
      <c r="K43" s="96"/>
      <c r="L43" s="96"/>
      <c r="M43" s="96"/>
      <c r="N43" s="96"/>
      <c r="O43" s="97"/>
    </row>
    <row r="44" spans="1:15" s="7" customFormat="1" x14ac:dyDescent="0.2">
      <c r="A44" s="101"/>
      <c r="C44" s="94"/>
      <c r="D44" s="95"/>
      <c r="E44" s="96"/>
      <c r="F44" s="96"/>
      <c r="G44" s="96"/>
      <c r="H44" s="96"/>
      <c r="I44" s="96"/>
      <c r="J44" s="96"/>
      <c r="K44" s="96"/>
      <c r="L44" s="96"/>
      <c r="M44" s="96"/>
      <c r="N44" s="96"/>
      <c r="O44" s="97"/>
    </row>
    <row r="45" spans="1:15" s="7" customFormat="1" x14ac:dyDescent="0.2">
      <c r="A45" s="101"/>
      <c r="B45" s="7" t="s">
        <v>1028</v>
      </c>
      <c r="C45" s="516">
        <v>5</v>
      </c>
      <c r="D45" s="516" t="s">
        <v>188</v>
      </c>
      <c r="E45" s="517">
        <v>0</v>
      </c>
      <c r="F45" s="517">
        <v>1</v>
      </c>
      <c r="G45" s="517">
        <v>0.65</v>
      </c>
      <c r="H45" s="517">
        <v>10000</v>
      </c>
      <c r="I45" s="517"/>
      <c r="J45" s="517">
        <v>-10000</v>
      </c>
      <c r="K45" s="517">
        <v>1000000</v>
      </c>
      <c r="L45" s="517" t="str">
        <f>KB_Mesotheliom!O32</f>
        <v>n.d.</v>
      </c>
      <c r="M45" s="518">
        <f>IF(KB_Mesotheliom!P30=Berechnung1_Mesotheliom!$G$17,1,IF(KB_Mesotheliom!P30=Berechnung1_Mesotheliom!$F$17,1,IF(KB_Mesotheliom!P30=Berechnung1_Mesotheliom!$E$17,2,IF(KB_Mesotheliom!P30=Berechnung1_Mesotheliom!$D$17,3,IF(KB_Mesotheliom!P30=Berechnung1_Mesotheliom!$C$17,4,"")))))</f>
        <v>1</v>
      </c>
      <c r="N45" s="518">
        <f>IF(M45&gt;1,M45+3,M45)</f>
        <v>1</v>
      </c>
      <c r="O45" s="518">
        <f>IF(KB_Mesotheliom!R30="",0,1)</f>
        <v>0</v>
      </c>
    </row>
    <row r="46" spans="1:15" s="7" customFormat="1" x14ac:dyDescent="0.2">
      <c r="A46" s="101"/>
      <c r="C46" s="94"/>
      <c r="D46" s="95"/>
      <c r="E46" s="96"/>
      <c r="F46" s="96"/>
      <c r="G46" s="96"/>
      <c r="H46" s="96"/>
      <c r="I46" s="96"/>
      <c r="J46" s="96"/>
      <c r="K46" s="96"/>
      <c r="L46" s="96"/>
      <c r="M46" s="96"/>
      <c r="N46" s="96"/>
      <c r="O46" s="97"/>
    </row>
    <row r="47" spans="1:15" s="7" customFormat="1" x14ac:dyDescent="0.2">
      <c r="A47" s="101"/>
      <c r="C47" s="94"/>
      <c r="D47" s="95"/>
      <c r="E47" s="96"/>
      <c r="F47" s="96"/>
      <c r="G47" s="96"/>
      <c r="H47" s="96"/>
      <c r="I47" s="96"/>
      <c r="J47" s="96"/>
      <c r="K47" s="96"/>
      <c r="L47" s="96"/>
      <c r="M47" s="96"/>
      <c r="N47" s="96"/>
      <c r="O47" s="97"/>
    </row>
    <row r="48" spans="1:15" s="7" customFormat="1" x14ac:dyDescent="0.2">
      <c r="A48" s="101"/>
      <c r="C48" s="59">
        <v>6</v>
      </c>
      <c r="D48" s="59" t="s">
        <v>188</v>
      </c>
      <c r="E48" s="91">
        <v>0</v>
      </c>
      <c r="F48" s="91">
        <v>1000000000000</v>
      </c>
      <c r="G48" s="91">
        <v>-10000</v>
      </c>
      <c r="H48" s="91">
        <v>10000</v>
      </c>
      <c r="I48" s="91"/>
      <c r="J48" s="91">
        <v>0.5</v>
      </c>
      <c r="K48" s="91">
        <v>10000</v>
      </c>
      <c r="L48" s="91" t="str">
        <f>KB_Mesotheliom!O35</f>
        <v>n.d.</v>
      </c>
      <c r="M48" s="93">
        <f>IF(KB_Mesotheliom!P33=Berechnung1_Mesotheliom!$G$5,1,IF(KB_Mesotheliom!P33=Berechnung1_Mesotheliom!$F$5,1,IF(KB_Mesotheliom!P33=Berechnung1_Mesotheliom!$E$5,2,IF(KB_Mesotheliom!P33=Berechnung1_Mesotheliom!$D$5,3,IF(KB_Mesotheliom!P33=Berechnung1_Mesotheliom!$C$5,4,"")))))</f>
        <v>1</v>
      </c>
      <c r="N48" s="93">
        <f>IF(M48&gt;1,M48+3,M48)</f>
        <v>1</v>
      </c>
      <c r="O48" s="93">
        <f>IF(KB_Mesotheliom!R33="",0,1)</f>
        <v>0</v>
      </c>
    </row>
    <row r="49" spans="1:15" s="7" customFormat="1" x14ac:dyDescent="0.2">
      <c r="A49" s="101"/>
      <c r="C49" s="94"/>
      <c r="D49" s="95"/>
      <c r="E49" s="96"/>
      <c r="F49" s="96"/>
      <c r="G49" s="96"/>
      <c r="H49" s="96"/>
      <c r="I49" s="96"/>
      <c r="J49" s="96"/>
      <c r="K49" s="96"/>
      <c r="L49" s="96"/>
      <c r="M49" s="96"/>
      <c r="N49" s="96"/>
      <c r="O49" s="97"/>
    </row>
    <row r="50" spans="1:15" s="7" customFormat="1" x14ac:dyDescent="0.2">
      <c r="A50" s="101"/>
      <c r="C50" s="94"/>
      <c r="D50" s="95"/>
      <c r="E50" s="96"/>
      <c r="F50" s="96"/>
      <c r="G50" s="96"/>
      <c r="H50" s="96"/>
      <c r="I50" s="96"/>
      <c r="J50" s="96"/>
      <c r="K50" s="96"/>
      <c r="L50" s="96"/>
      <c r="M50" s="96"/>
      <c r="N50" s="96"/>
      <c r="O50" s="97"/>
    </row>
    <row r="51" spans="1:15" s="7" customFormat="1" x14ac:dyDescent="0.2">
      <c r="A51" s="101"/>
      <c r="C51" s="59">
        <v>7</v>
      </c>
      <c r="D51" s="59" t="s">
        <v>188</v>
      </c>
      <c r="E51" s="91">
        <v>0</v>
      </c>
      <c r="F51" s="91">
        <v>1000000000000</v>
      </c>
      <c r="G51" s="92">
        <v>1</v>
      </c>
      <c r="H51" s="91">
        <v>1000000000000000</v>
      </c>
      <c r="I51" s="91"/>
      <c r="J51" s="91">
        <v>-10000</v>
      </c>
      <c r="K51" s="91">
        <v>1000000000000</v>
      </c>
      <c r="L51" s="471">
        <f>KB_Mesotheliom!O36</f>
        <v>0</v>
      </c>
      <c r="M51" s="93">
        <f>IF(KB_Mesotheliom!P36=Berechnung1_Mesotheliom!$H$5,5,IF(KB_Mesotheliom!P36=Berechnung1_Mesotheliom!$G$5,1,IF(KB_Mesotheliom!P36=Berechnung1_Mesotheliom!$F$5,1,IF(KB_Mesotheliom!P36=Berechnung1_Mesotheliom!$E$5,2,IF(KB_Mesotheliom!P36=Berechnung1_Mesotheliom!$D$5,3,IF(KB_Mesotheliom!P36=Berechnung1_Mesotheliom!$C$5,4,""))))))</f>
        <v>1</v>
      </c>
      <c r="N51" s="93">
        <f>IF(M51&gt;1,M51+3,M51)</f>
        <v>1</v>
      </c>
      <c r="O51" s="93">
        <f>IF(KB_Mesotheliom!R36="",0,1)</f>
        <v>0</v>
      </c>
    </row>
    <row r="52" spans="1:15" s="7" customFormat="1" x14ac:dyDescent="0.2">
      <c r="A52" s="101"/>
      <c r="C52" s="94"/>
      <c r="D52" s="95"/>
      <c r="E52" s="96"/>
      <c r="F52" s="96"/>
      <c r="G52" s="96"/>
      <c r="H52" s="96"/>
      <c r="I52" s="96"/>
      <c r="J52" s="96"/>
      <c r="K52" s="96"/>
      <c r="L52" s="96"/>
      <c r="M52" s="96"/>
      <c r="N52" s="96"/>
      <c r="O52" s="97"/>
    </row>
    <row r="53" spans="1:15" s="7" customFormat="1" x14ac:dyDescent="0.2">
      <c r="A53" s="101"/>
      <c r="C53" s="94"/>
      <c r="D53" s="95"/>
      <c r="E53" s="96"/>
      <c r="F53" s="96"/>
      <c r="G53" s="96"/>
      <c r="H53" s="96"/>
      <c r="I53" s="96"/>
      <c r="J53" s="96"/>
      <c r="K53" s="96"/>
      <c r="L53" s="96"/>
      <c r="M53" s="96"/>
      <c r="N53" s="96"/>
      <c r="O53" s="97"/>
    </row>
  </sheetData>
  <pageMargins left="0.7" right="0.7" top="0.78740157499999996" bottom="0.78740157499999996" header="0.3" footer="0.3"/>
  <pageSetup paperSize="9" orientation="portrait" horizontalDpi="200"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0"/>
  <dimension ref="A1:D47"/>
  <sheetViews>
    <sheetView workbookViewId="0">
      <selection activeCell="A52" sqref="A52"/>
    </sheetView>
  </sheetViews>
  <sheetFormatPr defaultColWidth="11.42578125" defaultRowHeight="15" x14ac:dyDescent="0.25"/>
  <cols>
    <col min="1" max="1" width="14.7109375" style="232" customWidth="1"/>
    <col min="2" max="2" width="18.7109375" style="232" customWidth="1"/>
    <col min="3" max="3" width="56.28515625" style="213" customWidth="1"/>
    <col min="4" max="4" width="68.5703125" style="213" customWidth="1"/>
  </cols>
  <sheetData>
    <row r="1" spans="1:4" ht="24" x14ac:dyDescent="0.25">
      <c r="A1" s="229" t="s">
        <v>218</v>
      </c>
      <c r="B1" s="231" t="s">
        <v>467</v>
      </c>
      <c r="C1" s="231" t="s">
        <v>112</v>
      </c>
      <c r="D1" s="229" t="s">
        <v>413</v>
      </c>
    </row>
    <row r="2" spans="1:4" x14ac:dyDescent="0.25">
      <c r="A2" s="232" t="str">
        <f ca="1">Berechnung3!L2</f>
        <v/>
      </c>
      <c r="B2" s="232" t="str">
        <f ca="1">Berechnung3!N2</f>
        <v/>
      </c>
      <c r="C2" s="213" t="str">
        <f ca="1">Berechnung3!O2</f>
        <v/>
      </c>
      <c r="D2" s="213" t="str">
        <f ca="1">Berechnung3!P2</f>
        <v/>
      </c>
    </row>
    <row r="3" spans="1:4" x14ac:dyDescent="0.25">
      <c r="A3" s="232" t="str">
        <f ca="1">Berechnung3!L3</f>
        <v/>
      </c>
      <c r="B3" s="232" t="str">
        <f ca="1">Berechnung3!N3</f>
        <v/>
      </c>
      <c r="C3" s="213" t="str">
        <f ca="1">Berechnung3!O3</f>
        <v/>
      </c>
      <c r="D3" s="213" t="str">
        <f ca="1">Berechnung3!P3</f>
        <v/>
      </c>
    </row>
    <row r="4" spans="1:4" x14ac:dyDescent="0.25">
      <c r="A4" s="232" t="str">
        <f ca="1">Berechnung3!L4</f>
        <v/>
      </c>
      <c r="B4" s="232" t="str">
        <f ca="1">Berechnung3!N4</f>
        <v/>
      </c>
      <c r="C4" s="213" t="str">
        <f ca="1">Berechnung3!O4</f>
        <v/>
      </c>
      <c r="D4" s="213" t="str">
        <f ca="1">Berechnung3!P4</f>
        <v/>
      </c>
    </row>
    <row r="5" spans="1:4" x14ac:dyDescent="0.25">
      <c r="A5" s="232" t="str">
        <f ca="1">Berechnung3!L5</f>
        <v/>
      </c>
      <c r="B5" s="232" t="str">
        <f ca="1">Berechnung3!N5</f>
        <v/>
      </c>
      <c r="C5" s="213" t="str">
        <f ca="1">Berechnung3!O5</f>
        <v/>
      </c>
      <c r="D5" s="213" t="str">
        <f ca="1">Berechnung3!P5</f>
        <v/>
      </c>
    </row>
    <row r="6" spans="1:4" x14ac:dyDescent="0.25">
      <c r="A6" s="232" t="str">
        <f ca="1">Berechnung3!L6</f>
        <v/>
      </c>
      <c r="B6" s="232" t="str">
        <f ca="1">Berechnung3!N6</f>
        <v/>
      </c>
      <c r="C6" s="213" t="str">
        <f ca="1">Berechnung3!O6</f>
        <v/>
      </c>
      <c r="D6" s="213" t="str">
        <f ca="1">Berechnung3!P6</f>
        <v/>
      </c>
    </row>
    <row r="7" spans="1:4" x14ac:dyDescent="0.25">
      <c r="A7" s="232" t="str">
        <f ca="1">Berechnung3!L7</f>
        <v/>
      </c>
      <c r="B7" s="232" t="str">
        <f ca="1">Berechnung3!N7</f>
        <v/>
      </c>
      <c r="C7" s="213" t="str">
        <f ca="1">Berechnung3!O7</f>
        <v/>
      </c>
      <c r="D7" s="213" t="str">
        <f ca="1">Berechnung3!P7</f>
        <v/>
      </c>
    </row>
    <row r="8" spans="1:4" x14ac:dyDescent="0.25">
      <c r="A8" s="232" t="str">
        <f ca="1">Berechnung3!L8</f>
        <v/>
      </c>
      <c r="B8" s="232" t="str">
        <f ca="1">Berechnung3!N8</f>
        <v/>
      </c>
      <c r="C8" s="213" t="str">
        <f ca="1">Berechnung3!O8</f>
        <v/>
      </c>
      <c r="D8" s="213" t="str">
        <f ca="1">Berechnung3!P8</f>
        <v/>
      </c>
    </row>
    <row r="9" spans="1:4" x14ac:dyDescent="0.25">
      <c r="A9" s="232" t="str">
        <f ca="1">Berechnung3!L9</f>
        <v/>
      </c>
      <c r="B9" s="232" t="str">
        <f ca="1">Berechnung3!N9</f>
        <v/>
      </c>
      <c r="C9" s="213" t="str">
        <f ca="1">Berechnung3!O9</f>
        <v/>
      </c>
      <c r="D9" s="213" t="str">
        <f ca="1">Berechnung3!P9</f>
        <v/>
      </c>
    </row>
    <row r="10" spans="1:4" x14ac:dyDescent="0.25">
      <c r="A10" s="232" t="str">
        <f ca="1">Berechnung3!L10</f>
        <v/>
      </c>
      <c r="B10" s="232" t="str">
        <f ca="1">Berechnung3!N10</f>
        <v/>
      </c>
      <c r="C10" s="213" t="str">
        <f ca="1">Berechnung3!O10</f>
        <v/>
      </c>
      <c r="D10" s="213" t="str">
        <f ca="1">Berechnung3!P10</f>
        <v/>
      </c>
    </row>
    <row r="11" spans="1:4" x14ac:dyDescent="0.25">
      <c r="A11" s="232" t="str">
        <f ca="1">Berechnung3!L11</f>
        <v/>
      </c>
      <c r="B11" s="232" t="str">
        <f ca="1">Berechnung3!N11</f>
        <v/>
      </c>
      <c r="C11" s="213" t="str">
        <f ca="1">Berechnung3!O11</f>
        <v/>
      </c>
      <c r="D11" s="213" t="str">
        <f ca="1">Berechnung3!P11</f>
        <v/>
      </c>
    </row>
    <row r="12" spans="1:4" x14ac:dyDescent="0.25">
      <c r="A12" s="232" t="str">
        <f ca="1">Berechnung3!L12</f>
        <v/>
      </c>
      <c r="B12" s="232" t="str">
        <f ca="1">Berechnung3!N12</f>
        <v/>
      </c>
      <c r="C12" s="213" t="str">
        <f ca="1">Berechnung3!O12</f>
        <v/>
      </c>
      <c r="D12" s="213" t="str">
        <f ca="1">Berechnung3!P12</f>
        <v/>
      </c>
    </row>
    <row r="13" spans="1:4" x14ac:dyDescent="0.25">
      <c r="A13" s="232" t="str">
        <f ca="1">Berechnung3!L13</f>
        <v/>
      </c>
      <c r="B13" s="232" t="str">
        <f ca="1">Berechnung3!N13</f>
        <v/>
      </c>
      <c r="C13" s="213" t="str">
        <f ca="1">Berechnung3!O13</f>
        <v/>
      </c>
      <c r="D13" s="213" t="str">
        <f ca="1">Berechnung3!P13</f>
        <v/>
      </c>
    </row>
    <row r="14" spans="1:4" x14ac:dyDescent="0.25">
      <c r="A14" s="232" t="str">
        <f ca="1">Berechnung3!L14</f>
        <v/>
      </c>
      <c r="B14" s="232" t="str">
        <f ca="1">Berechnung3!N14</f>
        <v/>
      </c>
      <c r="C14" s="213" t="str">
        <f ca="1">Berechnung3!O14</f>
        <v/>
      </c>
      <c r="D14" s="213" t="str">
        <f ca="1">Berechnung3!P14</f>
        <v/>
      </c>
    </row>
    <row r="15" spans="1:4" x14ac:dyDescent="0.25">
      <c r="A15" s="232" t="str">
        <f ca="1">Berechnung3!L15</f>
        <v/>
      </c>
      <c r="B15" s="232" t="str">
        <f ca="1">Berechnung3!N15</f>
        <v/>
      </c>
      <c r="C15" s="213" t="str">
        <f ca="1">Berechnung3!O15</f>
        <v/>
      </c>
      <c r="D15" s="213" t="str">
        <f ca="1">Berechnung3!P15</f>
        <v/>
      </c>
    </row>
    <row r="16" spans="1:4" x14ac:dyDescent="0.25">
      <c r="A16" s="232" t="str">
        <f ca="1">Berechnung3!L16</f>
        <v/>
      </c>
      <c r="B16" s="232" t="str">
        <f ca="1">Berechnung3!N16</f>
        <v/>
      </c>
      <c r="C16" s="213" t="str">
        <f ca="1">Berechnung3!O16</f>
        <v/>
      </c>
      <c r="D16" s="213" t="str">
        <f ca="1">Berechnung3!P16</f>
        <v/>
      </c>
    </row>
    <row r="17" spans="1:4" x14ac:dyDescent="0.25">
      <c r="A17" s="232" t="str">
        <f ca="1">Berechnung3!L17</f>
        <v/>
      </c>
      <c r="B17" s="232" t="str">
        <f ca="1">Berechnung3!N17</f>
        <v/>
      </c>
      <c r="C17" s="213" t="str">
        <f ca="1">Berechnung3!O17</f>
        <v/>
      </c>
      <c r="D17" s="213" t="str">
        <f ca="1">Berechnung3!P17</f>
        <v/>
      </c>
    </row>
    <row r="18" spans="1:4" x14ac:dyDescent="0.25">
      <c r="A18" s="232" t="str">
        <f ca="1">Berechnung3!L18</f>
        <v/>
      </c>
      <c r="B18" s="232" t="str">
        <f ca="1">Berechnung3!N18</f>
        <v/>
      </c>
      <c r="C18" s="213" t="str">
        <f ca="1">Berechnung3!O18</f>
        <v/>
      </c>
      <c r="D18" s="213" t="str">
        <f ca="1">Berechnung3!P18</f>
        <v/>
      </c>
    </row>
    <row r="19" spans="1:4" x14ac:dyDescent="0.25">
      <c r="A19" s="232" t="str">
        <f ca="1">Berechnung3!L19</f>
        <v/>
      </c>
      <c r="B19" s="232" t="str">
        <f ca="1">Berechnung3!N19</f>
        <v/>
      </c>
      <c r="C19" s="213" t="str">
        <f ca="1">Berechnung3!O19</f>
        <v/>
      </c>
      <c r="D19" s="213" t="str">
        <f ca="1">Berechnung3!P19</f>
        <v/>
      </c>
    </row>
    <row r="20" spans="1:4" x14ac:dyDescent="0.25">
      <c r="A20" s="232" t="str">
        <f ca="1">Berechnung3!L20</f>
        <v/>
      </c>
      <c r="B20" s="232" t="str">
        <f ca="1">Berechnung3!N20</f>
        <v/>
      </c>
      <c r="C20" s="213" t="str">
        <f ca="1">Berechnung3!O20</f>
        <v/>
      </c>
      <c r="D20" s="213" t="str">
        <f ca="1">Berechnung3!P20</f>
        <v/>
      </c>
    </row>
    <row r="21" spans="1:4" x14ac:dyDescent="0.25">
      <c r="A21" s="232" t="str">
        <f ca="1">Berechnung3!L21</f>
        <v/>
      </c>
      <c r="B21" s="232" t="str">
        <f ca="1">Berechnung3!N21</f>
        <v/>
      </c>
      <c r="C21" s="213" t="str">
        <f ca="1">Berechnung3!O21</f>
        <v/>
      </c>
      <c r="D21" s="213" t="str">
        <f ca="1">Berechnung3!P21</f>
        <v/>
      </c>
    </row>
    <row r="22" spans="1:4" x14ac:dyDescent="0.25">
      <c r="A22" s="232" t="str">
        <f ca="1">Berechnung3!L22</f>
        <v/>
      </c>
      <c r="B22" s="232" t="str">
        <f ca="1">Berechnung3!N22</f>
        <v/>
      </c>
      <c r="C22" s="213" t="str">
        <f ca="1">Berechnung3!O22</f>
        <v/>
      </c>
      <c r="D22" s="213" t="str">
        <f ca="1">Berechnung3!P22</f>
        <v/>
      </c>
    </row>
    <row r="23" spans="1:4" x14ac:dyDescent="0.25">
      <c r="A23" s="232" t="str">
        <f ca="1">Berechnung3!L23</f>
        <v/>
      </c>
      <c r="B23" s="232" t="str">
        <f ca="1">Berechnung3!N23</f>
        <v/>
      </c>
      <c r="C23" s="213" t="str">
        <f ca="1">Berechnung3!O23</f>
        <v/>
      </c>
      <c r="D23" s="213" t="str">
        <f ca="1">Berechnung3!P23</f>
        <v/>
      </c>
    </row>
    <row r="24" spans="1:4" x14ac:dyDescent="0.25">
      <c r="A24" s="232" t="str">
        <f ca="1">Berechnung3!L24</f>
        <v/>
      </c>
      <c r="B24" s="232" t="str">
        <f ca="1">Berechnung3!N24</f>
        <v/>
      </c>
      <c r="C24" s="213" t="str">
        <f ca="1">Berechnung3!O24</f>
        <v/>
      </c>
      <c r="D24" s="213" t="str">
        <f ca="1">Berechnung3!P24</f>
        <v/>
      </c>
    </row>
    <row r="25" spans="1:4" x14ac:dyDescent="0.25">
      <c r="A25" s="232" t="str">
        <f ca="1">Berechnung3!L25</f>
        <v/>
      </c>
      <c r="B25" s="232" t="str">
        <f ca="1">Berechnung3!N25</f>
        <v/>
      </c>
      <c r="C25" s="213" t="str">
        <f ca="1">Berechnung3!O25</f>
        <v/>
      </c>
      <c r="D25" s="213" t="str">
        <f ca="1">Berechnung3!P25</f>
        <v/>
      </c>
    </row>
    <row r="26" spans="1:4" x14ac:dyDescent="0.25">
      <c r="A26" s="232" t="str">
        <f ca="1">Berechnung3!L26</f>
        <v/>
      </c>
      <c r="B26" s="232" t="str">
        <f ca="1">Berechnung3!N26</f>
        <v/>
      </c>
      <c r="C26" s="213" t="str">
        <f ca="1">Berechnung3!O26</f>
        <v/>
      </c>
      <c r="D26" s="213" t="str">
        <f ca="1">Berechnung3!P26</f>
        <v/>
      </c>
    </row>
    <row r="27" spans="1:4" x14ac:dyDescent="0.25">
      <c r="A27" s="232" t="str">
        <f ca="1">Berechnung3!L27</f>
        <v/>
      </c>
      <c r="B27" s="232" t="str">
        <f ca="1">Berechnung3!N27</f>
        <v/>
      </c>
      <c r="C27" s="213" t="str">
        <f ca="1">Berechnung3!O27</f>
        <v/>
      </c>
      <c r="D27" s="213" t="str">
        <f ca="1">Berechnung3!P27</f>
        <v/>
      </c>
    </row>
    <row r="28" spans="1:4" x14ac:dyDescent="0.25">
      <c r="A28" s="232" t="str">
        <f ca="1">Berechnung3!L28</f>
        <v/>
      </c>
      <c r="B28" s="232" t="str">
        <f ca="1">Berechnung3!N28</f>
        <v/>
      </c>
      <c r="C28" s="213" t="str">
        <f ca="1">Berechnung3!O28</f>
        <v/>
      </c>
      <c r="D28" s="213" t="str">
        <f ca="1">Berechnung3!P28</f>
        <v/>
      </c>
    </row>
    <row r="29" spans="1:4" x14ac:dyDescent="0.25">
      <c r="A29" s="232" t="str">
        <f ca="1">Berechnung3!L29</f>
        <v/>
      </c>
      <c r="B29" s="232" t="str">
        <f ca="1">Berechnung3!N29</f>
        <v/>
      </c>
      <c r="C29" s="213" t="str">
        <f ca="1">Berechnung3!O29</f>
        <v/>
      </c>
      <c r="D29" s="213" t="str">
        <f ca="1">Berechnung3!P29</f>
        <v/>
      </c>
    </row>
    <row r="30" spans="1:4" x14ac:dyDescent="0.25">
      <c r="A30" s="232" t="str">
        <f ca="1">Berechnung3!L30</f>
        <v/>
      </c>
      <c r="B30" s="232" t="str">
        <f ca="1">Berechnung3!N30</f>
        <v/>
      </c>
      <c r="C30" s="213" t="str">
        <f ca="1">Berechnung3!O30</f>
        <v/>
      </c>
      <c r="D30" s="213" t="str">
        <f ca="1">Berechnung3!P30</f>
        <v/>
      </c>
    </row>
    <row r="31" spans="1:4" x14ac:dyDescent="0.25">
      <c r="A31" s="232" t="str">
        <f ca="1">Berechnung3!L31</f>
        <v/>
      </c>
      <c r="B31" s="232" t="str">
        <f ca="1">Berechnung3!N31</f>
        <v/>
      </c>
      <c r="C31" s="213" t="str">
        <f ca="1">Berechnung3!O31</f>
        <v/>
      </c>
      <c r="D31" s="213" t="str">
        <f ca="1">Berechnung3!P31</f>
        <v/>
      </c>
    </row>
    <row r="32" spans="1:4" x14ac:dyDescent="0.25">
      <c r="A32" s="232" t="str">
        <f ca="1">Berechnung3!L32</f>
        <v/>
      </c>
      <c r="B32" s="232" t="str">
        <f ca="1">Berechnung3!N32</f>
        <v/>
      </c>
      <c r="C32" s="213" t="str">
        <f ca="1">Berechnung3!O32</f>
        <v/>
      </c>
      <c r="D32" s="213" t="str">
        <f ca="1">Berechnung3!P32</f>
        <v/>
      </c>
    </row>
    <row r="33" spans="1:4" x14ac:dyDescent="0.25">
      <c r="A33" s="232" t="str">
        <f ca="1">Berechnung3!L33</f>
        <v/>
      </c>
      <c r="B33" s="232" t="str">
        <f ca="1">Berechnung3!N33</f>
        <v/>
      </c>
      <c r="C33" s="213" t="str">
        <f ca="1">Berechnung3!O33</f>
        <v/>
      </c>
      <c r="D33" s="213" t="str">
        <f ca="1">Berechnung3!P33</f>
        <v/>
      </c>
    </row>
    <row r="34" spans="1:4" x14ac:dyDescent="0.25">
      <c r="A34" s="232" t="str">
        <f ca="1">Berechnung3!L34</f>
        <v/>
      </c>
      <c r="B34" s="232" t="str">
        <f ca="1">Berechnung3!N34</f>
        <v/>
      </c>
      <c r="C34" s="213" t="str">
        <f ca="1">Berechnung3!O34</f>
        <v/>
      </c>
      <c r="D34" s="213" t="str">
        <f ca="1">Berechnung3!P34</f>
        <v/>
      </c>
    </row>
    <row r="35" spans="1:4" x14ac:dyDescent="0.25">
      <c r="A35" s="232" t="str">
        <f ca="1">Berechnung3!L35</f>
        <v/>
      </c>
      <c r="B35" s="232" t="str">
        <f ca="1">Berechnung3!N35</f>
        <v/>
      </c>
      <c r="C35" s="213" t="str">
        <f ca="1">Berechnung3!O35</f>
        <v/>
      </c>
      <c r="D35" s="213" t="str">
        <f ca="1">Berechnung3!P35</f>
        <v/>
      </c>
    </row>
    <row r="36" spans="1:4" x14ac:dyDescent="0.25">
      <c r="A36" s="232" t="str">
        <f ca="1">Berechnung3!L36</f>
        <v/>
      </c>
      <c r="B36" s="232" t="str">
        <f ca="1">Berechnung3!N36</f>
        <v/>
      </c>
      <c r="C36" s="213" t="str">
        <f ca="1">Berechnung3!O36</f>
        <v/>
      </c>
      <c r="D36" s="213" t="str">
        <f ca="1">Berechnung3!P36</f>
        <v/>
      </c>
    </row>
    <row r="37" spans="1:4" x14ac:dyDescent="0.25">
      <c r="A37" s="232" t="str">
        <f ca="1">Berechnung3!L37</f>
        <v/>
      </c>
      <c r="B37" s="232" t="str">
        <f ca="1">Berechnung3!N37</f>
        <v/>
      </c>
      <c r="C37" s="213" t="str">
        <f ca="1">Berechnung3!O37</f>
        <v/>
      </c>
      <c r="D37" s="213" t="str">
        <f ca="1">Berechnung3!P37</f>
        <v/>
      </c>
    </row>
    <row r="38" spans="1:4" x14ac:dyDescent="0.25">
      <c r="A38" s="232" t="str">
        <f ca="1">Berechnung3!L38</f>
        <v/>
      </c>
      <c r="B38" s="232" t="str">
        <f ca="1">Berechnung3!N38</f>
        <v/>
      </c>
      <c r="C38" s="213" t="str">
        <f ca="1">Berechnung3!O38</f>
        <v/>
      </c>
      <c r="D38" s="213" t="str">
        <f ca="1">Berechnung3!P38</f>
        <v/>
      </c>
    </row>
    <row r="39" spans="1:4" x14ac:dyDescent="0.25">
      <c r="A39" s="232" t="str">
        <f ca="1">Berechnung3!L39</f>
        <v/>
      </c>
      <c r="B39" s="232" t="str">
        <f ca="1">Berechnung3!N39</f>
        <v/>
      </c>
      <c r="C39" s="213" t="str">
        <f ca="1">Berechnung3!O39</f>
        <v/>
      </c>
      <c r="D39" s="213" t="str">
        <f ca="1">Berechnung3!P39</f>
        <v/>
      </c>
    </row>
    <row r="40" spans="1:4" x14ac:dyDescent="0.25">
      <c r="A40" s="232" t="str">
        <f ca="1">Berechnung3!L40</f>
        <v/>
      </c>
      <c r="B40" s="232" t="str">
        <f ca="1">Berechnung3!N40</f>
        <v/>
      </c>
      <c r="C40" s="213" t="str">
        <f ca="1">Berechnung3!O40</f>
        <v/>
      </c>
      <c r="D40" s="213" t="str">
        <f ca="1">Berechnung3!P40</f>
        <v/>
      </c>
    </row>
    <row r="41" spans="1:4" x14ac:dyDescent="0.25">
      <c r="A41" s="232" t="str">
        <f ca="1">Berechnung3!L41</f>
        <v/>
      </c>
      <c r="B41" s="232" t="str">
        <f ca="1">Berechnung3!N41</f>
        <v/>
      </c>
      <c r="C41" s="213" t="str">
        <f ca="1">Berechnung3!O41</f>
        <v/>
      </c>
      <c r="D41" s="213" t="str">
        <f ca="1">Berechnung3!P41</f>
        <v/>
      </c>
    </row>
    <row r="42" spans="1:4" x14ac:dyDescent="0.25">
      <c r="A42" s="232" t="str">
        <f ca="1">Berechnung3!L42</f>
        <v/>
      </c>
      <c r="B42" s="232" t="str">
        <f ca="1">Berechnung3!N42</f>
        <v/>
      </c>
      <c r="C42" s="213" t="str">
        <f ca="1">Berechnung3!O42</f>
        <v/>
      </c>
      <c r="D42" s="213" t="str">
        <f ca="1">Berechnung3!P42</f>
        <v/>
      </c>
    </row>
    <row r="43" spans="1:4" x14ac:dyDescent="0.25">
      <c r="A43" s="232" t="str">
        <f ca="1">Berechnung3!L43</f>
        <v/>
      </c>
      <c r="B43" s="232" t="str">
        <f ca="1">Berechnung3!N43</f>
        <v/>
      </c>
      <c r="C43" s="213" t="str">
        <f ca="1">Berechnung3!O43</f>
        <v/>
      </c>
      <c r="D43" s="213" t="str">
        <f ca="1">Berechnung3!P43</f>
        <v/>
      </c>
    </row>
    <row r="44" spans="1:4" x14ac:dyDescent="0.25">
      <c r="A44" s="232" t="str">
        <f ca="1">Berechnung3!L44</f>
        <v/>
      </c>
      <c r="B44" s="232" t="str">
        <f ca="1">Berechnung3!N44</f>
        <v/>
      </c>
      <c r="C44" s="213" t="str">
        <f ca="1">Berechnung3!O44</f>
        <v/>
      </c>
      <c r="D44" s="213" t="str">
        <f ca="1">Berechnung3!P44</f>
        <v/>
      </c>
    </row>
    <row r="45" spans="1:4" x14ac:dyDescent="0.25">
      <c r="A45" s="232" t="str">
        <f ca="1">Berechnung3!L45</f>
        <v/>
      </c>
      <c r="B45" s="232" t="str">
        <f ca="1">Berechnung3!N45</f>
        <v/>
      </c>
      <c r="C45" s="213" t="str">
        <f ca="1">Berechnung3!O45</f>
        <v/>
      </c>
      <c r="D45" s="213" t="str">
        <f ca="1">Berechnung3!P45</f>
        <v/>
      </c>
    </row>
    <row r="46" spans="1:4" x14ac:dyDescent="0.25">
      <c r="A46" s="232" t="str">
        <f ca="1">Berechnung3!L46</f>
        <v/>
      </c>
      <c r="B46" s="232" t="str">
        <f ca="1">Berechnung3!N46</f>
        <v/>
      </c>
      <c r="C46" s="213" t="str">
        <f ca="1">Berechnung3!O46</f>
        <v/>
      </c>
      <c r="D46" s="213" t="str">
        <f ca="1">Berechnung3!P46</f>
        <v/>
      </c>
    </row>
    <row r="47" spans="1:4" x14ac:dyDescent="0.25">
      <c r="A47" s="232" t="str">
        <f ca="1">Berechnung3!L47</f>
        <v/>
      </c>
      <c r="B47" s="232" t="str">
        <f ca="1">Berechnung3!N47</f>
        <v/>
      </c>
      <c r="C47" s="213" t="str">
        <f ca="1">Berechnung3!O47</f>
        <v/>
      </c>
      <c r="D47" s="213" t="str">
        <f ca="1">Berechnung3!P47</f>
        <v/>
      </c>
    </row>
  </sheetData>
  <phoneticPr fontId="3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Datenquelle</vt:lpstr>
      <vt:lpstr>Basisdaten_Lunge</vt:lpstr>
      <vt:lpstr>HilfstabelleSD</vt:lpstr>
      <vt:lpstr>HilfstabelleB</vt:lpstr>
      <vt:lpstr>Expertise_Lunge</vt:lpstr>
      <vt:lpstr>HilfstabelleL</vt:lpstr>
      <vt:lpstr>Expertise_TCH_mehrst. LZ</vt:lpstr>
      <vt:lpstr>HilfstabelleKB</vt:lpstr>
      <vt:lpstr>Berechnung1</vt:lpstr>
      <vt:lpstr>KB_Lunge</vt:lpstr>
      <vt:lpstr>OPS-Codes KN 10_Lunge</vt:lpstr>
      <vt:lpstr>Datendefizite_KB_Lunge</vt:lpstr>
      <vt:lpstr>Hilfstabelle DatendefKB</vt:lpstr>
      <vt:lpstr>Matrix_Lunge</vt:lpstr>
      <vt:lpstr>HilfstabelleM</vt:lpstr>
      <vt:lpstr>Berechnung2</vt:lpstr>
      <vt:lpstr>Berechnung3</vt:lpstr>
      <vt:lpstr>Datendefizite_Matrix_Lunge</vt:lpstr>
      <vt:lpstr>Hilfstabelle DatendefKB_Mesoth.</vt:lpstr>
      <vt:lpstr>KB_Mesotheliom</vt:lpstr>
      <vt:lpstr>Datendefizite_KB_Mesotheliom</vt:lpstr>
      <vt:lpstr>HilfstabelleKB_Mesotheliom</vt:lpstr>
      <vt:lpstr>Berechnung1_Mesotheliom</vt:lpstr>
      <vt:lpstr>HilfstabelleDM</vt:lpstr>
      <vt:lpstr>Keine_Zusammenarbeit</vt:lpstr>
      <vt:lpstr>KrebsregisterZusammenarbeit</vt:lpstr>
      <vt:lpstr>myCategory</vt:lpstr>
      <vt:lpstr>OncoBox</vt:lpstr>
      <vt:lpstr>Basisdaten_Lunge!Print_Area</vt:lpstr>
      <vt:lpstr>Expertise_Lunge!Print_Area</vt:lpstr>
      <vt:lpstr>'Expertise_TCH_mehrst. LZ'!Print_Area</vt:lpstr>
      <vt:lpstr>KB_Lunge!Print_Area</vt:lpstr>
      <vt:lpstr>KB_Mesotheliom!Print_Area</vt:lpstr>
      <vt:lpstr>'OPS-Codes KN 10_Lunge'!Print_Area</vt:lpstr>
      <vt:lpstr>Datendefizite_KB_Lunge!Print_Titles</vt:lpstr>
      <vt:lpstr>Datendefizite_KB_Mesotheliom!Print_Titles</vt:lpstr>
      <vt:lpstr>Datendefizite_Matrix_Lunge!Print_Titles</vt:lpstr>
      <vt:lpstr>Expertise_Lunge!Print_Titles</vt:lpstr>
      <vt:lpstr>'Expertise_TCH_mehrst. LZ'!Print_Titles</vt:lpstr>
      <vt:lpstr>KB_Lunge!Print_Titles</vt:lpstr>
      <vt:lpstr>KB_Mesotheliom!Print_Titles</vt:lpstr>
      <vt:lpstr>'OPS-Codes KN 10_Lunge'!Print_Titles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Flo</cp:lastModifiedBy>
  <cp:lastPrinted>2022-10-12T05:04:04Z</cp:lastPrinted>
  <dcterms:created xsi:type="dcterms:W3CDTF">2012-04-12T09:13:43Z</dcterms:created>
  <dcterms:modified xsi:type="dcterms:W3CDTF">2023-03-24T11:24:20Z</dcterms:modified>
</cp:coreProperties>
</file>