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updateLinks="never" codeName="DieseArbeitsmappe" defaultThemeVersion="124226"/>
  <mc:AlternateContent xmlns:mc="http://schemas.openxmlformats.org/markup-compatibility/2006">
    <mc:Choice Requires="x15">
      <x15ac:absPath xmlns:x15ac="http://schemas.microsoft.com/office/spreadsheetml/2010/11/ac" url="Z:\Arbeitsverzeichnisse\A wie Zertifizierung\05_Europa\04_Übersetzungen\01_EB_KeZaB_Übersetzungen\07_2023\Haut\"/>
    </mc:Choice>
  </mc:AlternateContent>
  <xr:revisionPtr revIDLastSave="0" documentId="13_ncr:1_{F8A710A7-1A42-409E-858A-C55BA4F366B6}" xr6:coauthVersionLast="47" xr6:coauthVersionMax="47" xr10:uidLastSave="{00000000-0000-0000-0000-000000000000}"/>
  <workbookProtection workbookPassword="CA09" lockStructure="1"/>
  <bookViews>
    <workbookView xWindow="-28920" yWindow="4845" windowWidth="29040" windowHeight="15840" tabRatio="913" activeTab="4" xr2:uid="{00000000-000D-0000-FFFF-FFFF00000000}"/>
  </bookViews>
  <sheets>
    <sheet name="Basic Data" sheetId="1" r:id="rId1"/>
    <sheet name="HilfstabelleSD" sheetId="8" state="hidden" r:id="rId2"/>
    <sheet name="HilfstabelleB" sheetId="24" state="hidden" r:id="rId3"/>
    <sheet name="Datenquelle" sheetId="16" state="hidden" r:id="rId4"/>
    <sheet name="Indicators Sheet_(IS)" sheetId="18" r:id="rId5"/>
    <sheet name="Berechnung1" sheetId="11" state="hidden" r:id="rId6"/>
    <sheet name="HilfstabelleKB" sheetId="10" state="hidden" r:id="rId7"/>
    <sheet name="Datendefizite_KB" sheetId="3" state="hidden" r:id="rId8"/>
    <sheet name="Hilfstabelle Datendef KB" sheetId="27" state="hidden" r:id="rId9"/>
    <sheet name="Matrix" sheetId="4" state="hidden" r:id="rId10"/>
    <sheet name="Berechnung2" sheetId="12" state="hidden" r:id="rId11"/>
    <sheet name="Berechnung3" sheetId="25" state="hidden" r:id="rId12"/>
    <sheet name="Datendefizite_Matrix" sheetId="5" state="hidden" r:id="rId13"/>
    <sheet name="HilfstabelleM" sheetId="22" state="hidden" r:id="rId14"/>
    <sheet name="HilfstabelleDM" sheetId="26" state="hidden" r:id="rId15"/>
  </sheets>
  <definedNames>
    <definedName name="_xlnm._FilterDatabase" localSheetId="10" hidden="1">Berechnung2!#REF!</definedName>
    <definedName name="_xlnm._FilterDatabase" localSheetId="3" hidden="1">Datenquelle!$A$101:$J$102</definedName>
    <definedName name="_xlnm.Print_Area" localSheetId="0">'Basic Data'!$B$1:$R$55</definedName>
    <definedName name="_xlnm.Print_Area" localSheetId="7">OFFSET(Datendefizite_KB!$A$1,0,0,SUMPRODUCT((Datendefizite_KB!$A$14:$A$28&lt;&gt;"")+0)+13,11)</definedName>
    <definedName name="_xlnm.Print_Area" localSheetId="12">Datendefizite_Matrix!$A$1:$G$25</definedName>
    <definedName name="_xlnm.Print_Area" localSheetId="4">'Indicators Sheet_(IS)'!$A$1:$R$87</definedName>
    <definedName name="_xlnm.Print_Area" localSheetId="9">Matrix!$A$1:$AB$48</definedName>
    <definedName name="_xlnm.Print_Area">'Indicators Sheet_(IS)'!$A$1:$R$84</definedName>
    <definedName name="_xlnm.Print_Titles" localSheetId="0">'Basic Data'!$1:$5</definedName>
    <definedName name="_xlnm.Print_Titles" localSheetId="7">Datendefizite_KB!$12:$13</definedName>
    <definedName name="_xlnm.Print_Titles" localSheetId="12">Datendefizite_Matrix!$15:$16</definedName>
    <definedName name="_xlnm.Print_Titles" localSheetId="8">'Hilfstabelle Datendef KB'!$1:$1</definedName>
    <definedName name="_xlnm.Print_Titles" localSheetId="4">'Indicators Sheet_(IS)'!$10:$11</definedName>
    <definedName name="Keine_Zusammenarbeit">Datenquelle!$B$92</definedName>
    <definedName name="KlinischesKrebsregister">'Basic Data'!$I$24</definedName>
    <definedName name="KrebsregisterZusammenarbeit">Datenquelle!$B$91:$B$95</definedName>
    <definedName name="land">Datenquelle!$A$110:$A$305</definedName>
    <definedName name="myCategory">Datenquelle!$A$67:$S$67</definedName>
    <definedName name="myItem">OFFSET(myItemList,0,0,COUNTA(myItemList),1)</definedName>
    <definedName name="myItemList">INDEX(Datenquelle!$A$68:$S$88,0,MATCH(Datenquelle!$F$99,Datenquelle!$A$67:$S$67,0))</definedName>
    <definedName name="Tumordokumentation">Datenquelle!$B$1:$B$45</definedName>
    <definedName name="Z_AD479C9E_06F7_4C03_8179_295428B49475_.wvu.PrintArea" localSheetId="0" hidden="1">'Basic Data'!$A$1:$J$46</definedName>
    <definedName name="Z_AD479C9E_06F7_4C03_8179_295428B49475_.wvu.PrintTitles" localSheetId="7" hidden="1">Datendefizite_KB!$12:$13</definedName>
    <definedName name="Z_AD479C9E_06F7_4C03_8179_295428B49475_.wvu.PrintTitles" localSheetId="12" hidden="1">Datendefizite_Matrix!$15:$16</definedName>
    <definedName name="Z_AD479C9E_06F7_4C03_8179_295428B49475_.wvu.PrintTitles" localSheetId="8" hidden="1">'Hilfstabelle Datendef KB'!$1:$1</definedName>
    <definedName name="Z_AD479C9E_06F7_4C03_8179_295428B49475_.wvu.PrintTitles" localSheetId="4" hidden="1">'Indicators Sheet_(IS)'!$10:$11</definedName>
    <definedName name="Z_DAA0C1F4_4D8F_4BD8_91F9_40281B589772_.wvu.PrintArea" localSheetId="0" hidden="1">'Basic Data'!$A$1:$J$46</definedName>
    <definedName name="Z_DAA0C1F4_4D8F_4BD8_91F9_40281B589772_.wvu.PrintTitles" localSheetId="7" hidden="1">Datendefizite_KB!$12:$13</definedName>
    <definedName name="Z_DAA0C1F4_4D8F_4BD8_91F9_40281B589772_.wvu.PrintTitles" localSheetId="12" hidden="1">Datendefizite_Matrix!$15:$16</definedName>
    <definedName name="Z_DAA0C1F4_4D8F_4BD8_91F9_40281B589772_.wvu.PrintTitles" localSheetId="8" hidden="1">'Hilfstabelle Datendef KB'!$1:$1</definedName>
    <definedName name="Z_DAA0C1F4_4D8F_4BD8_91F9_40281B589772_.wvu.PrintTitles" localSheetId="4" hidden="1">'Indicators Sheet_(IS)'!$10:$11</definedName>
    <definedName name="Z_DAA0C1F4_4D8F_4BD8_91F9_40281B589772_.wvu.Rows" localSheetId="5" hidden="1">Berechnung1!#REF!</definedName>
    <definedName name="ZentrumRegNr">Datenquelle!$A$102:$A$102</definedName>
  </definedNames>
  <calcPr calcId="191029"/>
  <customWorkbookViews>
    <customWorkbookView name="OnkoZert - Persönliche Ansicht" guid="{DAA0C1F4-4D8F-4BD8-91F9-40281B589772}" mergeInterval="0" personalView="1" maximized="1" windowWidth="1280" windowHeight="778" activeSheetId="1"/>
    <customWorkbookView name="New Name - Persönliche Ansicht" guid="{AD479C9E-06F7-4C03-8179-295428B49475}" mergeInterval="0" personalView="1" maximized="1" windowWidth="1280" windowHeight="798" activeSheetId="8"/>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0" l="1"/>
  <c r="F15" i="10"/>
  <c r="M94" i="11"/>
  <c r="M93" i="11"/>
  <c r="O44" i="11"/>
  <c r="H15" i="10" s="1"/>
  <c r="U22" i="18"/>
  <c r="V21" i="4" l="1"/>
  <c r="L1" i="22" l="1"/>
  <c r="L2" i="22"/>
  <c r="L3" i="22"/>
  <c r="L4" i="22"/>
  <c r="L5" i="22"/>
  <c r="L6" i="22"/>
  <c r="L7" i="22"/>
  <c r="F25" i="4" l="1"/>
  <c r="G25" i="4"/>
  <c r="H25" i="4"/>
  <c r="I25" i="4"/>
  <c r="J25" i="4"/>
  <c r="K25" i="4"/>
  <c r="L25" i="4"/>
  <c r="M25" i="4"/>
  <c r="L8" i="22" s="1"/>
  <c r="N25" i="4"/>
  <c r="O25" i="4"/>
  <c r="P25" i="4"/>
  <c r="Q25" i="4"/>
  <c r="R25" i="4"/>
  <c r="E25" i="4"/>
  <c r="P37" i="1" l="1"/>
  <c r="B3" i="22" l="1"/>
  <c r="D3" i="22"/>
  <c r="E3" i="22"/>
  <c r="F3" i="22"/>
  <c r="G3" i="22"/>
  <c r="H3" i="22"/>
  <c r="I3" i="22"/>
  <c r="J3" i="22"/>
  <c r="K3" i="22"/>
  <c r="M3" i="22"/>
  <c r="N3" i="22"/>
  <c r="O3" i="22"/>
  <c r="P3" i="22"/>
  <c r="Q3" i="22"/>
  <c r="R3" i="22"/>
  <c r="S3" i="22"/>
  <c r="U3" i="22"/>
  <c r="V3" i="22"/>
  <c r="W3" i="22"/>
  <c r="B4" i="22"/>
  <c r="D4" i="22"/>
  <c r="E4" i="22"/>
  <c r="F4" i="22"/>
  <c r="G4" i="22"/>
  <c r="H4" i="22"/>
  <c r="I4" i="22"/>
  <c r="J4" i="22"/>
  <c r="K4" i="22"/>
  <c r="M4" i="22"/>
  <c r="N4" i="22"/>
  <c r="O4" i="22"/>
  <c r="P4" i="22"/>
  <c r="Q4" i="22"/>
  <c r="R4" i="22"/>
  <c r="S4" i="22"/>
  <c r="U4" i="22"/>
  <c r="V4" i="22"/>
  <c r="W4" i="22"/>
  <c r="B5" i="22"/>
  <c r="D5" i="22"/>
  <c r="E5" i="22"/>
  <c r="F5" i="22"/>
  <c r="G5" i="22"/>
  <c r="H5" i="22"/>
  <c r="I5" i="22"/>
  <c r="J5" i="22"/>
  <c r="K5" i="22"/>
  <c r="M5" i="22"/>
  <c r="N5" i="22"/>
  <c r="O5" i="22"/>
  <c r="P5" i="22"/>
  <c r="Q5" i="22"/>
  <c r="R5" i="22"/>
  <c r="S5" i="22"/>
  <c r="U5" i="22"/>
  <c r="V5" i="22"/>
  <c r="W5" i="22"/>
  <c r="B6" i="22"/>
  <c r="D6" i="22"/>
  <c r="E6" i="22"/>
  <c r="F6" i="22"/>
  <c r="G6" i="22"/>
  <c r="H6" i="22"/>
  <c r="I6" i="22"/>
  <c r="J6" i="22"/>
  <c r="K6" i="22"/>
  <c r="M6" i="22"/>
  <c r="N6" i="22"/>
  <c r="O6" i="22"/>
  <c r="P6" i="22"/>
  <c r="Q6" i="22"/>
  <c r="R6" i="22"/>
  <c r="S6" i="22"/>
  <c r="U6" i="22"/>
  <c r="V6" i="22"/>
  <c r="W6" i="22"/>
  <c r="D7" i="22"/>
  <c r="E7" i="22"/>
  <c r="F7" i="22"/>
  <c r="G7" i="22"/>
  <c r="H7" i="22"/>
  <c r="I7" i="22"/>
  <c r="J7" i="22"/>
  <c r="K7" i="22"/>
  <c r="M7" i="22"/>
  <c r="N7" i="22"/>
  <c r="O7" i="22"/>
  <c r="P7" i="22"/>
  <c r="Q7" i="22"/>
  <c r="R7" i="22"/>
  <c r="S7" i="22"/>
  <c r="T7" i="22"/>
  <c r="U7" i="22"/>
  <c r="V7" i="22"/>
  <c r="W7" i="22"/>
  <c r="D8" i="22"/>
  <c r="E8" i="22"/>
  <c r="F8" i="22"/>
  <c r="G8" i="22"/>
  <c r="H8" i="22"/>
  <c r="I8" i="22"/>
  <c r="J8" i="22"/>
  <c r="K8" i="22"/>
  <c r="M8" i="22"/>
  <c r="N8" i="22"/>
  <c r="O8" i="22"/>
  <c r="P8" i="22"/>
  <c r="Q8" i="22"/>
  <c r="R8" i="22"/>
  <c r="S8" i="22"/>
  <c r="T8" i="22"/>
  <c r="U8" i="22"/>
  <c r="V8" i="22"/>
  <c r="W8" i="22"/>
  <c r="B8" i="25"/>
  <c r="B7" i="25"/>
  <c r="B6" i="25"/>
  <c r="B5" i="25"/>
  <c r="B4" i="25"/>
  <c r="B3" i="25"/>
  <c r="B2" i="25"/>
  <c r="D25" i="4"/>
  <c r="C8" i="22" s="1"/>
  <c r="G27" i="10" l="1"/>
  <c r="G28" i="10"/>
  <c r="G29" i="10"/>
  <c r="G30" i="10"/>
  <c r="G31" i="10"/>
  <c r="G32" i="10"/>
  <c r="F32" i="10"/>
  <c r="F31" i="10"/>
  <c r="F30" i="10"/>
  <c r="F29" i="10"/>
  <c r="C30" i="10"/>
  <c r="C29" i="10"/>
  <c r="B32" i="10"/>
  <c r="B31" i="10"/>
  <c r="B30" i="10"/>
  <c r="B29" i="10"/>
  <c r="O89" i="11"/>
  <c r="H30" i="10" s="1"/>
  <c r="O95" i="11"/>
  <c r="H32" i="10" s="1"/>
  <c r="O92" i="11"/>
  <c r="H31" i="10" s="1"/>
  <c r="O86" i="11"/>
  <c r="H29" i="10" s="1"/>
  <c r="Q74" i="18"/>
  <c r="D32" i="10" s="1"/>
  <c r="Q71" i="18"/>
  <c r="D31" i="10" s="1"/>
  <c r="Q68" i="18"/>
  <c r="Q65" i="18"/>
  <c r="D30" i="10" l="1"/>
  <c r="R66" i="18"/>
  <c r="A20" i="27" s="1"/>
  <c r="D29" i="10"/>
  <c r="R63" i="18"/>
  <c r="L92" i="11"/>
  <c r="L86" i="11"/>
  <c r="L89" i="11"/>
  <c r="L95" i="11"/>
  <c r="L20" i="27" l="1"/>
  <c r="H20" i="27"/>
  <c r="G20" i="27"/>
  <c r="J20" i="27"/>
  <c r="F20" i="27"/>
  <c r="K20" i="27"/>
  <c r="C20" i="27"/>
  <c r="E20" i="27"/>
  <c r="I20" i="27"/>
  <c r="D20" i="27"/>
  <c r="M20" i="27"/>
  <c r="M86" i="11"/>
  <c r="N86" i="11" s="1"/>
  <c r="E29" i="10" s="1"/>
  <c r="A19" i="27"/>
  <c r="M89" i="11"/>
  <c r="N89" i="11" s="1"/>
  <c r="E30" i="10" s="1"/>
  <c r="F1" i="22"/>
  <c r="G1" i="22"/>
  <c r="H1" i="22"/>
  <c r="I1" i="22"/>
  <c r="J1" i="22"/>
  <c r="K1" i="22"/>
  <c r="M1" i="22"/>
  <c r="E1" i="22"/>
  <c r="D1" i="22"/>
  <c r="D19" i="27" l="1"/>
  <c r="L19" i="27"/>
  <c r="J19" i="27"/>
  <c r="H19" i="27"/>
  <c r="C19" i="27"/>
  <c r="G19" i="27"/>
  <c r="I19" i="27"/>
  <c r="F19" i="27"/>
  <c r="K19" i="27"/>
  <c r="E19" i="27"/>
  <c r="M19" i="27"/>
  <c r="V20" i="4"/>
  <c r="T3" i="22" s="1"/>
  <c r="T4" i="22" l="1"/>
  <c r="V23" i="4"/>
  <c r="T6" i="22" l="1"/>
  <c r="Q49" i="18"/>
  <c r="B2" i="4" l="1"/>
  <c r="B2" i="18"/>
  <c r="P13" i="24"/>
  <c r="P12" i="24"/>
  <c r="N2" i="24"/>
  <c r="O2" i="24"/>
  <c r="N3" i="24"/>
  <c r="O3" i="24"/>
  <c r="N4" i="24"/>
  <c r="O4" i="24"/>
  <c r="N5" i="24"/>
  <c r="O5" i="24"/>
  <c r="N6" i="24"/>
  <c r="O6" i="24"/>
  <c r="N7" i="24"/>
  <c r="O7" i="24"/>
  <c r="N8" i="24"/>
  <c r="O8" i="24"/>
  <c r="C2" i="24"/>
  <c r="D2" i="24"/>
  <c r="E2" i="24"/>
  <c r="F2" i="24"/>
  <c r="G2" i="24"/>
  <c r="H2" i="24"/>
  <c r="I2" i="24"/>
  <c r="J2" i="24"/>
  <c r="K2" i="24"/>
  <c r="L2" i="24"/>
  <c r="M2" i="24"/>
  <c r="C3" i="24"/>
  <c r="D3" i="24"/>
  <c r="E3" i="24"/>
  <c r="F3" i="24"/>
  <c r="G3" i="24"/>
  <c r="H3" i="24"/>
  <c r="I3" i="24"/>
  <c r="J3" i="24"/>
  <c r="K3" i="24"/>
  <c r="L3" i="24"/>
  <c r="M3" i="24"/>
  <c r="C4" i="24"/>
  <c r="D4" i="24"/>
  <c r="E4" i="24"/>
  <c r="F4" i="24"/>
  <c r="G4" i="24"/>
  <c r="H4" i="24"/>
  <c r="I4" i="24"/>
  <c r="J4" i="24"/>
  <c r="K4" i="24"/>
  <c r="L4" i="24"/>
  <c r="M4" i="24"/>
  <c r="C5" i="24"/>
  <c r="D5" i="24"/>
  <c r="E5" i="24"/>
  <c r="F5" i="24"/>
  <c r="G5" i="24"/>
  <c r="H5" i="24"/>
  <c r="I5" i="24"/>
  <c r="J5" i="24"/>
  <c r="K5" i="24"/>
  <c r="L5" i="24"/>
  <c r="M5" i="24"/>
  <c r="C6" i="24"/>
  <c r="D6" i="24"/>
  <c r="E6" i="24"/>
  <c r="F6" i="24"/>
  <c r="G6" i="24"/>
  <c r="H6" i="24"/>
  <c r="I6" i="24"/>
  <c r="J6" i="24"/>
  <c r="K6" i="24"/>
  <c r="L6" i="24"/>
  <c r="M6" i="24"/>
  <c r="C7" i="24"/>
  <c r="D7" i="24"/>
  <c r="E7" i="24"/>
  <c r="F7" i="24"/>
  <c r="G7" i="24"/>
  <c r="H7" i="24"/>
  <c r="I7" i="24"/>
  <c r="J7" i="24"/>
  <c r="K7" i="24"/>
  <c r="L7" i="24"/>
  <c r="M7" i="24"/>
  <c r="C8" i="24"/>
  <c r="D8" i="24"/>
  <c r="E8" i="24"/>
  <c r="F8" i="24"/>
  <c r="G8" i="24"/>
  <c r="H8" i="24"/>
  <c r="I8" i="24"/>
  <c r="J8" i="24"/>
  <c r="K8" i="24"/>
  <c r="L8" i="24"/>
  <c r="M8" i="24"/>
  <c r="B3" i="24"/>
  <c r="B4" i="24"/>
  <c r="B5" i="24"/>
  <c r="B6" i="24"/>
  <c r="B7" i="24"/>
  <c r="B8" i="24"/>
  <c r="B2" i="24"/>
  <c r="N37" i="1"/>
  <c r="L9" i="24" s="1"/>
  <c r="N38" i="1"/>
  <c r="L10" i="24" s="1"/>
  <c r="N39" i="1"/>
  <c r="L11" i="24" s="1"/>
  <c r="D39" i="1" l="1"/>
  <c r="B11" i="24" s="1"/>
  <c r="D38" i="1"/>
  <c r="B10" i="24" s="1"/>
  <c r="D37" i="1"/>
  <c r="G39" i="1"/>
  <c r="E11" i="24" s="1"/>
  <c r="E39" i="1"/>
  <c r="C11" i="24" s="1"/>
  <c r="B9" i="24" l="1"/>
  <c r="F39" i="1"/>
  <c r="H39" i="1"/>
  <c r="F11" i="24" s="1"/>
  <c r="I39" i="1"/>
  <c r="G11" i="24" s="1"/>
  <c r="J39" i="1"/>
  <c r="H11" i="24" s="1"/>
  <c r="K39" i="1"/>
  <c r="I11" i="24" s="1"/>
  <c r="L39" i="1"/>
  <c r="J11" i="24" s="1"/>
  <c r="M39" i="1"/>
  <c r="K11" i="24" s="1"/>
  <c r="O39" i="1"/>
  <c r="M11" i="24" s="1"/>
  <c r="P39" i="1"/>
  <c r="N11" i="24" s="1"/>
  <c r="Q39" i="1"/>
  <c r="O11" i="24" s="1"/>
  <c r="R39" i="1" l="1"/>
  <c r="P11" i="24" s="1"/>
  <c r="D11" i="24"/>
  <c r="C74" i="4"/>
  <c r="C75" i="4"/>
  <c r="C76" i="4"/>
  <c r="C77" i="4"/>
  <c r="C78" i="4"/>
  <c r="L38" i="1" l="1"/>
  <c r="J10" i="24" s="1"/>
  <c r="L37" i="1"/>
  <c r="J9" i="24" s="1"/>
  <c r="E38" i="1" l="1"/>
  <c r="C10" i="24" s="1"/>
  <c r="F38" i="1"/>
  <c r="D10" i="24" s="1"/>
  <c r="G38" i="1"/>
  <c r="E10" i="24" s="1"/>
  <c r="H38" i="1"/>
  <c r="F10" i="24" s="1"/>
  <c r="I38" i="1"/>
  <c r="G10" i="24" s="1"/>
  <c r="J38" i="1"/>
  <c r="H10" i="24" s="1"/>
  <c r="K38" i="1"/>
  <c r="I10" i="24" s="1"/>
  <c r="M38" i="1"/>
  <c r="K10" i="24" s="1"/>
  <c r="O38" i="1"/>
  <c r="M10" i="24" s="1"/>
  <c r="P38" i="1"/>
  <c r="N10" i="24" s="1"/>
  <c r="Q38" i="1"/>
  <c r="O10" i="24" s="1"/>
  <c r="Q37" i="1"/>
  <c r="O9" i="24" s="1"/>
  <c r="E37" i="1"/>
  <c r="F37" i="1"/>
  <c r="D9" i="24" s="1"/>
  <c r="G37" i="1"/>
  <c r="E9" i="24" s="1"/>
  <c r="H37" i="1"/>
  <c r="F9" i="24" s="1"/>
  <c r="I37" i="1"/>
  <c r="J37" i="1"/>
  <c r="H9" i="24" s="1"/>
  <c r="K37" i="1"/>
  <c r="I9" i="24" s="1"/>
  <c r="M37" i="1"/>
  <c r="O37" i="1"/>
  <c r="M9" i="24" s="1"/>
  <c r="N9" i="24"/>
  <c r="R36" i="1"/>
  <c r="P8" i="24" s="1"/>
  <c r="R35" i="1"/>
  <c r="P7" i="24" s="1"/>
  <c r="R34" i="1"/>
  <c r="Q21" i="18" s="1"/>
  <c r="R21" i="18" s="1"/>
  <c r="A5" i="27" s="1"/>
  <c r="R33" i="1"/>
  <c r="P5" i="24" s="1"/>
  <c r="R32" i="1"/>
  <c r="P4" i="24" s="1"/>
  <c r="R31" i="1"/>
  <c r="P3" i="24" s="1"/>
  <c r="R30" i="1"/>
  <c r="P2" i="24" s="1"/>
  <c r="M5" i="27" l="1"/>
  <c r="J5" i="27"/>
  <c r="G5" i="27"/>
  <c r="K5" i="27"/>
  <c r="L5" i="27"/>
  <c r="E5" i="27"/>
  <c r="D5" i="27"/>
  <c r="H5" i="27"/>
  <c r="I5" i="27"/>
  <c r="C5" i="27"/>
  <c r="F5" i="27"/>
  <c r="L44" i="11"/>
  <c r="B15" i="10"/>
  <c r="U38" i="18"/>
  <c r="K9" i="24"/>
  <c r="U73" i="18"/>
  <c r="Q73" i="18" s="1"/>
  <c r="R72" i="18" s="1"/>
  <c r="G9" i="24"/>
  <c r="U70" i="18"/>
  <c r="Q70" i="18" s="1"/>
  <c r="R69" i="18" s="1"/>
  <c r="P6" i="24"/>
  <c r="U25" i="18"/>
  <c r="Q25" i="18" s="1"/>
  <c r="U31" i="18"/>
  <c r="C9" i="24"/>
  <c r="R37" i="1"/>
  <c r="R38" i="1"/>
  <c r="P10" i="24" s="1"/>
  <c r="U37" i="18"/>
  <c r="M92" i="11" l="1"/>
  <c r="A21" i="27"/>
  <c r="M95" i="11"/>
  <c r="A22" i="27"/>
  <c r="M44" i="11"/>
  <c r="N44" i="11" s="1"/>
  <c r="E15" i="10" s="1"/>
  <c r="C32" i="10"/>
  <c r="C31" i="10"/>
  <c r="P9" i="24"/>
  <c r="D45" i="1"/>
  <c r="P14" i="24" s="1"/>
  <c r="Q15" i="18"/>
  <c r="M22" i="27" l="1"/>
  <c r="G22" i="27"/>
  <c r="F22" i="27"/>
  <c r="C22" i="27"/>
  <c r="J22" i="27"/>
  <c r="H22" i="27"/>
  <c r="K22" i="27"/>
  <c r="E22" i="27"/>
  <c r="I22" i="27"/>
  <c r="L22" i="27"/>
  <c r="D22" i="27"/>
  <c r="I21" i="27"/>
  <c r="D21" i="27"/>
  <c r="G21" i="27"/>
  <c r="C21" i="27"/>
  <c r="J21" i="27"/>
  <c r="M21" i="27"/>
  <c r="F21" i="27"/>
  <c r="E21" i="27"/>
  <c r="H21" i="27"/>
  <c r="K21" i="27"/>
  <c r="L21" i="27"/>
  <c r="N95" i="11"/>
  <c r="E32" i="10" s="1"/>
  <c r="N92" i="11"/>
  <c r="E31" i="10" s="1"/>
  <c r="Q31" i="18"/>
  <c r="Q34" i="18" s="1"/>
  <c r="R45" i="18"/>
  <c r="A13" i="27" s="1"/>
  <c r="R42" i="18"/>
  <c r="A12" i="27" s="1"/>
  <c r="L12" i="27" l="1"/>
  <c r="M12" i="27"/>
  <c r="C12" i="27"/>
  <c r="D12" i="27"/>
  <c r="F12" i="27"/>
  <c r="E12" i="27"/>
  <c r="H12" i="27"/>
  <c r="G12" i="27"/>
  <c r="K12" i="27"/>
  <c r="H13" i="27"/>
  <c r="G13" i="27"/>
  <c r="D13" i="27"/>
  <c r="I13" i="27"/>
  <c r="F13" i="27"/>
  <c r="E13" i="27"/>
  <c r="J13" i="27"/>
  <c r="M13" i="27"/>
  <c r="L13" i="27"/>
  <c r="K13" i="27"/>
  <c r="C13" i="27"/>
  <c r="C6" i="8"/>
  <c r="Q62" i="18"/>
  <c r="A1" i="22"/>
  <c r="B1" i="22"/>
  <c r="C1" i="22"/>
  <c r="P1" i="22"/>
  <c r="Q1" i="22"/>
  <c r="R1" i="22"/>
  <c r="S1" i="22"/>
  <c r="T1" i="22"/>
  <c r="U1" i="22"/>
  <c r="V1" i="22"/>
  <c r="W1" i="22"/>
  <c r="B2" i="22"/>
  <c r="D2" i="22"/>
  <c r="E2" i="22"/>
  <c r="F2" i="22"/>
  <c r="G2" i="22"/>
  <c r="H2" i="22"/>
  <c r="I2" i="22"/>
  <c r="J2" i="22"/>
  <c r="K2" i="22"/>
  <c r="M2" i="22"/>
  <c r="N2" i="22"/>
  <c r="O2" i="22"/>
  <c r="P2" i="22"/>
  <c r="Q2" i="22"/>
  <c r="R2" i="22"/>
  <c r="S2" i="22"/>
  <c r="U2" i="22"/>
  <c r="V2" i="22"/>
  <c r="W2" i="22"/>
  <c r="B1" i="8"/>
  <c r="B2" i="8"/>
  <c r="B6" i="8"/>
  <c r="D6" i="8"/>
  <c r="G44" i="12"/>
  <c r="J44" i="12"/>
  <c r="G45" i="12"/>
  <c r="J45" i="12"/>
  <c r="G46" i="12"/>
  <c r="J46" i="12"/>
  <c r="G47" i="12"/>
  <c r="J47" i="12"/>
  <c r="G48" i="12"/>
  <c r="J48" i="12"/>
  <c r="G49" i="12"/>
  <c r="J49" i="12"/>
  <c r="G50" i="12"/>
  <c r="J50" i="12"/>
  <c r="G51" i="12"/>
  <c r="J51" i="12"/>
  <c r="J54" i="12"/>
  <c r="X74" i="4" s="1"/>
  <c r="J55" i="12"/>
  <c r="X75" i="4" s="1"/>
  <c r="J56" i="12"/>
  <c r="X76" i="4" s="1"/>
  <c r="J57" i="12"/>
  <c r="X77" i="4" s="1"/>
  <c r="J58" i="12"/>
  <c r="X78" i="4" s="1"/>
  <c r="A99" i="16"/>
  <c r="F99" i="16" s="1"/>
  <c r="A6" i="8" s="1"/>
  <c r="C8" i="5"/>
  <c r="G8" i="5"/>
  <c r="C8" i="4"/>
  <c r="X8" i="4"/>
  <c r="D19" i="4"/>
  <c r="C2" i="22" s="1"/>
  <c r="V19" i="4"/>
  <c r="T2" i="22" s="1"/>
  <c r="D20" i="4"/>
  <c r="D21" i="4"/>
  <c r="D22" i="4"/>
  <c r="V22" i="4"/>
  <c r="D23" i="4"/>
  <c r="AC59" i="4"/>
  <c r="AC60" i="4"/>
  <c r="AC61" i="4"/>
  <c r="B62" i="4"/>
  <c r="C62" i="4"/>
  <c r="D62" i="4"/>
  <c r="S62" i="4"/>
  <c r="T62" i="4"/>
  <c r="V62" i="4"/>
  <c r="W62" i="4"/>
  <c r="X62" i="4"/>
  <c r="Y62" i="4"/>
  <c r="Z62" i="4"/>
  <c r="AA62" i="4"/>
  <c r="AB62" i="4"/>
  <c r="AC62" i="4"/>
  <c r="AD62" i="4"/>
  <c r="B63" i="4"/>
  <c r="C63" i="4"/>
  <c r="D63" i="4"/>
  <c r="S63" i="4"/>
  <c r="T63" i="4"/>
  <c r="V63" i="4"/>
  <c r="W63" i="4"/>
  <c r="X63" i="4"/>
  <c r="Y63" i="4"/>
  <c r="Z63" i="4"/>
  <c r="AA63" i="4"/>
  <c r="AB63" i="4"/>
  <c r="AC63" i="4"/>
  <c r="AD63" i="4"/>
  <c r="B64" i="4"/>
  <c r="C64" i="4"/>
  <c r="D64" i="4"/>
  <c r="S64" i="4"/>
  <c r="T64" i="4"/>
  <c r="V64" i="4"/>
  <c r="W64" i="4"/>
  <c r="X64" i="4"/>
  <c r="Y64" i="4"/>
  <c r="Z64" i="4"/>
  <c r="AA64" i="4"/>
  <c r="AB64" i="4"/>
  <c r="AC64" i="4"/>
  <c r="AD64" i="4"/>
  <c r="B65" i="4"/>
  <c r="C65" i="4"/>
  <c r="D65" i="4"/>
  <c r="S65" i="4"/>
  <c r="T65" i="4"/>
  <c r="V65" i="4"/>
  <c r="W65" i="4"/>
  <c r="X65" i="4"/>
  <c r="Y65" i="4"/>
  <c r="Z65" i="4"/>
  <c r="AA65" i="4"/>
  <c r="AB65" i="4"/>
  <c r="AC65" i="4"/>
  <c r="AD65" i="4"/>
  <c r="B66" i="4"/>
  <c r="C66" i="4"/>
  <c r="D66" i="4"/>
  <c r="S66" i="4"/>
  <c r="T66" i="4"/>
  <c r="V66" i="4"/>
  <c r="W66" i="4"/>
  <c r="X66" i="4"/>
  <c r="Y66" i="4"/>
  <c r="Z66" i="4"/>
  <c r="AA66" i="4"/>
  <c r="AB66" i="4"/>
  <c r="AC66" i="4"/>
  <c r="AD66" i="4"/>
  <c r="B67" i="4"/>
  <c r="C67" i="4"/>
  <c r="D67" i="4"/>
  <c r="S67" i="4"/>
  <c r="T67" i="4"/>
  <c r="V67" i="4"/>
  <c r="W67" i="4"/>
  <c r="X67" i="4"/>
  <c r="Y67" i="4"/>
  <c r="Z67" i="4"/>
  <c r="AA67" i="4"/>
  <c r="AB67" i="4"/>
  <c r="AC67" i="4"/>
  <c r="AD67" i="4"/>
  <c r="B68" i="4"/>
  <c r="C68" i="4"/>
  <c r="D68" i="4"/>
  <c r="S68" i="4"/>
  <c r="T68" i="4"/>
  <c r="V68" i="4"/>
  <c r="W68" i="4"/>
  <c r="X68" i="4"/>
  <c r="Y68" i="4"/>
  <c r="Z68" i="4"/>
  <c r="AA68" i="4"/>
  <c r="AB68" i="4"/>
  <c r="AC68" i="4"/>
  <c r="AD68" i="4"/>
  <c r="B69" i="4"/>
  <c r="C69" i="4"/>
  <c r="D69" i="4"/>
  <c r="S69" i="4"/>
  <c r="T69" i="4"/>
  <c r="V69" i="4"/>
  <c r="W69" i="4"/>
  <c r="X69" i="4"/>
  <c r="Y69" i="4"/>
  <c r="Z69" i="4"/>
  <c r="AA69" i="4"/>
  <c r="AB69" i="4"/>
  <c r="AC69" i="4"/>
  <c r="AD69" i="4"/>
  <c r="B70" i="4"/>
  <c r="C70" i="4"/>
  <c r="D70" i="4"/>
  <c r="S70" i="4"/>
  <c r="T70" i="4"/>
  <c r="V70" i="4"/>
  <c r="W70" i="4"/>
  <c r="X70" i="4"/>
  <c r="Y70" i="4"/>
  <c r="Z70" i="4"/>
  <c r="AA70" i="4"/>
  <c r="AB70" i="4"/>
  <c r="AC70" i="4"/>
  <c r="AD70" i="4"/>
  <c r="B71" i="4"/>
  <c r="C71" i="4"/>
  <c r="D71" i="4"/>
  <c r="S71" i="4"/>
  <c r="T71" i="4"/>
  <c r="V71" i="4"/>
  <c r="W71" i="4"/>
  <c r="X71" i="4"/>
  <c r="Y71" i="4"/>
  <c r="Z71" i="4"/>
  <c r="AA71" i="4"/>
  <c r="AB71" i="4"/>
  <c r="AC71" i="4"/>
  <c r="AD71" i="4"/>
  <c r="B72" i="4"/>
  <c r="C72" i="4"/>
  <c r="D72" i="4"/>
  <c r="S72" i="4"/>
  <c r="T72" i="4"/>
  <c r="V72" i="4"/>
  <c r="W72" i="4"/>
  <c r="X72" i="4"/>
  <c r="Y72" i="4"/>
  <c r="Z72" i="4"/>
  <c r="AA72" i="4"/>
  <c r="AB72" i="4"/>
  <c r="AC72" i="4"/>
  <c r="AD72" i="4"/>
  <c r="B73" i="4"/>
  <c r="C73" i="4"/>
  <c r="D73" i="4"/>
  <c r="S73" i="4"/>
  <c r="T73" i="4"/>
  <c r="V73" i="4"/>
  <c r="W73" i="4"/>
  <c r="X73" i="4"/>
  <c r="Y73" i="4"/>
  <c r="Z73" i="4"/>
  <c r="AA73" i="4"/>
  <c r="AB73" i="4"/>
  <c r="AC73" i="4"/>
  <c r="AD73" i="4"/>
  <c r="B74" i="4"/>
  <c r="D74" i="4"/>
  <c r="E74" i="4"/>
  <c r="S74" i="4"/>
  <c r="T74" i="4"/>
  <c r="V74" i="4"/>
  <c r="W74" i="4"/>
  <c r="Y74" i="4"/>
  <c r="Z74" i="4"/>
  <c r="AA74" i="4"/>
  <c r="AB74" i="4"/>
  <c r="AC74" i="4"/>
  <c r="AD74" i="4"/>
  <c r="B75" i="4"/>
  <c r="D75" i="4"/>
  <c r="E75" i="4"/>
  <c r="S75" i="4"/>
  <c r="T75" i="4"/>
  <c r="V75" i="4"/>
  <c r="W75" i="4"/>
  <c r="Y75" i="4"/>
  <c r="Z75" i="4"/>
  <c r="AA75" i="4"/>
  <c r="AB75" i="4"/>
  <c r="AC75" i="4"/>
  <c r="AD75" i="4"/>
  <c r="B76" i="4"/>
  <c r="D76" i="4"/>
  <c r="E76" i="4"/>
  <c r="S76" i="4"/>
  <c r="T76" i="4"/>
  <c r="V76" i="4"/>
  <c r="W76" i="4"/>
  <c r="Y76" i="4"/>
  <c r="Z76" i="4"/>
  <c r="AA76" i="4"/>
  <c r="AB76" i="4"/>
  <c r="AC76" i="4"/>
  <c r="AD76" i="4"/>
  <c r="B77" i="4"/>
  <c r="D77" i="4"/>
  <c r="E77" i="4"/>
  <c r="S77" i="4"/>
  <c r="T77" i="4"/>
  <c r="V77" i="4"/>
  <c r="W77" i="4"/>
  <c r="Y77" i="4"/>
  <c r="Z77" i="4"/>
  <c r="AA77" i="4"/>
  <c r="AB77" i="4"/>
  <c r="AC77" i="4"/>
  <c r="AD77" i="4"/>
  <c r="B78" i="4"/>
  <c r="D78" i="4"/>
  <c r="E78" i="4"/>
  <c r="S78" i="4"/>
  <c r="T78" i="4"/>
  <c r="V78" i="4"/>
  <c r="W78" i="4"/>
  <c r="Y78" i="4"/>
  <c r="Z78" i="4"/>
  <c r="AA78" i="4"/>
  <c r="AB78" i="4"/>
  <c r="AC78" i="4"/>
  <c r="AD78" i="4"/>
  <c r="B79" i="4"/>
  <c r="C79" i="4"/>
  <c r="D79" i="4"/>
  <c r="E79" i="4"/>
  <c r="S79" i="4"/>
  <c r="T79" i="4"/>
  <c r="V79" i="4"/>
  <c r="W79" i="4"/>
  <c r="X79" i="4"/>
  <c r="Y79" i="4"/>
  <c r="Z79" i="4"/>
  <c r="AA79" i="4"/>
  <c r="AB79" i="4"/>
  <c r="AD79" i="4"/>
  <c r="B80" i="4"/>
  <c r="C80" i="4"/>
  <c r="D80" i="4"/>
  <c r="E80" i="4"/>
  <c r="S80" i="4"/>
  <c r="T80" i="4"/>
  <c r="V80" i="4"/>
  <c r="W80" i="4"/>
  <c r="X80" i="4"/>
  <c r="Y80" i="4"/>
  <c r="Z80" i="4"/>
  <c r="AA80" i="4"/>
  <c r="AB80" i="4"/>
  <c r="AD80" i="4"/>
  <c r="B81" i="4"/>
  <c r="C81" i="4"/>
  <c r="D81" i="4"/>
  <c r="E81" i="4"/>
  <c r="S81" i="4"/>
  <c r="T81" i="4"/>
  <c r="V81" i="4"/>
  <c r="W81" i="4"/>
  <c r="X81" i="4"/>
  <c r="Y81" i="4"/>
  <c r="Z81" i="4"/>
  <c r="AA81" i="4"/>
  <c r="AD81" i="4"/>
  <c r="C8" i="3"/>
  <c r="J8" i="3"/>
  <c r="B2" i="10"/>
  <c r="B3" i="10"/>
  <c r="F12" i="10"/>
  <c r="G12" i="10"/>
  <c r="F13" i="10"/>
  <c r="G13" i="10"/>
  <c r="F14" i="10"/>
  <c r="G14" i="10"/>
  <c r="B16" i="10"/>
  <c r="C16" i="10"/>
  <c r="F16" i="10"/>
  <c r="G16" i="10"/>
  <c r="B17" i="10"/>
  <c r="F17" i="10"/>
  <c r="G17" i="10"/>
  <c r="B18" i="10"/>
  <c r="F18" i="10"/>
  <c r="G18" i="10"/>
  <c r="B19" i="10"/>
  <c r="F19" i="10"/>
  <c r="G19" i="10"/>
  <c r="B20" i="10"/>
  <c r="F20" i="10"/>
  <c r="G20" i="10"/>
  <c r="B21" i="10"/>
  <c r="C21" i="10"/>
  <c r="F21" i="10"/>
  <c r="G21" i="10"/>
  <c r="B22" i="10"/>
  <c r="F22" i="10"/>
  <c r="G22" i="10"/>
  <c r="B23" i="10"/>
  <c r="F23" i="10"/>
  <c r="G23" i="10"/>
  <c r="B24" i="10"/>
  <c r="F24" i="10"/>
  <c r="G24" i="10"/>
  <c r="B25" i="10"/>
  <c r="F25" i="10"/>
  <c r="G25" i="10"/>
  <c r="B26" i="10"/>
  <c r="F26" i="10"/>
  <c r="G26" i="10"/>
  <c r="B27" i="10"/>
  <c r="C27" i="10"/>
  <c r="F27" i="10"/>
  <c r="B28" i="10"/>
  <c r="C28" i="10"/>
  <c r="F28" i="10"/>
  <c r="D25" i="11"/>
  <c r="D26" i="11"/>
  <c r="O35" i="11"/>
  <c r="H12" i="10" s="1"/>
  <c r="O38" i="11"/>
  <c r="H13" i="10" s="1"/>
  <c r="M39" i="11"/>
  <c r="M40" i="11"/>
  <c r="O41" i="11"/>
  <c r="H14" i="10" s="1"/>
  <c r="O47" i="11"/>
  <c r="H16" i="10" s="1"/>
  <c r="O50" i="11"/>
  <c r="H17" i="10" s="1"/>
  <c r="O53" i="11"/>
  <c r="H18" i="10" s="1"/>
  <c r="O56" i="11"/>
  <c r="H19" i="10" s="1"/>
  <c r="O59" i="11"/>
  <c r="H20" i="10" s="1"/>
  <c r="O62" i="11"/>
  <c r="H21" i="10" s="1"/>
  <c r="L65" i="11"/>
  <c r="O65" i="11"/>
  <c r="H22" i="10" s="1"/>
  <c r="L68" i="11"/>
  <c r="O68" i="11"/>
  <c r="H23" i="10" s="1"/>
  <c r="O71" i="11"/>
  <c r="H24" i="10" s="1"/>
  <c r="O74" i="11"/>
  <c r="H25" i="10" s="1"/>
  <c r="O77" i="11"/>
  <c r="H26" i="10" s="1"/>
  <c r="O80" i="11"/>
  <c r="H27" i="10" s="1"/>
  <c r="O83" i="11"/>
  <c r="H28" i="10" s="1"/>
  <c r="F8" i="18"/>
  <c r="K8" i="18"/>
  <c r="Q12" i="18"/>
  <c r="R12" i="18" s="1"/>
  <c r="Q18" i="18"/>
  <c r="R18" i="18" s="1"/>
  <c r="Q26" i="18"/>
  <c r="R24" i="18" s="1"/>
  <c r="A6" i="27" s="1"/>
  <c r="Q28" i="18"/>
  <c r="C17" i="10" s="1"/>
  <c r="C20" i="10"/>
  <c r="Q38" i="18"/>
  <c r="Q41" i="18"/>
  <c r="R39" i="18" s="1"/>
  <c r="A11" i="27" s="1"/>
  <c r="M65" i="11"/>
  <c r="N65" i="11" s="1"/>
  <c r="E22" i="10" s="1"/>
  <c r="Q50" i="18"/>
  <c r="C25" i="10"/>
  <c r="Q55" i="18"/>
  <c r="C26" i="10" s="1"/>
  <c r="Q59" i="18"/>
  <c r="R57" i="18" s="1"/>
  <c r="A17" i="27" s="1"/>
  <c r="M6" i="27" l="1"/>
  <c r="G6" i="27"/>
  <c r="F6" i="27"/>
  <c r="D6" i="27"/>
  <c r="I6" i="27"/>
  <c r="H6" i="27"/>
  <c r="K6" i="27"/>
  <c r="J6" i="27"/>
  <c r="C6" i="27"/>
  <c r="L6" i="27"/>
  <c r="E6" i="27"/>
  <c r="C11" i="27"/>
  <c r="J11" i="27"/>
  <c r="E11" i="27"/>
  <c r="H11" i="27"/>
  <c r="G11" i="27"/>
  <c r="L11" i="27"/>
  <c r="D11" i="27"/>
  <c r="F11" i="27"/>
  <c r="K11" i="27"/>
  <c r="I11" i="27"/>
  <c r="M11" i="27"/>
  <c r="C17" i="27"/>
  <c r="K17" i="27"/>
  <c r="L17" i="27"/>
  <c r="H17" i="27"/>
  <c r="J17" i="27"/>
  <c r="D17" i="27"/>
  <c r="I17" i="27"/>
  <c r="F17" i="27"/>
  <c r="G17" i="27"/>
  <c r="M17" i="27"/>
  <c r="E17" i="27"/>
  <c r="D28" i="10"/>
  <c r="R60" i="18"/>
  <c r="C5" i="22"/>
  <c r="C4" i="22"/>
  <c r="C6" i="22"/>
  <c r="C3" i="22"/>
  <c r="T5" i="22"/>
  <c r="L83" i="11"/>
  <c r="B12" i="10"/>
  <c r="C19" i="10"/>
  <c r="R15" i="18"/>
  <c r="D20" i="10"/>
  <c r="R36" i="18"/>
  <c r="A10" i="27" s="1"/>
  <c r="D24" i="10"/>
  <c r="R48" i="18"/>
  <c r="A14" i="27" s="1"/>
  <c r="I12" i="27"/>
  <c r="J99" i="16"/>
  <c r="C24" i="10"/>
  <c r="Q56" i="18"/>
  <c r="R54" i="18" s="1"/>
  <c r="A16" i="27" s="1"/>
  <c r="Q53" i="18"/>
  <c r="Q29" i="18"/>
  <c r="Q35" i="18"/>
  <c r="M80" i="11"/>
  <c r="N80" i="11" s="1"/>
  <c r="E27" i="10" s="1"/>
  <c r="D27" i="10"/>
  <c r="L80" i="11"/>
  <c r="J12" i="27"/>
  <c r="I99" i="16"/>
  <c r="D24" i="4"/>
  <c r="A2" i="27"/>
  <c r="M35" i="11"/>
  <c r="N35" i="11" s="1"/>
  <c r="E12" i="10" s="1"/>
  <c r="L59" i="11"/>
  <c r="B14" i="10"/>
  <c r="L41" i="11"/>
  <c r="L62" i="11"/>
  <c r="D21" i="10"/>
  <c r="L35" i="11"/>
  <c r="D24" i="11"/>
  <c r="L47" i="11"/>
  <c r="D16" i="10"/>
  <c r="G99" i="16"/>
  <c r="O14" i="1" s="1"/>
  <c r="B99" i="16"/>
  <c r="D99" i="16"/>
  <c r="C99" i="16"/>
  <c r="E99" i="16"/>
  <c r="H99" i="16"/>
  <c r="L71" i="11"/>
  <c r="B13" i="10"/>
  <c r="L38" i="11"/>
  <c r="M68" i="11"/>
  <c r="N68" i="11" s="1"/>
  <c r="E23" i="10" s="1"/>
  <c r="L16" i="27" l="1"/>
  <c r="I16" i="27"/>
  <c r="K16" i="27"/>
  <c r="D16" i="27"/>
  <c r="H16" i="27"/>
  <c r="G16" i="27"/>
  <c r="M16" i="27"/>
  <c r="C16" i="27"/>
  <c r="J16" i="27"/>
  <c r="F16" i="27"/>
  <c r="E16" i="27"/>
  <c r="M83" i="11"/>
  <c r="A18" i="27"/>
  <c r="M10" i="27"/>
  <c r="E10" i="27"/>
  <c r="L10" i="27"/>
  <c r="G10" i="27"/>
  <c r="F10" i="27"/>
  <c r="J10" i="27"/>
  <c r="C10" i="27"/>
  <c r="D10" i="27"/>
  <c r="I10" i="27"/>
  <c r="H10" i="27"/>
  <c r="K10" i="27"/>
  <c r="M14" i="27"/>
  <c r="C14" i="27"/>
  <c r="L14" i="27"/>
  <c r="D14" i="27"/>
  <c r="K14" i="27"/>
  <c r="I14" i="27"/>
  <c r="E14" i="27"/>
  <c r="J14" i="27"/>
  <c r="G14" i="27"/>
  <c r="F14" i="27"/>
  <c r="H14" i="27"/>
  <c r="N83" i="11"/>
  <c r="E28" i="10" s="1"/>
  <c r="C7" i="22"/>
  <c r="H2" i="27"/>
  <c r="I2" i="27"/>
  <c r="L74" i="11"/>
  <c r="R51" i="18"/>
  <c r="A15" i="27" s="1"/>
  <c r="L50" i="11"/>
  <c r="R27" i="18"/>
  <c r="A7" i="27" s="1"/>
  <c r="R33" i="18"/>
  <c r="D26" i="10"/>
  <c r="L77" i="11"/>
  <c r="D17" i="10"/>
  <c r="D25" i="10"/>
  <c r="L56" i="11"/>
  <c r="D19" i="10"/>
  <c r="C18" i="10"/>
  <c r="Q32" i="18"/>
  <c r="R30" i="18" s="1"/>
  <c r="A8" i="27" s="1"/>
  <c r="M71" i="11"/>
  <c r="N71" i="11" s="1"/>
  <c r="E24" i="10" s="1"/>
  <c r="C6" i="5"/>
  <c r="C6" i="4"/>
  <c r="F6" i="18"/>
  <c r="C6" i="3"/>
  <c r="A26" i="12"/>
  <c r="B3" i="8"/>
  <c r="M38" i="11"/>
  <c r="N38" i="11" s="1"/>
  <c r="E13" i="10" s="1"/>
  <c r="A3" i="27"/>
  <c r="H3" i="27" s="1"/>
  <c r="M62" i="11"/>
  <c r="N62" i="11" s="1"/>
  <c r="E21" i="10" s="1"/>
  <c r="M77" i="11"/>
  <c r="N77" i="11" s="1"/>
  <c r="E26" i="10" s="1"/>
  <c r="K2" i="27"/>
  <c r="L2" i="27"/>
  <c r="G2" i="27"/>
  <c r="J2" i="27"/>
  <c r="E2" i="27"/>
  <c r="F2" i="27"/>
  <c r="M2" i="27"/>
  <c r="C2" i="27"/>
  <c r="D2" i="27"/>
  <c r="D27" i="11"/>
  <c r="M47" i="11"/>
  <c r="N47" i="11" s="1"/>
  <c r="E16" i="10" s="1"/>
  <c r="M41" i="11"/>
  <c r="N41" i="11" s="1"/>
  <c r="E14" i="10" s="1"/>
  <c r="A4" i="27"/>
  <c r="H4" i="27" s="1"/>
  <c r="M59" i="11"/>
  <c r="N59" i="11" s="1"/>
  <c r="E20" i="10" s="1"/>
  <c r="L8" i="27" l="1"/>
  <c r="F8" i="27"/>
  <c r="E8" i="27"/>
  <c r="J8" i="27"/>
  <c r="H8" i="27"/>
  <c r="G8" i="27"/>
  <c r="M8" i="27"/>
  <c r="K8" i="27"/>
  <c r="D8" i="27"/>
  <c r="I8" i="27"/>
  <c r="C8" i="27"/>
  <c r="C7" i="27"/>
  <c r="I7" i="27"/>
  <c r="M7" i="27"/>
  <c r="G7" i="27"/>
  <c r="K7" i="27"/>
  <c r="D7" i="27"/>
  <c r="J7" i="27"/>
  <c r="E7" i="27"/>
  <c r="H7" i="27"/>
  <c r="L7" i="27"/>
  <c r="F7" i="27"/>
  <c r="M56" i="11"/>
  <c r="N56" i="11" s="1"/>
  <c r="E19" i="10" s="1"/>
  <c r="A9" i="27"/>
  <c r="C15" i="27"/>
  <c r="G15" i="27"/>
  <c r="M15" i="27"/>
  <c r="E15" i="27"/>
  <c r="K15" i="27"/>
  <c r="I15" i="27"/>
  <c r="L15" i="27"/>
  <c r="D15" i="27"/>
  <c r="H15" i="27"/>
  <c r="J15" i="27"/>
  <c r="F15" i="27"/>
  <c r="M18" i="27"/>
  <c r="I18" i="27"/>
  <c r="C18" i="27"/>
  <c r="J18" i="27"/>
  <c r="H18" i="27"/>
  <c r="K18" i="27"/>
  <c r="L18" i="27"/>
  <c r="E18" i="27"/>
  <c r="D18" i="27"/>
  <c r="G18" i="27"/>
  <c r="F18" i="27"/>
  <c r="E6" i="11"/>
  <c r="D6" i="11"/>
  <c r="F6" i="11"/>
  <c r="C6" i="11"/>
  <c r="G6" i="11"/>
  <c r="G9" i="11" s="1"/>
  <c r="G80" i="18" s="1"/>
  <c r="H6" i="11"/>
  <c r="B26" i="12"/>
  <c r="M74" i="11"/>
  <c r="N74" i="11" s="1"/>
  <c r="E25" i="10" s="1"/>
  <c r="M50" i="11"/>
  <c r="N50" i="11" s="1"/>
  <c r="E17" i="10" s="1"/>
  <c r="D18" i="10"/>
  <c r="L53" i="11"/>
  <c r="D4" i="27"/>
  <c r="M4" i="27"/>
  <c r="F4" i="27"/>
  <c r="J4" i="27"/>
  <c r="I4" i="27"/>
  <c r="L4" i="27"/>
  <c r="G4" i="27"/>
  <c r="C4" i="27"/>
  <c r="E4" i="27"/>
  <c r="K4" i="27"/>
  <c r="D3" i="27"/>
  <c r="E3" i="27"/>
  <c r="M3" i="27"/>
  <c r="I3" i="27"/>
  <c r="G3" i="27"/>
  <c r="J3" i="27"/>
  <c r="F3" i="27"/>
  <c r="K3" i="27"/>
  <c r="L3" i="27"/>
  <c r="C3" i="27"/>
  <c r="M9" i="27" l="1"/>
  <c r="J9" i="27"/>
  <c r="E9" i="27"/>
  <c r="K9" i="27"/>
  <c r="L9" i="27"/>
  <c r="D9" i="27"/>
  <c r="F9" i="27"/>
  <c r="G9" i="27"/>
  <c r="H9" i="27"/>
  <c r="I9" i="27"/>
  <c r="C9" i="27"/>
  <c r="A7" i="25"/>
  <c r="H14" i="25" s="1"/>
  <c r="E14" i="25" s="1"/>
  <c r="B20" i="4"/>
  <c r="A3" i="22" s="1"/>
  <c r="A3" i="25"/>
  <c r="B22" i="4"/>
  <c r="A5" i="22" s="1"/>
  <c r="A4" i="25"/>
  <c r="B21" i="4"/>
  <c r="A4" i="22" s="1"/>
  <c r="A6" i="25"/>
  <c r="H13" i="25" s="1"/>
  <c r="E13" i="25" s="1"/>
  <c r="B19" i="4"/>
  <c r="A2" i="22" s="1"/>
  <c r="B23" i="4"/>
  <c r="V28" i="4" s="1"/>
  <c r="A5" i="25"/>
  <c r="H26" i="25" s="1"/>
  <c r="E26" i="25" s="1"/>
  <c r="A8" i="25"/>
  <c r="B25" i="4"/>
  <c r="A8" i="22" s="1"/>
  <c r="B24" i="4"/>
  <c r="A7" i="22" s="1"/>
  <c r="A2" i="25"/>
  <c r="H30" i="25" s="1"/>
  <c r="E30" i="25" s="1"/>
  <c r="E9" i="11"/>
  <c r="E7" i="11"/>
  <c r="E10" i="11"/>
  <c r="H10" i="11"/>
  <c r="H9" i="11"/>
  <c r="H7" i="11"/>
  <c r="E11" i="11"/>
  <c r="C9" i="11"/>
  <c r="G77" i="18" s="1"/>
  <c r="D7" i="11"/>
  <c r="D10" i="11"/>
  <c r="F9" i="11"/>
  <c r="G81" i="18" s="1"/>
  <c r="G10" i="11"/>
  <c r="G7" i="11"/>
  <c r="G8" i="11" s="1"/>
  <c r="K6" i="11"/>
  <c r="I6" i="11"/>
  <c r="D9" i="11"/>
  <c r="M53" i="11"/>
  <c r="N53" i="11" s="1"/>
  <c r="E18" i="10" s="1"/>
  <c r="R21" i="27" a="1"/>
  <c r="R20" i="27" a="1"/>
  <c r="V12" i="27" a="1"/>
  <c r="U20" i="27" a="1"/>
  <c r="W2" i="27" a="1"/>
  <c r="V13" i="27" a="1"/>
  <c r="Y12" i="27" a="1"/>
  <c r="T16" i="27" a="1"/>
  <c r="T7" i="27" a="1"/>
  <c r="Y11" i="27" a="1"/>
  <c r="V5" i="27" a="1"/>
  <c r="Y3" i="27" a="1"/>
  <c r="P2" i="27" a="1"/>
  <c r="S10" i="27" a="1"/>
  <c r="S6" i="27" a="1"/>
  <c r="P10" i="27" a="1"/>
  <c r="U8" i="27" a="1"/>
  <c r="O16" i="27" a="1"/>
  <c r="R7" i="27" a="1"/>
  <c r="X5" i="27" a="1"/>
  <c r="O14" i="27" a="1"/>
  <c r="X10" i="27" a="1"/>
  <c r="O20" i="27" a="1"/>
  <c r="X3" i="27" a="1"/>
  <c r="T10" i="27" a="1"/>
  <c r="S18" i="27" a="1"/>
  <c r="X20" i="27" a="1"/>
  <c r="O15" i="27" a="1"/>
  <c r="U6" i="27" a="1"/>
  <c r="U22" i="27" a="1"/>
  <c r="V15" i="27" a="1"/>
  <c r="Y5" i="27" a="1"/>
  <c r="Q18" i="27" a="1"/>
  <c r="Y13" i="27" a="1"/>
  <c r="U13" i="27" a="1"/>
  <c r="X9" i="27" a="1"/>
  <c r="P9" i="27" a="1"/>
  <c r="W9" i="27" a="1"/>
  <c r="W21" i="27" a="1"/>
  <c r="X15" i="27" a="1"/>
  <c r="X7" i="27" a="1"/>
  <c r="W18" i="27" a="1"/>
  <c r="P17" i="27" a="1"/>
  <c r="Q9" i="27" a="1"/>
  <c r="P6" i="27" a="1"/>
  <c r="Y19" i="27" a="1"/>
  <c r="Q5" i="27" a="1"/>
  <c r="X19" i="27" a="1"/>
  <c r="P12" i="27" a="1"/>
  <c r="V8" i="27" a="1"/>
  <c r="U14" i="27" a="1"/>
  <c r="V9" i="27" a="1"/>
  <c r="Q8" i="27" a="1"/>
  <c r="Y10" i="27" a="1"/>
  <c r="O13" i="27" a="1"/>
  <c r="V3" i="27" a="1"/>
  <c r="O17" i="27" a="1"/>
  <c r="S8" i="27" a="1"/>
  <c r="R2" i="27" a="1"/>
  <c r="U5" i="27" a="1"/>
  <c r="O7" i="27" a="1"/>
  <c r="Q13" i="27" a="1"/>
  <c r="Q10" i="27" a="1"/>
  <c r="O4" i="27" a="1"/>
  <c r="O8" i="27" a="1"/>
  <c r="W19" i="27" a="1"/>
  <c r="R10" i="27" a="1"/>
  <c r="T11" i="27" a="1"/>
  <c r="Y6" i="27" a="1"/>
  <c r="R8" i="27" a="1"/>
  <c r="V2" i="27" a="1"/>
  <c r="O22" i="27" a="1"/>
  <c r="V21" i="27" a="1"/>
  <c r="R18" i="27" a="1"/>
  <c r="V16" i="27" a="1"/>
  <c r="P5" i="27" a="1"/>
  <c r="S2" i="27" a="1"/>
  <c r="O11" i="27" a="1"/>
  <c r="Q20" i="27" a="1"/>
  <c r="X13" i="27" a="1"/>
  <c r="Y16" i="27" a="1"/>
  <c r="Q16" i="27" a="1"/>
  <c r="X18" i="27" a="1"/>
  <c r="T19" i="27" a="1"/>
  <c r="P3" i="27" a="1"/>
  <c r="Q3" i="27" a="1"/>
  <c r="O5" i="27" a="1"/>
  <c r="X21" i="27" a="1"/>
  <c r="U18" i="27" a="1"/>
  <c r="Q22" i="27" a="1"/>
  <c r="P19" i="27" a="1"/>
  <c r="P11" i="27" a="1"/>
  <c r="U10" i="27" a="1"/>
  <c r="Y7" i="27" a="1"/>
  <c r="Q2" i="27" a="1"/>
  <c r="T17" i="27" a="1"/>
  <c r="R13" i="27" a="1"/>
  <c r="U12" i="27" a="1"/>
  <c r="S22" i="27" a="1"/>
  <c r="R4" i="27" a="1"/>
  <c r="P4" i="27" a="1"/>
  <c r="V11" i="27" a="1"/>
  <c r="V18" i="27" a="1"/>
  <c r="V22" i="27" a="1"/>
  <c r="R19" i="27" a="1"/>
  <c r="X14" i="27" a="1"/>
  <c r="R6" i="27" a="1"/>
  <c r="T21" i="27" a="1"/>
  <c r="U9" i="27" a="1"/>
  <c r="P13" i="27" a="1"/>
  <c r="R12" i="27" a="1"/>
  <c r="W16" i="27" a="1"/>
  <c r="T5" i="27" a="1"/>
  <c r="X11" i="27" a="1"/>
  <c r="Y20" i="27" a="1"/>
  <c r="P7" i="27" a="1"/>
  <c r="Y21" i="27" a="1"/>
  <c r="Y9" i="27" a="1"/>
  <c r="Q15" i="27" a="1"/>
  <c r="U7" i="27" a="1"/>
  <c r="P8" i="27" a="1"/>
  <c r="V10" i="27" a="1"/>
  <c r="T6" i="27" a="1"/>
  <c r="X12" i="27" a="1"/>
  <c r="T18" i="27" a="1"/>
  <c r="T13" i="27" a="1"/>
  <c r="T2" i="27" a="1"/>
  <c r="U16" i="27" a="1"/>
  <c r="P20" i="27" a="1"/>
  <c r="X6" i="27" a="1"/>
  <c r="R14" i="27" a="1"/>
  <c r="U2" i="27" a="1"/>
  <c r="R3" i="27" a="1"/>
  <c r="Y14" i="27" a="1"/>
  <c r="Q19" i="27" a="1"/>
  <c r="X16" i="27" a="1"/>
  <c r="X17" i="27" a="1"/>
  <c r="V20" i="27" a="1"/>
  <c r="X2" i="27" a="1"/>
  <c r="T12" i="27" a="1"/>
  <c r="O3" i="27" a="1"/>
  <c r="O21" i="27" a="1"/>
  <c r="Q17" i="27" a="1"/>
  <c r="U19" i="27" a="1"/>
  <c r="P21" i="27" a="1"/>
  <c r="Y17" i="27" a="1"/>
  <c r="W6" i="27" a="1"/>
  <c r="U17" i="27" a="1"/>
  <c r="Q4" i="27" a="1"/>
  <c r="U3" i="27" a="1"/>
  <c r="Q14" i="27" a="1"/>
  <c r="U15" i="27" a="1"/>
  <c r="Q12" i="27" a="1"/>
  <c r="X8" i="27" a="1"/>
  <c r="R5" i="27" a="1"/>
  <c r="V6" i="27" a="1"/>
  <c r="R15" i="27" a="1"/>
  <c r="Y2" i="27" a="1"/>
  <c r="R17" i="27" a="1"/>
  <c r="T3" i="27" a="1"/>
  <c r="Y4" i="27" a="1"/>
  <c r="X22" i="27" a="1"/>
  <c r="P15" i="27" a="1"/>
  <c r="V17" i="27" a="1"/>
  <c r="R16" i="27" a="1"/>
  <c r="P22" i="27" a="1"/>
  <c r="T14" i="27" a="1"/>
  <c r="P16" i="27" a="1"/>
  <c r="U4" i="27" a="1"/>
  <c r="S7" i="27" a="1"/>
  <c r="T15" i="27" a="1"/>
  <c r="P18" i="27" a="1"/>
  <c r="Y8" i="27" a="1"/>
  <c r="O12" i="27" a="1"/>
  <c r="S9" i="27" a="1"/>
  <c r="T8" i="27" a="1"/>
  <c r="O6" i="27" a="1"/>
  <c r="V7" i="27" a="1"/>
  <c r="Y15" i="27" a="1"/>
  <c r="S21" i="27" a="1"/>
  <c r="R11" i="27" a="1"/>
  <c r="T9" i="27" a="1"/>
  <c r="O10" i="27" a="1"/>
  <c r="Y22" i="27" a="1"/>
  <c r="Q21" i="27" a="1"/>
  <c r="X4" i="27" a="1"/>
  <c r="T22" i="27" a="1"/>
  <c r="Y18" i="27" a="1"/>
  <c r="Q7" i="27" a="1"/>
  <c r="T20" i="27" a="1"/>
  <c r="O19" i="27" a="1"/>
  <c r="U21" i="27" a="1"/>
  <c r="T4" i="27" a="1"/>
  <c r="V14" i="27" a="1"/>
  <c r="O9" i="27" a="1"/>
  <c r="V19" i="27" a="1"/>
  <c r="O2" i="27" a="1"/>
  <c r="U11" i="27" a="1"/>
  <c r="P14" i="27" a="1"/>
  <c r="V4" i="27" a="1"/>
  <c r="W8" i="27" a="1"/>
  <c r="O18" i="27" a="1"/>
  <c r="R9" i="27" a="1"/>
  <c r="Q11" i="27" a="1"/>
  <c r="R22" i="27" a="1"/>
  <c r="Q6" i="27" a="1"/>
  <c r="H79" i="18" l="1"/>
  <c r="O9" i="27"/>
  <c r="O17" i="27"/>
  <c r="O14" i="27"/>
  <c r="O4" i="27"/>
  <c r="O20" i="27"/>
  <c r="O15" i="27"/>
  <c r="O16" i="27"/>
  <c r="O3" i="27"/>
  <c r="O11" i="27"/>
  <c r="O19" i="27"/>
  <c r="O18" i="27"/>
  <c r="O10" i="27"/>
  <c r="O2" i="27"/>
  <c r="O8" i="27"/>
  <c r="O5" i="27"/>
  <c r="O13" i="27"/>
  <c r="O6" i="27"/>
  <c r="O22" i="27"/>
  <c r="O12" i="27"/>
  <c r="O7" i="27"/>
  <c r="O21" i="27"/>
  <c r="R3" i="27"/>
  <c r="R11" i="27"/>
  <c r="R19" i="27"/>
  <c r="R8" i="27"/>
  <c r="R16" i="27"/>
  <c r="R17" i="27"/>
  <c r="R5" i="27"/>
  <c r="R13" i="27"/>
  <c r="R21" i="27"/>
  <c r="R10" i="27"/>
  <c r="R18" i="27"/>
  <c r="R6" i="27"/>
  <c r="R22" i="27"/>
  <c r="R7" i="27"/>
  <c r="R15" i="27"/>
  <c r="R4" i="27"/>
  <c r="R12" i="27"/>
  <c r="R20" i="27"/>
  <c r="R2" i="27"/>
  <c r="R9" i="27"/>
  <c r="R14" i="27"/>
  <c r="Q3" i="27"/>
  <c r="Q11" i="27"/>
  <c r="Q19" i="27"/>
  <c r="Q14" i="27"/>
  <c r="Q10" i="27"/>
  <c r="Q8" i="27"/>
  <c r="Q2" i="27"/>
  <c r="Q5" i="27"/>
  <c r="Q13" i="27"/>
  <c r="Q21" i="27"/>
  <c r="Q16" i="27"/>
  <c r="Q12" i="27"/>
  <c r="Q9" i="27"/>
  <c r="Q4" i="27"/>
  <c r="Q7" i="27"/>
  <c r="Q15" i="27"/>
  <c r="Q6" i="27"/>
  <c r="Q22" i="27"/>
  <c r="Q18" i="27"/>
  <c r="Q17" i="27"/>
  <c r="Q20" i="27"/>
  <c r="S6" i="27"/>
  <c r="S8" i="27"/>
  <c r="S2" i="27"/>
  <c r="S10" i="27"/>
  <c r="S7" i="27"/>
  <c r="S22" i="27"/>
  <c r="S9" i="27"/>
  <c r="S18" i="27"/>
  <c r="S21" i="27"/>
  <c r="U3" i="27"/>
  <c r="U11" i="27"/>
  <c r="U19" i="27"/>
  <c r="U14" i="27"/>
  <c r="U16" i="27"/>
  <c r="U5" i="27"/>
  <c r="U13" i="27"/>
  <c r="U21" i="27"/>
  <c r="U4" i="27"/>
  <c r="U18" i="27"/>
  <c r="U9" i="27"/>
  <c r="U8" i="27"/>
  <c r="U22" i="27"/>
  <c r="U2" i="27"/>
  <c r="U7" i="27"/>
  <c r="U15" i="27"/>
  <c r="U6" i="27"/>
  <c r="U10" i="27"/>
  <c r="U20" i="27"/>
  <c r="U17" i="27"/>
  <c r="U12" i="27"/>
  <c r="P3" i="27"/>
  <c r="P11" i="27"/>
  <c r="P19" i="27"/>
  <c r="P18" i="27"/>
  <c r="P12" i="27"/>
  <c r="P2" i="27"/>
  <c r="P14" i="27"/>
  <c r="P5" i="27"/>
  <c r="P13" i="27"/>
  <c r="P6" i="27"/>
  <c r="P22" i="27"/>
  <c r="P16" i="27"/>
  <c r="P9" i="27"/>
  <c r="P10" i="27"/>
  <c r="P7" i="27"/>
  <c r="P15" i="27"/>
  <c r="P8" i="27"/>
  <c r="P4" i="27"/>
  <c r="P20" i="27"/>
  <c r="P17" i="27"/>
  <c r="P21" i="27"/>
  <c r="V3" i="27"/>
  <c r="V11" i="27"/>
  <c r="V19" i="27"/>
  <c r="V8" i="27"/>
  <c r="V16" i="27"/>
  <c r="V2" i="27"/>
  <c r="V9" i="27"/>
  <c r="V14" i="27"/>
  <c r="V5" i="27"/>
  <c r="V13" i="27"/>
  <c r="V21" i="27"/>
  <c r="V10" i="27"/>
  <c r="V18" i="27"/>
  <c r="V17" i="27"/>
  <c r="V22" i="27"/>
  <c r="V7" i="27"/>
  <c r="V15" i="27"/>
  <c r="V4" i="27"/>
  <c r="V12" i="27"/>
  <c r="V20" i="27"/>
  <c r="V6" i="27"/>
  <c r="W19" i="27"/>
  <c r="W8" i="27"/>
  <c r="W2" i="27"/>
  <c r="W21" i="27"/>
  <c r="W18" i="27"/>
  <c r="W6" i="27"/>
  <c r="W16" i="27"/>
  <c r="W9" i="27"/>
  <c r="T7" i="27"/>
  <c r="T18" i="27"/>
  <c r="T4" i="27"/>
  <c r="T2" i="27"/>
  <c r="T9" i="27"/>
  <c r="T17" i="27"/>
  <c r="T6" i="27"/>
  <c r="T16" i="27"/>
  <c r="T22" i="27"/>
  <c r="T14" i="27"/>
  <c r="T11" i="27"/>
  <c r="T19" i="27"/>
  <c r="T8" i="27"/>
  <c r="T20" i="27"/>
  <c r="T15" i="27"/>
  <c r="T3" i="27"/>
  <c r="T5" i="27"/>
  <c r="T13" i="27"/>
  <c r="T21" i="27"/>
  <c r="T10" i="27"/>
  <c r="T12" i="27"/>
  <c r="X3" i="27"/>
  <c r="X11" i="27"/>
  <c r="X19" i="27"/>
  <c r="X18" i="27"/>
  <c r="X10" i="27"/>
  <c r="X17" i="27"/>
  <c r="X20" i="27"/>
  <c r="X5" i="27"/>
  <c r="X13" i="27"/>
  <c r="X6" i="27"/>
  <c r="X22" i="27"/>
  <c r="X12" i="27"/>
  <c r="X14" i="27"/>
  <c r="X7" i="27"/>
  <c r="X15" i="27"/>
  <c r="X8" i="27"/>
  <c r="X21" i="27"/>
  <c r="X16" i="27"/>
  <c r="X2" i="27"/>
  <c r="X9" i="27"/>
  <c r="X4" i="27"/>
  <c r="Y3" i="27"/>
  <c r="Y11" i="27"/>
  <c r="Y6" i="27"/>
  <c r="Y22" i="27"/>
  <c r="Y12" i="27"/>
  <c r="Y17" i="27"/>
  <c r="Y5" i="27"/>
  <c r="Y13" i="27"/>
  <c r="Y8" i="27"/>
  <c r="Y21" i="27"/>
  <c r="Y16" i="27"/>
  <c r="Y2" i="27"/>
  <c r="Y18" i="27"/>
  <c r="Y19" i="27"/>
  <c r="Y7" i="27"/>
  <c r="Y15" i="27"/>
  <c r="Y14" i="27"/>
  <c r="Y4" i="27"/>
  <c r="Y20" i="27"/>
  <c r="Y9" i="27"/>
  <c r="Y10" i="27"/>
  <c r="H80" i="18"/>
  <c r="H77" i="18"/>
  <c r="H33" i="25"/>
  <c r="E33" i="25" s="1"/>
  <c r="H51" i="25"/>
  <c r="I51" i="25" s="1" a="1"/>
  <c r="I51" i="25" s="1"/>
  <c r="H19" i="25"/>
  <c r="E19" i="25" s="1"/>
  <c r="H10" i="25"/>
  <c r="J10" i="25" s="1"/>
  <c r="H3" i="25"/>
  <c r="H9" i="25"/>
  <c r="J9" i="25" s="1"/>
  <c r="H2" i="25"/>
  <c r="H12" i="25"/>
  <c r="E12" i="25" s="1"/>
  <c r="H5" i="25"/>
  <c r="E5" i="25" s="1"/>
  <c r="H11" i="25"/>
  <c r="E11" i="25" s="1"/>
  <c r="H4" i="25"/>
  <c r="E4" i="25" s="1"/>
  <c r="H8" i="25"/>
  <c r="F8" i="25" s="1"/>
  <c r="H15" i="25"/>
  <c r="F15" i="25" s="1"/>
  <c r="H41" i="25"/>
  <c r="E41" i="25" s="1"/>
  <c r="H27" i="25"/>
  <c r="E27" i="25" s="1"/>
  <c r="H7" i="25"/>
  <c r="E7" i="25" s="1"/>
  <c r="A6" i="22"/>
  <c r="H24" i="25"/>
  <c r="J24" i="25" s="1"/>
  <c r="H38" i="25"/>
  <c r="G38" i="25" s="1"/>
  <c r="H50" i="25"/>
  <c r="E50" i="25" s="1"/>
  <c r="H17" i="25"/>
  <c r="H23" i="25"/>
  <c r="E23" i="25" s="1"/>
  <c r="H49" i="25"/>
  <c r="E49" i="25" s="1"/>
  <c r="H6" i="25"/>
  <c r="E6" i="25" s="1"/>
  <c r="H40" i="25"/>
  <c r="E40" i="25" s="1"/>
  <c r="H16" i="25"/>
  <c r="E16" i="25" s="1"/>
  <c r="H37" i="25"/>
  <c r="E37" i="25" s="1"/>
  <c r="H39" i="25"/>
  <c r="E39" i="25" s="1"/>
  <c r="V30" i="4"/>
  <c r="H25" i="25"/>
  <c r="E25" i="25" s="1"/>
  <c r="H32" i="25"/>
  <c r="E32" i="25" s="1"/>
  <c r="H34" i="25"/>
  <c r="E34" i="25" s="1"/>
  <c r="H48" i="25"/>
  <c r="H18" i="25"/>
  <c r="E18" i="25" s="1"/>
  <c r="H31" i="25"/>
  <c r="H20" i="25"/>
  <c r="E20" i="25" s="1"/>
  <c r="H52" i="25"/>
  <c r="J52" i="25" s="1"/>
  <c r="G14" i="25"/>
  <c r="J14" i="25"/>
  <c r="F14" i="25"/>
  <c r="G11" i="11"/>
  <c r="I11" i="11" s="1"/>
  <c r="K9" i="11"/>
  <c r="G78" i="18" s="1"/>
  <c r="I10" i="11"/>
  <c r="I9" i="11"/>
  <c r="E8" i="11"/>
  <c r="I8" i="11" s="1"/>
  <c r="I7" i="11"/>
  <c r="J26" i="25"/>
  <c r="F26" i="25"/>
  <c r="G26" i="25"/>
  <c r="F30" i="25"/>
  <c r="G30" i="25"/>
  <c r="J30" i="25"/>
  <c r="F13" i="25"/>
  <c r="G13" i="25"/>
  <c r="J13" i="25"/>
  <c r="W11" i="27" a="1"/>
  <c r="W4" i="27" a="1"/>
  <c r="W14" i="27" a="1"/>
  <c r="S5" i="27" a="1"/>
  <c r="S19" i="27" a="1"/>
  <c r="W3" i="27" a="1"/>
  <c r="W5" i="27" a="1"/>
  <c r="S16" i="27" a="1"/>
  <c r="W20" i="27" a="1"/>
  <c r="S3" i="27" a="1"/>
  <c r="S20" i="27" a="1"/>
  <c r="S13" i="27" a="1"/>
  <c r="S15" i="27" a="1"/>
  <c r="S14" i="27" a="1"/>
  <c r="S11" i="27" a="1"/>
  <c r="W12" i="27" a="1"/>
  <c r="W10" i="27" a="1"/>
  <c r="S4" i="27" a="1"/>
  <c r="W13" i="27" a="1"/>
  <c r="S12" i="27" a="1"/>
  <c r="W7" i="27" a="1"/>
  <c r="W15" i="27" a="1"/>
  <c r="S17" i="27" a="1"/>
  <c r="W17" i="27" a="1"/>
  <c r="W22" i="27" a="1"/>
  <c r="W7" i="27" l="1"/>
  <c r="S20" i="27"/>
  <c r="W10" i="27"/>
  <c r="S11" i="27"/>
  <c r="S12" i="27"/>
  <c r="W14" i="27"/>
  <c r="S14" i="27"/>
  <c r="W5" i="27"/>
  <c r="I17" i="3" s="1"/>
  <c r="S4" i="27"/>
  <c r="W12" i="27"/>
  <c r="S19" i="27"/>
  <c r="W22" i="27"/>
  <c r="S13" i="27"/>
  <c r="S3" i="27"/>
  <c r="W3" i="27"/>
  <c r="W13" i="27"/>
  <c r="S15" i="27"/>
  <c r="S16" i="27"/>
  <c r="W17" i="27"/>
  <c r="S17" i="27"/>
  <c r="W4" i="27"/>
  <c r="S5" i="27"/>
  <c r="W20" i="27"/>
  <c r="W15" i="27"/>
  <c r="W11" i="27"/>
  <c r="I79" i="18"/>
  <c r="G51" i="25"/>
  <c r="J33" i="25"/>
  <c r="J51" i="25"/>
  <c r="F33" i="25"/>
  <c r="E51" i="25"/>
  <c r="F51" i="25"/>
  <c r="G33" i="25"/>
  <c r="G10" i="25"/>
  <c r="E10" i="25"/>
  <c r="J19" i="25"/>
  <c r="F10" i="25"/>
  <c r="E8" i="25"/>
  <c r="F27" i="25"/>
  <c r="F12" i="25"/>
  <c r="E9" i="25"/>
  <c r="J27" i="25"/>
  <c r="G27" i="25"/>
  <c r="J8" i="25"/>
  <c r="F19" i="25"/>
  <c r="J12" i="25"/>
  <c r="G19" i="25"/>
  <c r="G12" i="25"/>
  <c r="F11" i="25"/>
  <c r="G8" i="25"/>
  <c r="J11" i="25"/>
  <c r="F9" i="25"/>
  <c r="G7" i="25"/>
  <c r="B16" i="12"/>
  <c r="C16" i="12" s="1"/>
  <c r="G41" i="25"/>
  <c r="G9" i="25"/>
  <c r="G11" i="25"/>
  <c r="F41" i="25"/>
  <c r="G50" i="25"/>
  <c r="J41" i="25"/>
  <c r="E23" i="12"/>
  <c r="E15" i="12"/>
  <c r="D23" i="12"/>
  <c r="D15" i="12"/>
  <c r="J2" i="25"/>
  <c r="F2" i="25"/>
  <c r="G24" i="25"/>
  <c r="G2" i="25"/>
  <c r="J6" i="25"/>
  <c r="E2" i="25"/>
  <c r="J7" i="25"/>
  <c r="F7" i="25"/>
  <c r="J37" i="25"/>
  <c r="F24" i="25"/>
  <c r="G37" i="25"/>
  <c r="G6" i="25"/>
  <c r="H45" i="25"/>
  <c r="E38" i="25"/>
  <c r="B20" i="12"/>
  <c r="C20" i="12" s="1"/>
  <c r="J38" i="25"/>
  <c r="F38" i="25"/>
  <c r="E31" i="25"/>
  <c r="B19" i="12"/>
  <c r="C19" i="12" s="1"/>
  <c r="E48" i="25"/>
  <c r="B23" i="12"/>
  <c r="C23" i="12" s="1"/>
  <c r="E3" i="25"/>
  <c r="B15" i="12"/>
  <c r="C15" i="12" s="1"/>
  <c r="E24" i="25"/>
  <c r="B18" i="12"/>
  <c r="C18" i="12" s="1"/>
  <c r="E17" i="25"/>
  <c r="B17" i="12"/>
  <c r="C17" i="12" s="1"/>
  <c r="F5" i="25"/>
  <c r="F34" i="25"/>
  <c r="F49" i="25"/>
  <c r="G17" i="25"/>
  <c r="G49" i="25"/>
  <c r="F17" i="25"/>
  <c r="J50" i="25"/>
  <c r="J17" i="25"/>
  <c r="J49" i="25"/>
  <c r="F50" i="25"/>
  <c r="G5" i="25"/>
  <c r="F37" i="25"/>
  <c r="F48" i="25"/>
  <c r="G23" i="25"/>
  <c r="D20" i="12"/>
  <c r="F40" i="25"/>
  <c r="J5" i="25"/>
  <c r="D18" i="12"/>
  <c r="G40" i="25"/>
  <c r="F23" i="25"/>
  <c r="J18" i="25"/>
  <c r="J40" i="25"/>
  <c r="G18" i="25"/>
  <c r="J34" i="25"/>
  <c r="F39" i="25"/>
  <c r="J31" i="25"/>
  <c r="J23" i="25"/>
  <c r="F6" i="25"/>
  <c r="F16" i="25"/>
  <c r="G32" i="25"/>
  <c r="G16" i="25"/>
  <c r="J15" i="25"/>
  <c r="F32" i="25"/>
  <c r="F20" i="25"/>
  <c r="J16" i="25"/>
  <c r="G15" i="25"/>
  <c r="F18" i="25"/>
  <c r="E20" i="12"/>
  <c r="G4" i="25"/>
  <c r="J4" i="25"/>
  <c r="D17" i="12"/>
  <c r="G34" i="25"/>
  <c r="F4" i="25"/>
  <c r="E17" i="12"/>
  <c r="J48" i="25"/>
  <c r="J39" i="25"/>
  <c r="G39" i="25"/>
  <c r="F31" i="25"/>
  <c r="J25" i="25"/>
  <c r="G3" i="25"/>
  <c r="E18" i="12"/>
  <c r="E19" i="12"/>
  <c r="J20" i="25"/>
  <c r="F3" i="25"/>
  <c r="G25" i="25"/>
  <c r="F52" i="25"/>
  <c r="E15" i="25"/>
  <c r="I52" i="25" a="1"/>
  <c r="I52" i="25" s="1"/>
  <c r="E16" i="12"/>
  <c r="D16" i="12"/>
  <c r="D19" i="12"/>
  <c r="J32" i="25"/>
  <c r="G20" i="25"/>
  <c r="F25" i="25"/>
  <c r="G52" i="25"/>
  <c r="G48" i="25"/>
  <c r="J3" i="25"/>
  <c r="G31" i="25"/>
  <c r="E52" i="25"/>
  <c r="H44" i="25"/>
  <c r="C18" i="3"/>
  <c r="A16" i="3"/>
  <c r="J28" i="3"/>
  <c r="K25" i="3"/>
  <c r="H27" i="3"/>
  <c r="B22" i="3"/>
  <c r="E20" i="3"/>
  <c r="G25" i="3"/>
  <c r="F19" i="3"/>
  <c r="D14" i="3"/>
  <c r="O43" i="25" a="1"/>
  <c r="O38" i="25" a="1"/>
  <c r="O7" i="25" a="1"/>
  <c r="O30" i="25" a="1"/>
  <c r="O34" i="25" a="1"/>
  <c r="O48" i="25" a="1"/>
  <c r="O10" i="25" a="1"/>
  <c r="O17" i="25" a="1"/>
  <c r="O9" i="25" a="1"/>
  <c r="O3" i="25" a="1"/>
  <c r="O4" i="25" a="1"/>
  <c r="O49" i="25" a="1"/>
  <c r="O16" i="25" a="1"/>
  <c r="O15" i="25" a="1"/>
  <c r="C24" i="3" l="1"/>
  <c r="J44" i="25"/>
  <c r="J58" i="25" s="1"/>
  <c r="D6" i="12" s="1"/>
  <c r="T13" i="4" s="1"/>
  <c r="E44" i="25"/>
  <c r="E45" i="25"/>
  <c r="B22" i="12" s="1"/>
  <c r="G45" i="25"/>
  <c r="D22" i="12" a="1"/>
  <c r="D22" i="12" s="1"/>
  <c r="C22" i="12" s="1"/>
  <c r="J45" i="25"/>
  <c r="E22" i="12"/>
  <c r="F45" i="25"/>
  <c r="J55" i="25"/>
  <c r="F6" i="12" s="1"/>
  <c r="G13" i="5" s="1"/>
  <c r="J57" i="25"/>
  <c r="C6" i="12" s="1"/>
  <c r="E13" i="4" s="1"/>
  <c r="E21" i="12"/>
  <c r="J56" i="25"/>
  <c r="E6" i="12" s="1"/>
  <c r="F13" i="5" s="1"/>
  <c r="D21" i="12" a="1"/>
  <c r="D21" i="12" s="1"/>
  <c r="C21" i="12" s="1"/>
  <c r="G44" i="25"/>
  <c r="O9" i="25"/>
  <c r="O10" i="25"/>
  <c r="O17" i="25"/>
  <c r="O34" i="25"/>
  <c r="O43" i="25"/>
  <c r="O49" i="25"/>
  <c r="O7" i="25"/>
  <c r="O15" i="25"/>
  <c r="O16" i="25"/>
  <c r="O38" i="25"/>
  <c r="O48" i="25"/>
  <c r="O3" i="25"/>
  <c r="C3" i="26" s="1"/>
  <c r="O4" i="25"/>
  <c r="O30" i="25"/>
  <c r="F44" i="25"/>
  <c r="H21" i="3"/>
  <c r="H25" i="3"/>
  <c r="H15" i="3"/>
  <c r="C23" i="3"/>
  <c r="G21" i="3"/>
  <c r="A20" i="3"/>
  <c r="A15" i="3"/>
  <c r="A19" i="3"/>
  <c r="C21" i="3"/>
  <c r="D16" i="3"/>
  <c r="C14" i="3"/>
  <c r="C27" i="3"/>
  <c r="C15" i="3"/>
  <c r="D25" i="3"/>
  <c r="D19" i="3"/>
  <c r="D18" i="3"/>
  <c r="G19" i="3"/>
  <c r="A21" i="3"/>
  <c r="G22" i="3"/>
  <c r="A27" i="3"/>
  <c r="G16" i="3"/>
  <c r="A24" i="3"/>
  <c r="C26" i="3"/>
  <c r="C22" i="3"/>
  <c r="G15" i="3"/>
  <c r="C20" i="3"/>
  <c r="C19" i="3"/>
  <c r="G14" i="3"/>
  <c r="G28" i="3"/>
  <c r="G20" i="3"/>
  <c r="A14" i="3"/>
  <c r="M11" i="3" s="1" a="1"/>
  <c r="M11" i="3" s="1"/>
  <c r="A12" i="3" s="1"/>
  <c r="C28" i="3"/>
  <c r="C25" i="3"/>
  <c r="F15" i="3"/>
  <c r="C16" i="3"/>
  <c r="C17" i="3"/>
  <c r="O26" i="25" a="1"/>
  <c r="O51" i="25" a="1"/>
  <c r="O33" i="25" a="1"/>
  <c r="O21" i="25" a="1"/>
  <c r="O23" i="25" a="1"/>
  <c r="O32" i="25" a="1"/>
  <c r="O19" i="25" a="1"/>
  <c r="O42" i="25" a="1"/>
  <c r="O37" i="25" a="1"/>
  <c r="O47" i="25" a="1"/>
  <c r="O24" i="25" a="1"/>
  <c r="O11" i="25" a="1"/>
  <c r="O20" i="25" a="1"/>
  <c r="O13" i="25" a="1"/>
  <c r="O40" i="25" a="1"/>
  <c r="O46" i="25" a="1"/>
  <c r="O50" i="25" a="1"/>
  <c r="O14" i="25" a="1"/>
  <c r="O36" i="25" a="1"/>
  <c r="O28" i="25" a="1"/>
  <c r="O39" i="25" a="1"/>
  <c r="O27" i="25" a="1"/>
  <c r="O29" i="25" a="1"/>
  <c r="O6" i="25" a="1"/>
  <c r="O45" i="25" a="1"/>
  <c r="O25" i="25" a="1"/>
  <c r="O31" i="25" a="1"/>
  <c r="O52" i="25" a="1"/>
  <c r="O8" i="25" a="1"/>
  <c r="O12" i="25" a="1"/>
  <c r="O41" i="25" a="1"/>
  <c r="O5" i="25" a="1"/>
  <c r="O22" i="25" a="1"/>
  <c r="O35" i="25" a="1"/>
  <c r="O44" i="25" a="1"/>
  <c r="O18" i="25" a="1"/>
  <c r="O37" i="25" l="1"/>
  <c r="O33" i="25"/>
  <c r="O23" i="25"/>
  <c r="O5" i="25"/>
  <c r="O40" i="25"/>
  <c r="O52" i="25"/>
  <c r="O44" i="25"/>
  <c r="O29" i="25"/>
  <c r="O50" i="25"/>
  <c r="O14" i="25"/>
  <c r="O11" i="25"/>
  <c r="C10" i="26" s="1"/>
  <c r="O41" i="25"/>
  <c r="O36" i="25"/>
  <c r="O19" i="25"/>
  <c r="O31" i="25"/>
  <c r="O6" i="25"/>
  <c r="O39" i="25"/>
  <c r="O24" i="25"/>
  <c r="O26" i="25"/>
  <c r="O12" i="25"/>
  <c r="O27" i="25"/>
  <c r="O22" i="25"/>
  <c r="O42" i="25"/>
  <c r="O20" i="25"/>
  <c r="O32" i="25"/>
  <c r="O51" i="25"/>
  <c r="O25" i="25"/>
  <c r="O46" i="25"/>
  <c r="O13" i="25"/>
  <c r="C12" i="26" s="1"/>
  <c r="O21" i="25"/>
  <c r="O35" i="25"/>
  <c r="O45" i="25"/>
  <c r="O18" i="25"/>
  <c r="O28" i="25"/>
  <c r="O8" i="25"/>
  <c r="O47" i="25"/>
  <c r="E13" i="5"/>
  <c r="I22" i="12" a="1"/>
  <c r="I22" i="12" s="1"/>
  <c r="J22" i="12" s="1"/>
  <c r="H15" i="12" a="1"/>
  <c r="H15" i="12" s="1"/>
  <c r="C17" i="5" s="1"/>
  <c r="D13" i="5"/>
  <c r="W13" i="4"/>
  <c r="H18" i="12" a="1"/>
  <c r="H18" i="12" s="1"/>
  <c r="C20" i="5" s="1"/>
  <c r="I21" i="12" a="1"/>
  <c r="I21" i="12" s="1"/>
  <c r="J21" i="12" s="1"/>
  <c r="Z13" i="4"/>
  <c r="B6" i="12"/>
  <c r="C13" i="5" s="1"/>
  <c r="C12" i="5" s="1"/>
  <c r="I23" i="12" a="1"/>
  <c r="I23" i="12" s="1"/>
  <c r="J23" i="12" s="1"/>
  <c r="H19" i="12" a="1"/>
  <c r="H19" i="12" s="1"/>
  <c r="C21" i="5" s="1"/>
  <c r="G18" i="12" a="1"/>
  <c r="G18" i="12" s="1"/>
  <c r="B20" i="5" s="1"/>
  <c r="I19" i="12" a="1"/>
  <c r="I19" i="12" s="1"/>
  <c r="J19" i="12" s="1"/>
  <c r="I15" i="12" a="1"/>
  <c r="I15" i="12" s="1"/>
  <c r="G19" i="12" a="1"/>
  <c r="G19" i="12" s="1"/>
  <c r="B21" i="5" s="1"/>
  <c r="I17" i="12" a="1"/>
  <c r="I17" i="12" s="1"/>
  <c r="J17" i="12" s="1"/>
  <c r="H16" i="12" a="1"/>
  <c r="H16" i="12" s="1"/>
  <c r="C18" i="5" s="1"/>
  <c r="I16" i="12" a="1"/>
  <c r="I16" i="12" s="1"/>
  <c r="J16" i="12" s="1"/>
  <c r="I12" i="25" s="1"/>
  <c r="H20" i="12" a="1"/>
  <c r="H20" i="12" s="1"/>
  <c r="C22" i="5" s="1"/>
  <c r="H23" i="12" a="1"/>
  <c r="H23" i="12" s="1"/>
  <c r="C25" i="5" s="1"/>
  <c r="G21" i="12" a="1"/>
  <c r="G21" i="12" s="1"/>
  <c r="B23" i="5" s="1"/>
  <c r="I20" i="12" a="1"/>
  <c r="I20" i="12" s="1"/>
  <c r="J20" i="12" s="1"/>
  <c r="G23" i="12" a="1"/>
  <c r="G23" i="12" s="1"/>
  <c r="B25" i="5" s="1"/>
  <c r="H17" i="12" a="1"/>
  <c r="H17" i="12" s="1"/>
  <c r="C19" i="5" s="1"/>
  <c r="H22" i="12" a="1"/>
  <c r="H22" i="12" s="1"/>
  <c r="C24" i="5" s="1"/>
  <c r="H21" i="12" a="1"/>
  <c r="H21" i="12" s="1"/>
  <c r="C23" i="5" s="1"/>
  <c r="I18" i="12" a="1"/>
  <c r="I18" i="12" s="1"/>
  <c r="J18" i="12" s="1"/>
  <c r="G22" i="12" a="1"/>
  <c r="G22" i="12" s="1"/>
  <c r="B24" i="5" s="1"/>
  <c r="G20" i="12" a="1"/>
  <c r="G20" i="12" s="1"/>
  <c r="B22" i="5" s="1"/>
  <c r="B21" i="12"/>
  <c r="G17" i="12" s="1" a="1"/>
  <c r="G17" i="12" s="1"/>
  <c r="B19" i="5" s="1"/>
  <c r="I38" i="25" a="1"/>
  <c r="I38" i="25" s="1"/>
  <c r="I34" i="25" a="1"/>
  <c r="I34" i="25" s="1"/>
  <c r="I41" i="25" a="1"/>
  <c r="I41" i="25" s="1"/>
  <c r="I50" i="25" a="1"/>
  <c r="I50" i="25" s="1"/>
  <c r="F13" i="3"/>
  <c r="C13" i="3"/>
  <c r="G13" i="3"/>
  <c r="J12" i="3"/>
  <c r="I12" i="3"/>
  <c r="B12" i="3"/>
  <c r="F12" i="3"/>
  <c r="E13" i="3"/>
  <c r="K13" i="3"/>
  <c r="B10" i="3"/>
  <c r="H13" i="3"/>
  <c r="D13" i="3"/>
  <c r="J13" i="3"/>
  <c r="B11" i="3"/>
  <c r="C12" i="3"/>
  <c r="G15" i="12" a="1"/>
  <c r="G15" i="12" s="1"/>
  <c r="B17" i="5" s="1"/>
  <c r="I23" i="25" a="1"/>
  <c r="I23" i="25" s="1"/>
  <c r="I16" i="25" a="1"/>
  <c r="I16" i="25" s="1"/>
  <c r="I26" i="25" a="1"/>
  <c r="I26" i="25" s="1"/>
  <c r="I25" i="25" a="1"/>
  <c r="I25" i="25" s="1"/>
  <c r="I24" i="25" a="1"/>
  <c r="I24" i="25" s="1"/>
  <c r="I18" i="25" a="1"/>
  <c r="I18" i="25" s="1"/>
  <c r="I17" i="25" a="1"/>
  <c r="I17" i="25" s="1"/>
  <c r="I48" i="25" a="1"/>
  <c r="I48" i="25" s="1"/>
  <c r="G16" i="12" a="1"/>
  <c r="G16" i="12" s="1"/>
  <c r="B18" i="5" s="1"/>
  <c r="I49" i="25" a="1"/>
  <c r="I49" i="25" s="1"/>
  <c r="I19" i="25" l="1" a="1"/>
  <c r="I19" i="25" s="1"/>
  <c r="I37" i="25" a="1"/>
  <c r="I37" i="25" s="1"/>
  <c r="I30" i="25" a="1"/>
  <c r="I30" i="25" s="1"/>
  <c r="I9" i="25"/>
  <c r="I14" i="25"/>
  <c r="I15" i="25"/>
  <c r="J15" i="12"/>
  <c r="I8" i="25" s="1" a="1"/>
  <c r="I8" i="25" s="1"/>
  <c r="I11" i="25"/>
  <c r="I20" i="25" a="1"/>
  <c r="I20" i="25" s="1"/>
  <c r="I33" i="25" a="1"/>
  <c r="I33" i="25" s="1"/>
  <c r="I39" i="25" a="1"/>
  <c r="I39" i="25" s="1"/>
  <c r="I40" i="25" a="1"/>
  <c r="I40" i="25" s="1"/>
  <c r="I32" i="25" a="1"/>
  <c r="I32" i="25" s="1"/>
  <c r="I31" i="25" a="1"/>
  <c r="I31" i="25" s="1"/>
  <c r="I27" i="25" a="1"/>
  <c r="I27" i="25" s="1"/>
  <c r="B13" i="4"/>
  <c r="B12" i="4" s="1"/>
  <c r="I10" i="25"/>
  <c r="I13" i="25"/>
  <c r="I44" i="25" a="1"/>
  <c r="I44" i="25" s="1"/>
  <c r="I45" i="25" a="1"/>
  <c r="I45" i="25" s="1"/>
  <c r="I2" i="25" l="1"/>
  <c r="I3" i="25" a="1"/>
  <c r="I3" i="25" s="1"/>
  <c r="I7" i="25" a="1"/>
  <c r="I7" i="25" s="1"/>
  <c r="I4" i="25" a="1"/>
  <c r="I4" i="25" s="1"/>
  <c r="I6" i="25" a="1"/>
  <c r="I6" i="25" s="1"/>
  <c r="I5" i="25" a="1"/>
  <c r="I5" i="25" s="1"/>
  <c r="C23" i="26"/>
  <c r="C7" i="26"/>
  <c r="C33" i="26"/>
  <c r="C20" i="26"/>
  <c r="C26" i="26"/>
  <c r="C36" i="26"/>
  <c r="C14" i="26"/>
  <c r="C24" i="26"/>
  <c r="C28" i="26"/>
  <c r="C31" i="26"/>
  <c r="C8" i="26"/>
  <c r="C25" i="26"/>
  <c r="C39" i="26"/>
  <c r="C6" i="26"/>
  <c r="C30" i="26"/>
  <c r="C16" i="26"/>
  <c r="C4" i="26"/>
  <c r="C11" i="26"/>
  <c r="C27" i="26"/>
  <c r="C18" i="26"/>
  <c r="C41" i="26"/>
  <c r="C43" i="26"/>
  <c r="C5" i="26"/>
  <c r="C44" i="26"/>
  <c r="C22" i="26"/>
  <c r="C29" i="26"/>
  <c r="C19" i="26"/>
  <c r="C35" i="26"/>
  <c r="C21" i="26"/>
  <c r="C42" i="26"/>
  <c r="C34" i="26"/>
  <c r="C37" i="26"/>
  <c r="C38" i="26"/>
  <c r="C15" i="26"/>
  <c r="C32" i="26"/>
  <c r="C13" i="26"/>
  <c r="C40" i="26"/>
  <c r="C9" i="26"/>
  <c r="C45" i="26"/>
  <c r="C17" i="26"/>
  <c r="M36" i="25" a="1"/>
  <c r="M24" i="25" a="1"/>
  <c r="L47" i="25" a="1"/>
  <c r="P42" i="25" a="1"/>
  <c r="N12" i="25" a="1"/>
  <c r="L41" i="25" a="1"/>
  <c r="M11" i="25" a="1"/>
  <c r="N43" i="25" a="1"/>
  <c r="M46" i="25" a="1"/>
  <c r="M41" i="25" a="1"/>
  <c r="M7" i="25" a="1"/>
  <c r="N23" i="25" a="1"/>
  <c r="M29" i="25" a="1"/>
  <c r="L37" i="25" a="1"/>
  <c r="N36" i="25" a="1"/>
  <c r="L16" i="25" a="1"/>
  <c r="M48" i="25" a="1"/>
  <c r="N6" i="25" a="1"/>
  <c r="P10" i="25" a="1"/>
  <c r="P46" i="25" a="1"/>
  <c r="P33" i="25" a="1"/>
  <c r="N31" i="25" a="1"/>
  <c r="M51" i="25" a="1"/>
  <c r="N49" i="25" a="1"/>
  <c r="L11" i="25" a="1"/>
  <c r="N7" i="25" a="1"/>
  <c r="M16" i="25" a="1"/>
  <c r="N48" i="25" a="1"/>
  <c r="M52" i="25" a="1"/>
  <c r="L45" i="25" a="1"/>
  <c r="N14" i="25" a="1"/>
  <c r="L21" i="25" a="1"/>
  <c r="M14" i="25" a="1"/>
  <c r="M32" i="25" a="1"/>
  <c r="M22" i="25" a="1"/>
  <c r="P5" i="25" a="1"/>
  <c r="L44" i="25" a="1"/>
  <c r="M28" i="25" a="1"/>
  <c r="N39" i="25" a="1"/>
  <c r="L22" i="25" a="1"/>
  <c r="L4" i="25" a="1"/>
  <c r="M31" i="25" a="1"/>
  <c r="P24" i="25" a="1"/>
  <c r="L27" i="25" a="1"/>
  <c r="N50" i="25" a="1"/>
  <c r="L40" i="25" a="1"/>
  <c r="M27" i="25" a="1"/>
  <c r="L36" i="25" a="1"/>
  <c r="M17" i="25" a="1"/>
  <c r="P44" i="25" a="1"/>
  <c r="L3" i="25" a="1"/>
  <c r="N32" i="25" a="1"/>
  <c r="N29" i="25" a="1"/>
  <c r="N16" i="25" a="1"/>
  <c r="N27" i="25" a="1"/>
  <c r="M6" i="25" a="1"/>
  <c r="M2" i="25" a="1"/>
  <c r="N38" i="25" a="1"/>
  <c r="L18" i="25" a="1"/>
  <c r="L50" i="25" a="1"/>
  <c r="N2" i="25" a="1"/>
  <c r="N33" i="25" a="1"/>
  <c r="M25" i="25" a="1"/>
  <c r="N8" i="25" a="1"/>
  <c r="L31" i="25" a="1"/>
  <c r="M13" i="25" a="1"/>
  <c r="L24" i="25" a="1"/>
  <c r="L8" i="25" a="1"/>
  <c r="L2" i="25" a="1"/>
  <c r="L6" i="25" a="1"/>
  <c r="N30" i="25" a="1"/>
  <c r="L17" i="25" a="1"/>
  <c r="L49" i="25" a="1"/>
  <c r="P3" i="25" a="1"/>
  <c r="N25" i="25" a="1"/>
  <c r="M30" i="25" a="1"/>
  <c r="M43" i="25" a="1"/>
  <c r="M5" i="25" a="1"/>
  <c r="M12" i="25" a="1"/>
  <c r="N35" i="25" a="1"/>
  <c r="L42" i="25" a="1"/>
  <c r="L34" i="25" a="1"/>
  <c r="M3" i="25" a="1"/>
  <c r="N18" i="25" a="1"/>
  <c r="P51" i="25" a="1"/>
  <c r="M50" i="25" a="1"/>
  <c r="M40" i="25" a="1"/>
  <c r="N46" i="25" a="1"/>
  <c r="L52" i="25" a="1"/>
  <c r="P43" i="25" a="1"/>
  <c r="N13" i="25" a="1"/>
  <c r="M47" i="25" a="1"/>
  <c r="L20" i="25" a="1"/>
  <c r="M38" i="25" a="1"/>
  <c r="M4" i="25" a="1"/>
  <c r="L9" i="25" a="1"/>
  <c r="N45" i="25" a="1"/>
  <c r="N15" i="25" a="1"/>
  <c r="N17" i="25" a="1"/>
  <c r="N19" i="25" a="1"/>
  <c r="L10" i="25" a="1"/>
  <c r="N44" i="25" a="1"/>
  <c r="N10" i="25" a="1"/>
  <c r="L12" i="25" a="1"/>
  <c r="L25" i="25" a="1"/>
  <c r="L15" i="25" a="1"/>
  <c r="M21" i="25" a="1"/>
  <c r="M33" i="25" a="1"/>
  <c r="L23" i="25" a="1"/>
  <c r="N41" i="25" a="1"/>
  <c r="N20" i="25" a="1"/>
  <c r="N37" i="25" a="1"/>
  <c r="M42" i="25" a="1"/>
  <c r="M39" i="25" a="1"/>
  <c r="O2" i="25" a="1"/>
  <c r="M10" i="25" a="1"/>
  <c r="L14" i="25" a="1"/>
  <c r="M44" i="25" a="1"/>
  <c r="L28" i="25" a="1"/>
  <c r="P36" i="25" a="1"/>
  <c r="M18" i="25" a="1"/>
  <c r="N52" i="25" a="1"/>
  <c r="N34" i="25" a="1"/>
  <c r="L5" i="25" a="1"/>
  <c r="N26" i="25" a="1"/>
  <c r="M49" i="25" a="1"/>
  <c r="L29" i="25" a="1"/>
  <c r="P19" i="25" a="1"/>
  <c r="P27" i="25" a="1"/>
  <c r="L19" i="25" a="1"/>
  <c r="L46" i="25" a="1"/>
  <c r="L26" i="25" a="1"/>
  <c r="N22" i="25" a="1"/>
  <c r="L51" i="25" a="1"/>
  <c r="L39" i="25" a="1"/>
  <c r="N42" i="25" a="1"/>
  <c r="N47" i="25" a="1"/>
  <c r="L35" i="25" a="1"/>
  <c r="L13" i="25" a="1"/>
  <c r="P52" i="25" a="1"/>
  <c r="M19" i="25" a="1"/>
  <c r="N51" i="25" a="1"/>
  <c r="M34" i="25" a="1"/>
  <c r="N9" i="25" a="1"/>
  <c r="L30" i="25" a="1"/>
  <c r="N11" i="25" a="1"/>
  <c r="M45" i="25" a="1"/>
  <c r="M20" i="25" a="1"/>
  <c r="L48" i="25" a="1"/>
  <c r="M8" i="25" a="1"/>
  <c r="N3" i="25" a="1"/>
  <c r="M37" i="25" a="1"/>
  <c r="M35" i="25" a="1"/>
  <c r="N5" i="25" a="1"/>
  <c r="N4" i="25" a="1"/>
  <c r="L32" i="25" a="1"/>
  <c r="L33" i="25" a="1"/>
  <c r="N21" i="25" a="1"/>
  <c r="N28" i="25" a="1"/>
  <c r="L38" i="25" a="1"/>
  <c r="L43" i="25" a="1"/>
  <c r="N40" i="25" a="1"/>
  <c r="L7" i="25" a="1"/>
  <c r="M9" i="25" a="1"/>
  <c r="M15" i="25" a="1"/>
  <c r="M26" i="25" a="1"/>
  <c r="N24" i="25" a="1"/>
  <c r="P40" i="25" a="1"/>
  <c r="M23" i="25" a="1"/>
  <c r="P51" i="25" l="1"/>
  <c r="P44" i="25"/>
  <c r="D38" i="26" s="1"/>
  <c r="P19" i="25"/>
  <c r="D17" i="26" s="1"/>
  <c r="P27" i="25"/>
  <c r="D24" i="26" s="1"/>
  <c r="P36" i="25"/>
  <c r="D31" i="26" s="1"/>
  <c r="P10" i="25"/>
  <c r="D9" i="26" s="1"/>
  <c r="P40" i="25"/>
  <c r="D35" i="26" s="1"/>
  <c r="P24" i="25"/>
  <c r="D21" i="26" s="1"/>
  <c r="P52" i="25"/>
  <c r="D45" i="26" s="1"/>
  <c r="P42" i="25"/>
  <c r="P5" i="25"/>
  <c r="D5" i="26" s="1"/>
  <c r="P33" i="25"/>
  <c r="D29" i="26" s="1"/>
  <c r="P46" i="25"/>
  <c r="D40" i="26" s="1"/>
  <c r="M28" i="25"/>
  <c r="L9" i="25"/>
  <c r="A8" i="26" s="1"/>
  <c r="J24" i="3"/>
  <c r="E28" i="3"/>
  <c r="B17" i="3"/>
  <c r="B15" i="3"/>
  <c r="M38" i="25"/>
  <c r="D22" i="3"/>
  <c r="L43" i="25"/>
  <c r="A37" i="26" s="1"/>
  <c r="M40" i="25"/>
  <c r="L24" i="25"/>
  <c r="A21" i="26" s="1"/>
  <c r="M29" i="25"/>
  <c r="M48" i="25"/>
  <c r="N37" i="25"/>
  <c r="B32" i="26" s="1"/>
  <c r="M4" i="25"/>
  <c r="P3" i="25"/>
  <c r="D3" i="26" s="1"/>
  <c r="L14" i="25"/>
  <c r="M8" i="25"/>
  <c r="A28" i="3"/>
  <c r="N21" i="25"/>
  <c r="E15" i="3"/>
  <c r="M19" i="25"/>
  <c r="L22" i="25"/>
  <c r="A19" i="26" s="1"/>
  <c r="E17" i="3"/>
  <c r="B27" i="3"/>
  <c r="K20" i="3"/>
  <c r="M43" i="25"/>
  <c r="M27" i="25"/>
  <c r="N44" i="25"/>
  <c r="B38" i="26" s="1"/>
  <c r="B28" i="3"/>
  <c r="J27" i="3"/>
  <c r="H23" i="3"/>
  <c r="L35" i="25"/>
  <c r="L49" i="25"/>
  <c r="A43" i="26" s="1"/>
  <c r="N3" i="25"/>
  <c r="B3" i="26" s="1"/>
  <c r="M37" i="25"/>
  <c r="M3" i="25"/>
  <c r="A26" i="3"/>
  <c r="M30" i="25"/>
  <c r="I27" i="3"/>
  <c r="F14" i="3"/>
  <c r="K21" i="3"/>
  <c r="L26" i="25"/>
  <c r="A23" i="26" s="1"/>
  <c r="N30" i="25"/>
  <c r="B26" i="26" s="1"/>
  <c r="G23" i="3"/>
  <c r="L27" i="25"/>
  <c r="A24" i="26" s="1"/>
  <c r="J25" i="3"/>
  <c r="I15" i="3"/>
  <c r="K27" i="3"/>
  <c r="I22" i="3"/>
  <c r="K17" i="3"/>
  <c r="N29" i="25"/>
  <c r="B25" i="26" s="1"/>
  <c r="K19" i="3"/>
  <c r="L29" i="25"/>
  <c r="A25" i="26" s="1"/>
  <c r="D17" i="3"/>
  <c r="M36" i="25"/>
  <c r="J23" i="3"/>
  <c r="L44" i="25"/>
  <c r="A38" i="26" s="1"/>
  <c r="L50" i="25"/>
  <c r="A44" i="26" s="1"/>
  <c r="L25" i="25"/>
  <c r="A22" i="26" s="1"/>
  <c r="G24" i="3"/>
  <c r="M32" i="25"/>
  <c r="N39" i="25"/>
  <c r="B34" i="26" s="1"/>
  <c r="N15" i="25"/>
  <c r="B13" i="26" s="1"/>
  <c r="J18" i="3"/>
  <c r="I14" i="3"/>
  <c r="L8" i="25"/>
  <c r="K23" i="3"/>
  <c r="N24" i="25"/>
  <c r="B21" i="26" s="1"/>
  <c r="L20" i="25"/>
  <c r="A18" i="26" s="1"/>
  <c r="N23" i="25"/>
  <c r="B20" i="26" s="1"/>
  <c r="M33" i="25"/>
  <c r="F27" i="3"/>
  <c r="L36" i="25"/>
  <c r="A31" i="26" s="1"/>
  <c r="J21" i="3"/>
  <c r="I21" i="3"/>
  <c r="B19" i="3"/>
  <c r="G18" i="3"/>
  <c r="I25" i="3"/>
  <c r="J17" i="3"/>
  <c r="K24" i="3"/>
  <c r="F22" i="3"/>
  <c r="F21" i="3"/>
  <c r="L52" i="25"/>
  <c r="A45" i="26" s="1"/>
  <c r="D24" i="3"/>
  <c r="E21" i="3"/>
  <c r="I18" i="3"/>
  <c r="F25" i="3"/>
  <c r="M47" i="25"/>
  <c r="M11" i="25"/>
  <c r="L12" i="25"/>
  <c r="A11" i="26" s="1"/>
  <c r="H16" i="3"/>
  <c r="N5" i="25"/>
  <c r="B5" i="26" s="1"/>
  <c r="F28" i="3"/>
  <c r="E25" i="3"/>
  <c r="L6" i="25"/>
  <c r="A6" i="26" s="1"/>
  <c r="H17" i="3"/>
  <c r="L34" i="25"/>
  <c r="A30" i="26" s="1"/>
  <c r="M45" i="25"/>
  <c r="H19" i="3"/>
  <c r="E23" i="3"/>
  <c r="N6" i="25"/>
  <c r="B6" i="26" s="1"/>
  <c r="E14" i="3"/>
  <c r="H26" i="3"/>
  <c r="L2" i="25"/>
  <c r="A2" i="26" s="1"/>
  <c r="L37" i="25"/>
  <c r="A32" i="26" s="1"/>
  <c r="M5" i="25"/>
  <c r="M2" i="25"/>
  <c r="M10" i="25"/>
  <c r="N2" i="25"/>
  <c r="B2" i="26" s="1"/>
  <c r="N17" i="25"/>
  <c r="B15" i="26" s="1"/>
  <c r="M35" i="25"/>
  <c r="J22" i="3"/>
  <c r="I20" i="3"/>
  <c r="L32" i="25"/>
  <c r="A28" i="26" s="1"/>
  <c r="B18" i="3"/>
  <c r="N40" i="25"/>
  <c r="B35" i="26" s="1"/>
  <c r="M23" i="25"/>
  <c r="N49" i="25"/>
  <c r="B43" i="26" s="1"/>
  <c r="N32" i="25"/>
  <c r="B28" i="26" s="1"/>
  <c r="M15" i="25"/>
  <c r="E18" i="3"/>
  <c r="K15" i="3"/>
  <c r="N19" i="25"/>
  <c r="B17" i="26" s="1"/>
  <c r="F26" i="3"/>
  <c r="D26" i="3"/>
  <c r="L7" i="25"/>
  <c r="A7" i="26" s="1"/>
  <c r="H28" i="3"/>
  <c r="M14" i="25"/>
  <c r="M18" i="25"/>
  <c r="D21" i="3"/>
  <c r="M17" i="25"/>
  <c r="L45" i="25"/>
  <c r="A39" i="26" s="1"/>
  <c r="D27" i="3"/>
  <c r="M24" i="25"/>
  <c r="H24" i="3"/>
  <c r="E16" i="3"/>
  <c r="M49" i="25"/>
  <c r="M21" i="25"/>
  <c r="N42" i="25"/>
  <c r="N13" i="25"/>
  <c r="B12" i="26" s="1"/>
  <c r="N20" i="25"/>
  <c r="B18" i="26" s="1"/>
  <c r="L19" i="25"/>
  <c r="A17" i="26" s="1"/>
  <c r="G17" i="3"/>
  <c r="N41" i="25"/>
  <c r="B36" i="26" s="1"/>
  <c r="J15" i="3"/>
  <c r="E27" i="3"/>
  <c r="L11" i="25"/>
  <c r="A10" i="26" s="1"/>
  <c r="I24" i="3"/>
  <c r="N50" i="25"/>
  <c r="B44" i="26" s="1"/>
  <c r="M34" i="25"/>
  <c r="F24" i="3"/>
  <c r="L51" i="25"/>
  <c r="N4" i="25"/>
  <c r="B4" i="26" s="1"/>
  <c r="N7" i="25"/>
  <c r="B7" i="26" s="1"/>
  <c r="F18" i="3"/>
  <c r="O2" i="25"/>
  <c r="C2" i="26" s="1"/>
  <c r="N48" i="25"/>
  <c r="B42" i="26" s="1"/>
  <c r="A23" i="3"/>
  <c r="I19" i="3"/>
  <c r="J26" i="3"/>
  <c r="H20" i="3"/>
  <c r="N18" i="25"/>
  <c r="B16" i="26" s="1"/>
  <c r="J16" i="3"/>
  <c r="L38" i="25"/>
  <c r="A33" i="26" s="1"/>
  <c r="N46" i="25"/>
  <c r="B40" i="26" s="1"/>
  <c r="N38" i="25"/>
  <c r="B33" i="26" s="1"/>
  <c r="M7" i="25"/>
  <c r="L4" i="25"/>
  <c r="A4" i="26" s="1"/>
  <c r="N25" i="25"/>
  <c r="B22" i="26" s="1"/>
  <c r="M20" i="25"/>
  <c r="B21" i="3"/>
  <c r="J20" i="3"/>
  <c r="N28" i="25"/>
  <c r="J14" i="3"/>
  <c r="N8" i="25"/>
  <c r="N31" i="25"/>
  <c r="B27" i="26" s="1"/>
  <c r="M26" i="25"/>
  <c r="J19" i="3"/>
  <c r="A18" i="3"/>
  <c r="H22" i="3"/>
  <c r="L28" i="25"/>
  <c r="F17" i="3"/>
  <c r="L10" i="25"/>
  <c r="A9" i="26" s="1"/>
  <c r="F16" i="3"/>
  <c r="P43" i="25"/>
  <c r="D37" i="26" s="1"/>
  <c r="L47" i="25"/>
  <c r="A41" i="26" s="1"/>
  <c r="I16" i="3"/>
  <c r="N33" i="25"/>
  <c r="B29" i="26" s="1"/>
  <c r="L15" i="25"/>
  <c r="A13" i="26" s="1"/>
  <c r="I28" i="3"/>
  <c r="N16" i="25"/>
  <c r="B14" i="26" s="1"/>
  <c r="L42" i="25"/>
  <c r="N43" i="25"/>
  <c r="B37" i="26" s="1"/>
  <c r="B24" i="3"/>
  <c r="N35" i="25"/>
  <c r="I23" i="3"/>
  <c r="K18" i="3"/>
  <c r="D23" i="3"/>
  <c r="L31" i="25"/>
  <c r="A27" i="26" s="1"/>
  <c r="G26" i="3"/>
  <c r="L16" i="25"/>
  <c r="A14" i="26" s="1"/>
  <c r="L33" i="25"/>
  <c r="A29" i="26" s="1"/>
  <c r="I26" i="3"/>
  <c r="M39" i="25"/>
  <c r="E26" i="3"/>
  <c r="E24" i="3"/>
  <c r="L48" i="25"/>
  <c r="A42" i="26" s="1"/>
  <c r="M6" i="25"/>
  <c r="N14" i="25"/>
  <c r="K26" i="3"/>
  <c r="L39" i="25"/>
  <c r="A34" i="26" s="1"/>
  <c r="M50" i="25"/>
  <c r="H18" i="3"/>
  <c r="L3" i="25"/>
  <c r="A3" i="26" s="1"/>
  <c r="E19" i="3"/>
  <c r="M44" i="25"/>
  <c r="M41" i="25"/>
  <c r="M9" i="25"/>
  <c r="B20" i="3"/>
  <c r="F20" i="3"/>
  <c r="K14" i="3"/>
  <c r="L41" i="25"/>
  <c r="A36" i="26" s="1"/>
  <c r="N9" i="25"/>
  <c r="B8" i="26" s="1"/>
  <c r="M22" i="25"/>
  <c r="L18" i="25"/>
  <c r="A16" i="26" s="1"/>
  <c r="D20" i="3"/>
  <c r="N11" i="25"/>
  <c r="B10" i="26" s="1"/>
  <c r="E22" i="3"/>
  <c r="K16" i="3"/>
  <c r="M31" i="25"/>
  <c r="B26" i="3"/>
  <c r="N51" i="25"/>
  <c r="B25" i="3"/>
  <c r="L40" i="25"/>
  <c r="A35" i="26" s="1"/>
  <c r="A17" i="3"/>
  <c r="B23" i="3"/>
  <c r="B16" i="3"/>
  <c r="B14" i="3"/>
  <c r="N47" i="25"/>
  <c r="B41" i="26" s="1"/>
  <c r="L21" i="25"/>
  <c r="L17" i="25"/>
  <c r="A15" i="26" s="1"/>
  <c r="M16" i="25"/>
  <c r="N10" i="25"/>
  <c r="B9" i="26" s="1"/>
  <c r="L30" i="25"/>
  <c r="A26" i="26" s="1"/>
  <c r="L23" i="25"/>
  <c r="A20" i="26" s="1"/>
  <c r="N12" i="25"/>
  <c r="B11" i="26" s="1"/>
  <c r="M51" i="25"/>
  <c r="M13" i="25"/>
  <c r="L46" i="25"/>
  <c r="A40" i="26" s="1"/>
  <c r="F23" i="3"/>
  <c r="L5" i="25"/>
  <c r="A5" i="26" s="1"/>
  <c r="H14" i="3"/>
  <c r="N22" i="25"/>
  <c r="B19" i="26" s="1"/>
  <c r="A25" i="3"/>
  <c r="M12" i="25"/>
  <c r="M52" i="25"/>
  <c r="D28" i="3"/>
  <c r="M42" i="25"/>
  <c r="L13" i="25"/>
  <c r="A12" i="26" s="1"/>
  <c r="K22" i="3"/>
  <c r="M25" i="25"/>
  <c r="N45" i="25"/>
  <c r="B39" i="26" s="1"/>
  <c r="A22" i="3"/>
  <c r="N34" i="25"/>
  <c r="B30" i="26" s="1"/>
  <c r="N52" i="25"/>
  <c r="B45" i="26" s="1"/>
  <c r="D15" i="3"/>
  <c r="N26" i="25"/>
  <c r="B23" i="26" s="1"/>
  <c r="M46" i="25"/>
  <c r="N36" i="25"/>
  <c r="B31" i="26" s="1"/>
  <c r="G27" i="3"/>
  <c r="K28" i="3"/>
  <c r="N27" i="25"/>
  <c r="B24" i="26" s="1"/>
  <c r="P50" i="25" a="1"/>
  <c r="P34" i="25" a="1"/>
  <c r="P37" i="25" a="1"/>
  <c r="P15" i="25" a="1"/>
  <c r="P8" i="25" a="1"/>
  <c r="P16" i="25" a="1"/>
  <c r="P30" i="25" a="1"/>
  <c r="P39" i="25" a="1"/>
  <c r="P31" i="25" a="1"/>
  <c r="P35" i="25" a="1"/>
  <c r="P11" i="25" a="1"/>
  <c r="P49" i="25" a="1"/>
  <c r="P23" i="25" a="1"/>
  <c r="P29" i="25" a="1"/>
  <c r="P4" i="25" a="1"/>
  <c r="P14" i="25" a="1"/>
  <c r="P45" i="25" a="1"/>
  <c r="P21" i="25" a="1"/>
  <c r="P12" i="25" a="1"/>
  <c r="P13" i="25" a="1"/>
  <c r="P47" i="25" a="1"/>
  <c r="P25" i="25" a="1"/>
  <c r="P7" i="25" a="1"/>
  <c r="P32" i="25" a="1"/>
  <c r="P22" i="25" a="1"/>
  <c r="P6" i="25" a="1"/>
  <c r="P28" i="25" a="1"/>
  <c r="P2" i="25" a="1"/>
  <c r="P17" i="25" a="1"/>
  <c r="P41" i="25" a="1"/>
  <c r="P18" i="25" a="1"/>
  <c r="P9" i="25" a="1"/>
  <c r="P38" i="25" a="1"/>
  <c r="P20" i="25" a="1"/>
  <c r="P48" i="25" a="1"/>
  <c r="P26" i="25" a="1"/>
  <c r="P21" i="25" l="1"/>
  <c r="P30" i="25"/>
  <c r="D26" i="26" s="1"/>
  <c r="P22" i="25"/>
  <c r="D19" i="26" s="1"/>
  <c r="P13" i="25"/>
  <c r="D12" i="26" s="1"/>
  <c r="P49" i="25"/>
  <c r="D43" i="26" s="1"/>
  <c r="P8" i="25"/>
  <c r="P48" i="25"/>
  <c r="D42" i="26" s="1"/>
  <c r="P31" i="25"/>
  <c r="D27" i="26" s="1"/>
  <c r="P14" i="25"/>
  <c r="P6" i="25"/>
  <c r="D6" i="26" s="1"/>
  <c r="P7" i="25"/>
  <c r="D7" i="26" s="1"/>
  <c r="P12" i="25"/>
  <c r="D11" i="26" s="1"/>
  <c r="P23" i="25"/>
  <c r="D20" i="26" s="1"/>
  <c r="P47" i="25"/>
  <c r="D41" i="26" s="1"/>
  <c r="P15" i="25"/>
  <c r="D13" i="26" s="1"/>
  <c r="P50" i="25"/>
  <c r="D44" i="26" s="1"/>
  <c r="P35" i="25"/>
  <c r="P9" i="25"/>
  <c r="D8" i="26" s="1"/>
  <c r="P32" i="25"/>
  <c r="D28" i="26" s="1"/>
  <c r="P4" i="25"/>
  <c r="D4" i="26" s="1"/>
  <c r="P16" i="25"/>
  <c r="D14" i="26" s="1"/>
  <c r="P38" i="25"/>
  <c r="D33" i="26" s="1"/>
  <c r="P11" i="25"/>
  <c r="D10" i="26" s="1"/>
  <c r="P28" i="25"/>
  <c r="P39" i="25"/>
  <c r="D34" i="26" s="1"/>
  <c r="P26" i="25"/>
  <c r="D23" i="26" s="1"/>
  <c r="P25" i="25"/>
  <c r="D22" i="26" s="1"/>
  <c r="P37" i="25"/>
  <c r="D32" i="26" s="1"/>
  <c r="P41" i="25"/>
  <c r="D36" i="26" s="1"/>
  <c r="P34" i="25"/>
  <c r="D30" i="26" s="1"/>
  <c r="P18" i="25"/>
  <c r="D16" i="26" s="1"/>
  <c r="P45" i="25"/>
  <c r="D39" i="26" s="1"/>
  <c r="P17" i="25"/>
  <c r="D15" i="26" s="1"/>
  <c r="P20" i="25"/>
  <c r="D18" i="26" s="1"/>
  <c r="P2" i="25"/>
  <c r="D2" i="26" s="1"/>
  <c r="P29" i="25"/>
  <c r="D25" i="26" s="1"/>
  <c r="B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s>
  <commentList>
    <comment ref="C6" authorId="0" shapeId="0" xr:uid="{00000000-0006-0000-0000-000001000000}">
      <text>
        <r>
          <rPr>
            <sz val="8"/>
            <color indexed="81"/>
            <rFont val="Arial"/>
            <family val="2"/>
          </rPr>
          <t>To receive a registration number, please contact OnkoZert under: info@onkozert.de</t>
        </r>
      </text>
    </comment>
    <comment ref="K6" authorId="0" shapeId="0" xr:uid="{00000000-0006-0000-0000-000002000000}">
      <text/>
    </comment>
    <comment ref="C12" authorId="0" shapeId="0" xr:uid="{00000000-0006-0000-0000-000003000000}">
      <text>
        <r>
          <rPr>
            <sz val="9"/>
            <color indexed="81"/>
            <rFont val="Arial"/>
            <family val="2"/>
          </rPr>
          <t>Name, first name</t>
        </r>
      </text>
    </comment>
    <comment ref="O12" authorId="0" shapeId="0" xr:uid="{00000000-0006-0000-0000-000004000000}">
      <text>
        <r>
          <rPr>
            <sz val="9"/>
            <color indexed="81"/>
            <rFont val="Arial"/>
            <family val="2"/>
          </rPr>
          <t>dd.mm.yyyy
Carry-over to other spreadsheets is automatic.</t>
        </r>
      </text>
    </comment>
    <comment ref="O14" authorId="0" shapeId="0" xr:uid="{00000000-0006-0000-0000-000005000000}">
      <text>
        <r>
          <rPr>
            <sz val="9"/>
            <color indexed="81"/>
            <rFont val="Arial"/>
            <family val="2"/>
          </rPr>
          <t>Selection by Reg. No.</t>
        </r>
      </text>
    </comment>
    <comment ref="I23" authorId="0" shapeId="0" xr:uid="{00000000-0006-0000-0000-000006000000}">
      <text>
        <r>
          <rPr>
            <sz val="9"/>
            <color indexed="81"/>
            <rFont val="Arial"/>
            <family val="2"/>
          </rPr>
          <t>For the automatic generation of the Data Sheet and the matrix outcome quality, an evaluation tool (XML-OncoBox) is available which can be integrated into different tumour documentation systems. Further information on the XML-OncoBox available at www.xml-oncobox.de</t>
        </r>
      </text>
    </comment>
    <comment ref="B27" authorId="0" shapeId="0" xr:uid="{00000000-0006-0000-0000-000007000000}">
      <text>
        <r>
          <rPr>
            <sz val="9"/>
            <color indexed="81"/>
            <rFont val="Arial"/>
            <family val="2"/>
          </rPr>
          <t>DS = Data Sheet
IN = Indicator</t>
        </r>
      </text>
    </comment>
    <comment ref="P27" authorId="0" shapeId="0" xr:uid="{00000000-0006-0000-0000-000008000000}">
      <text>
        <r>
          <rPr>
            <sz val="9"/>
            <color indexed="81"/>
            <rFont val="Arial"/>
            <family val="2"/>
          </rPr>
          <t>Patients with a malignant uveal, conjunctival, choroidal or mucosal melanoma were only counted for column P. No double entries.</t>
        </r>
      </text>
    </comment>
    <comment ref="M34" authorId="1" shapeId="0" xr:uid="{00000000-0006-0000-0000-000009000000}">
      <text>
        <r>
          <rPr>
            <sz val="9"/>
            <color indexed="81"/>
            <rFont val="Arial"/>
            <family val="2"/>
          </rPr>
          <t>Part of denominator IN: 18</t>
        </r>
      </text>
    </comment>
    <comment ref="O34" authorId="1" shapeId="0" xr:uid="{00000000-0006-0000-0000-00000A000000}">
      <text>
        <r>
          <rPr>
            <sz val="9"/>
            <color indexed="81"/>
            <rFont val="Arial"/>
            <family val="2"/>
          </rPr>
          <t>Part of denominator IN: 18</t>
        </r>
      </text>
    </comment>
    <comment ref="R34" authorId="1" shapeId="0" xr:uid="{00000000-0006-0000-0000-00000B000000}">
      <text>
        <r>
          <rPr>
            <sz val="9"/>
            <color indexed="81"/>
            <rFont val="Arial"/>
            <family val="2"/>
          </rPr>
          <t>Indicator IN 1.4
Part of denominator IN: 2, 4, 5</t>
        </r>
      </text>
    </comment>
    <comment ref="I37" authorId="1" shapeId="0" xr:uid="{00000000-0006-0000-0000-00000C000000}">
      <text>
        <r>
          <rPr>
            <sz val="9"/>
            <color indexed="81"/>
            <rFont val="Arial"/>
            <family val="2"/>
          </rPr>
          <t>Part of denominator IN: 17</t>
        </r>
      </text>
    </comment>
    <comment ref="J37" authorId="1" shapeId="0" xr:uid="{00000000-0006-0000-0000-00000D000000}">
      <text>
        <r>
          <rPr>
            <sz val="9"/>
            <color indexed="81"/>
            <rFont val="Arial"/>
            <family val="2"/>
          </rPr>
          <t>Part of denominator IN: 17</t>
        </r>
      </text>
    </comment>
    <comment ref="K37" authorId="1" shapeId="0" xr:uid="{00000000-0006-0000-0000-00000E000000}">
      <text>
        <r>
          <rPr>
            <sz val="9"/>
            <color indexed="81"/>
            <rFont val="Arial"/>
            <family val="2"/>
          </rPr>
          <t>Part of denominator IN: 17</t>
        </r>
      </text>
    </comment>
    <comment ref="L37" authorId="1" shapeId="0" xr:uid="{00000000-0006-0000-0000-00000F000000}">
      <text>
        <r>
          <rPr>
            <sz val="9"/>
            <color indexed="81"/>
            <rFont val="Arial"/>
            <family val="2"/>
          </rPr>
          <t>Part of denominator IN: 17</t>
        </r>
      </text>
    </comment>
    <comment ref="M37" authorId="1" shapeId="0" xr:uid="{00000000-0006-0000-0000-000010000000}">
      <text>
        <r>
          <rPr>
            <sz val="9"/>
            <color indexed="81"/>
            <rFont val="Arial"/>
            <family val="2"/>
          </rPr>
          <t>Part of denominator IN: 17, 18</t>
        </r>
      </text>
    </comment>
    <comment ref="N37" authorId="1" shapeId="0" xr:uid="{00000000-0006-0000-0000-000011000000}">
      <text>
        <r>
          <rPr>
            <sz val="9"/>
            <color indexed="81"/>
            <rFont val="Arial"/>
            <family val="2"/>
          </rPr>
          <t>Part of denominator IN: 17</t>
        </r>
      </text>
    </comment>
    <comment ref="O37" authorId="1" shapeId="0" xr:uid="{00000000-0006-0000-0000-000012000000}">
      <text>
        <r>
          <rPr>
            <sz val="9"/>
            <color indexed="81"/>
            <rFont val="Arial"/>
            <family val="2"/>
          </rPr>
          <t>Part of denominator IN: 17, 18</t>
        </r>
      </text>
    </comment>
    <comment ref="P37" authorId="1" shapeId="0" xr:uid="{00000000-0006-0000-0000-000013000000}">
      <text>
        <r>
          <rPr>
            <sz val="9"/>
            <color indexed="81"/>
            <rFont val="Arial"/>
            <family val="2"/>
          </rPr>
          <t>Part of denominator IN: 2</t>
        </r>
      </text>
    </comment>
    <comment ref="R37" authorId="0" shapeId="0" xr:uid="{00000000-0006-0000-0000-000014000000}">
      <text>
        <r>
          <rPr>
            <sz val="9"/>
            <color indexed="81"/>
            <rFont val="Arial"/>
            <family val="2"/>
          </rPr>
          <t>Indicator IN 1.2 
Part of denominator IN: 4, 5</t>
        </r>
      </text>
    </comment>
    <comment ref="D42" authorId="0" shapeId="0" xr:uid="{00000000-0006-0000-0000-000015000000}">
      <text>
        <r>
          <rPr>
            <sz val="9"/>
            <color indexed="8"/>
            <rFont val="Arial"/>
            <family val="2"/>
          </rPr>
          <t>Indicator IN 1.1</t>
        </r>
      </text>
    </comment>
    <comment ref="D43" authorId="0" shapeId="0" xr:uid="{00000000-0006-0000-0000-000016000000}">
      <text>
        <r>
          <rPr>
            <sz val="9"/>
            <color indexed="81"/>
            <rFont val="Arial"/>
            <family val="2"/>
          </rPr>
          <t>Indicator IN 1.3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OnkoZert - Christine Keller</author>
  </authors>
  <commentList>
    <comment ref="F6" authorId="0" shapeId="0" xr:uid="{00000000-0006-0000-0400-000001000000}">
      <text>
        <r>
          <rPr>
            <sz val="9"/>
            <color indexed="81"/>
            <rFont val="Arial"/>
            <family val="2"/>
          </rPr>
          <t>Carry-over from 
spreadsheet Basic Data</t>
        </r>
      </text>
    </comment>
    <comment ref="F8" authorId="0" shapeId="0" xr:uid="{00000000-0006-0000-0400-000002000000}">
      <text>
        <r>
          <rPr>
            <sz val="9"/>
            <color indexed="81"/>
            <rFont val="Arial"/>
            <family val="2"/>
          </rPr>
          <t>Carry-over from 
spreadsheet Basic Data</t>
        </r>
      </text>
    </comment>
    <comment ref="K8" authorId="0" shapeId="0" xr:uid="{00000000-0006-0000-0400-000003000000}">
      <text>
        <r>
          <rPr>
            <sz val="9"/>
            <color indexed="81"/>
            <rFont val="Arial"/>
            <family val="2"/>
          </rPr>
          <t>Carry-over from 
spreadsheet Basic Data</t>
        </r>
      </text>
    </comment>
    <comment ref="B10" authorId="0" shapeId="0" xr:uid="{00000000-0006-0000-0400-000004000000}">
      <text>
        <r>
          <rPr>
            <sz val="9"/>
            <color indexed="81"/>
            <rFont val="Arial"/>
            <family val="2"/>
          </rPr>
          <t>IN = Indicator</t>
        </r>
      </text>
    </comment>
    <comment ref="D10" authorId="0" shapeId="0" xr:uid="{00000000-0006-0000-0400-000005000000}">
      <text>
        <r>
          <rPr>
            <sz val="9"/>
            <color indexed="81"/>
            <rFont val="Arial"/>
            <family val="2"/>
          </rPr>
          <t>CR = Catalogue of Requirements
GL QI = Guideline derived quality indicator</t>
        </r>
      </text>
    </comment>
    <comment ref="P10" authorId="0" shapeId="0" xr:uid="{00000000-0006-0000-0400-000006000000}">
      <text>
        <r>
          <rPr>
            <sz val="9"/>
            <color indexed="81"/>
            <rFont val="Arial"/>
            <family val="2"/>
          </rPr>
          <t>Please first fully process the spreadsheet Basic Data 
and then fill in the current values in the grey fields.</t>
        </r>
      </text>
    </comment>
    <comment ref="S11" authorId="0" shapeId="0" xr:uid="{00000000-0006-0000-0400-000007000000}">
      <text>
        <r>
          <rPr>
            <sz val="9"/>
            <color indexed="81"/>
            <rFont val="Arial"/>
            <family val="2"/>
          </rPr>
          <t>If cell is grey, please give reasons.</t>
        </r>
      </text>
    </comment>
    <comment ref="Q12" authorId="0" shapeId="0" xr:uid="{00000000-0006-0000-0400-000008000000}">
      <text>
        <r>
          <rPr>
            <sz val="9"/>
            <color indexed="81"/>
            <rFont val="Arial"/>
            <family val="2"/>
          </rPr>
          <t>Carry over from spreadsheet Basic Data Cell D42</t>
        </r>
      </text>
    </comment>
    <comment ref="Q15" authorId="0" shapeId="0" xr:uid="{00000000-0006-0000-0400-000009000000}">
      <text>
        <r>
          <rPr>
            <sz val="9"/>
            <color indexed="81"/>
            <rFont val="Arial"/>
            <family val="2"/>
          </rPr>
          <t>Carry over from spreadsheet Basic Data
Cell R37</t>
        </r>
      </text>
    </comment>
    <comment ref="Q18" authorId="0" shapeId="0" xr:uid="{00000000-0006-0000-0400-00000A000000}">
      <text>
        <r>
          <rPr>
            <sz val="9"/>
            <color indexed="81"/>
            <rFont val="Arial"/>
            <family val="2"/>
          </rPr>
          <t>Carry over from spreadsheet Basic Data Cell D43</t>
        </r>
      </text>
    </comment>
    <comment ref="Q21" authorId="1" shapeId="0" xr:uid="{00000000-0006-0000-0400-00000B000000}">
      <text>
        <r>
          <rPr>
            <sz val="9"/>
            <color indexed="81"/>
            <rFont val="Arial"/>
            <family val="2"/>
          </rPr>
          <t>Carry over from spreadsheet Basic Data Cell R34</t>
        </r>
      </text>
    </comment>
    <comment ref="Q25" authorId="0" shapeId="0" xr:uid="{00000000-0006-0000-0400-00000C000000}">
      <text>
        <r>
          <rPr>
            <sz val="9"/>
            <color indexed="81"/>
            <rFont val="Arial"/>
            <family val="2"/>
          </rPr>
          <t>Carry over from sum
Basis Data Cell  R34 + Basis Data Cell  P37</t>
        </r>
      </text>
    </comment>
    <comment ref="Q28" authorId="0" shapeId="0" xr:uid="{00000000-0006-0000-0400-00000D000000}">
      <text>
        <r>
          <rPr>
            <sz val="9"/>
            <color indexed="81"/>
            <rFont val="Arial"/>
            <family val="2"/>
          </rPr>
          <t>Carry over from Numerator IN 2</t>
        </r>
      </text>
    </comment>
    <comment ref="Q31" authorId="0" shapeId="0" xr:uid="{00000000-0006-0000-0400-00000E000000}">
      <text>
        <r>
          <rPr>
            <sz val="9"/>
            <color indexed="81"/>
            <rFont val="Arial"/>
            <family val="2"/>
          </rPr>
          <t>Carry over from sum
IN 1.2 + Basis Data Cell R34</t>
        </r>
      </text>
    </comment>
    <comment ref="Q34" authorId="0" shapeId="0" xr:uid="{00000000-0006-0000-0400-00000F000000}">
      <text>
        <r>
          <rPr>
            <sz val="9"/>
            <color indexed="81"/>
            <rFont val="Arial"/>
            <family val="2"/>
          </rPr>
          <t>Carry over from sum
IN 1.2 + Basis Data Cell R34</t>
        </r>
      </text>
    </comment>
    <comment ref="Q36" authorId="0" shapeId="0" xr:uid="{00000000-0006-0000-0400-000010000000}">
      <text>
        <r>
          <rPr>
            <sz val="9"/>
            <color indexed="81"/>
            <rFont val="Arial"/>
            <family val="2"/>
          </rPr>
          <t>The numerator is not a subset of the denominator.</t>
        </r>
      </text>
    </comment>
    <comment ref="Q40" authorId="0" shapeId="0" xr:uid="{00000000-0006-0000-0400-000011000000}">
      <text>
        <r>
          <rPr>
            <sz val="9"/>
            <color indexed="81"/>
            <rFont val="Arial"/>
            <family val="2"/>
          </rPr>
          <t>Multiple counting per patient possible (surgeries)</t>
        </r>
      </text>
    </comment>
    <comment ref="Q49" authorId="2" shapeId="0" xr:uid="{00000000-0006-0000-0400-000012000000}">
      <text>
        <r>
          <rPr>
            <sz val="9"/>
            <color indexed="81"/>
            <rFont val="Arial"/>
            <family val="2"/>
          </rPr>
          <t>Carry over from sum IN 8 + IN 9</t>
        </r>
      </text>
    </comment>
    <comment ref="Q55" authorId="2" shapeId="0" xr:uid="{00000000-0006-0000-0400-000013000000}">
      <text>
        <r>
          <rPr>
            <sz val="9"/>
            <color indexed="81"/>
            <rFont val="Arial"/>
            <family val="2"/>
          </rPr>
          <t>Carry over from sum
IN 8 + IN 9</t>
        </r>
      </text>
    </comment>
    <comment ref="Q70" authorId="1" shapeId="0" xr:uid="{00000000-0006-0000-0400-000014000000}">
      <text>
        <r>
          <rPr>
            <sz val="9"/>
            <color indexed="81"/>
            <rFont val="Arial"/>
            <family val="2"/>
          </rPr>
          <t xml:space="preserve">Carry over from sum Basis Data Cell I37:O37
</t>
        </r>
      </text>
    </comment>
    <comment ref="Q73" authorId="1" shapeId="0" xr:uid="{00000000-0006-0000-0400-000015000000}">
      <text>
        <r>
          <rPr>
            <sz val="9"/>
            <color indexed="81"/>
            <rFont val="Arial"/>
            <family val="2"/>
          </rPr>
          <t>Carry over from sum Basis Data Cell M37+O37+M34+O34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D24" authorId="0" shapeId="0" xr:uid="{00000000-0006-0000-0500-000001000000}">
      <text>
        <r>
          <rPr>
            <sz val="9"/>
            <color indexed="81"/>
            <rFont val="Tahoma"/>
            <family val="2"/>
          </rPr>
          <t xml:space="preserve">für Matrix EQ
</t>
        </r>
      </text>
    </comment>
    <comment ref="H33" authorId="0" shapeId="0" xr:uid="{00000000-0006-0000-0500-000002000000}">
      <text>
        <r>
          <rPr>
            <b/>
            <sz val="9"/>
            <color indexed="81"/>
            <rFont val="Tahoma"/>
            <family val="2"/>
          </rPr>
          <t>OnkoZert - Christine Keller:</t>
        </r>
        <r>
          <rPr>
            <sz val="9"/>
            <color indexed="81"/>
            <rFont val="Tahoma"/>
            <family val="2"/>
          </rPr>
          <t xml:space="preserve">
Angabe aus KB übernommen.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700-000001000000}">
      <text>
        <r>
          <rPr>
            <sz val="9"/>
            <color indexed="81"/>
            <rFont val="Arial"/>
            <family val="2"/>
          </rPr>
          <t>Übertrag erfolgt aus 
Tabellenblatt Basisdaten</t>
        </r>
      </text>
    </comment>
    <comment ref="C8" authorId="0" shapeId="0" xr:uid="{00000000-0006-0000-0700-000002000000}">
      <text>
        <r>
          <rPr>
            <sz val="9"/>
            <color indexed="81"/>
            <rFont val="Arial"/>
            <family val="2"/>
          </rPr>
          <t>Übertrag erfolgt aus 
Tabellenblatt Basisdaten</t>
        </r>
      </text>
    </comment>
    <comment ref="J8" authorId="0" shapeId="0" xr:uid="{00000000-0006-0000-0700-000003000000}">
      <text>
        <r>
          <rPr>
            <sz val="9"/>
            <color indexed="81"/>
            <rFont val="Arial"/>
            <family val="2"/>
          </rPr>
          <t>Übertrag erfolgt aus 
Tabellenblatt Basisdaten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900-000001000000}">
      <text>
        <r>
          <rPr>
            <sz val="9"/>
            <color indexed="81"/>
            <rFont val="Arial"/>
            <family val="2"/>
          </rPr>
          <t>Übertrag erfolgt aus 
Tabellenblatt Basisdaten</t>
        </r>
      </text>
    </comment>
    <comment ref="C8" authorId="0" shapeId="0" xr:uid="{00000000-0006-0000-0900-000002000000}">
      <text>
        <r>
          <rPr>
            <sz val="9"/>
            <color indexed="81"/>
            <rFont val="Arial"/>
            <family val="2"/>
          </rPr>
          <t>Übertrag erfolgt aus 
Tabellenblatt Basisdaten</t>
        </r>
      </text>
    </comment>
    <comment ref="X8" authorId="0" shapeId="0" xr:uid="{00000000-0006-0000-0900-000003000000}">
      <text>
        <r>
          <rPr>
            <sz val="9"/>
            <color indexed="81"/>
            <rFont val="Arial"/>
            <family val="2"/>
          </rPr>
          <t>Übertrag erfolgt aus 
Tabellenblatt Basisdaten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C00-000001000000}">
      <text>
        <r>
          <rPr>
            <sz val="9"/>
            <color indexed="81"/>
            <rFont val="Arial"/>
            <family val="2"/>
          </rPr>
          <t>Übertrag erfolgt aus 
Tabellenblatt Basisdaten</t>
        </r>
      </text>
    </comment>
    <comment ref="C8" authorId="0" shapeId="0" xr:uid="{00000000-0006-0000-0C00-000002000000}">
      <text>
        <r>
          <rPr>
            <sz val="9"/>
            <color indexed="81"/>
            <rFont val="Arial"/>
            <family val="2"/>
          </rPr>
          <t>Übertrag erfolgt aus 
Tabellenblatt Basisdaten</t>
        </r>
      </text>
    </comment>
    <comment ref="G8" authorId="0" shapeId="0" xr:uid="{00000000-0006-0000-0C00-000003000000}">
      <text>
        <r>
          <rPr>
            <sz val="9"/>
            <color indexed="81"/>
            <rFont val="Arial"/>
            <family val="2"/>
          </rPr>
          <t>Übertrag erfolgt aus 
Tabellenblatt Basisdaten</t>
        </r>
      </text>
    </comment>
    <comment ref="C15" authorId="0" shapeId="0" xr:uid="{00000000-0006-0000-0C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<sst xmlns="http://schemas.openxmlformats.org/spreadsheetml/2006/main" count="1204" uniqueCount="832">
  <si>
    <t>Begründung / Ursache</t>
  </si>
  <si>
    <t>Eingeleitete / geplante Aktionen</t>
  </si>
  <si>
    <t>Erläuterung hinsichtlich Datendefizit
Begründung / Ursachenanalyse / Aktionen</t>
  </si>
  <si>
    <t>Geringe / punktuelle Zusammenarbeit</t>
  </si>
  <si>
    <t>Intensive / regelmäßige Zusammenarbeit</t>
  </si>
  <si>
    <t>Nr.</t>
  </si>
  <si>
    <t>Sollvorgabe</t>
  </si>
  <si>
    <t>Nenner</t>
  </si>
  <si>
    <t>%</t>
  </si>
  <si>
    <t>Primärfälle</t>
  </si>
  <si>
    <t>Anzahl</t>
  </si>
  <si>
    <t>Sollvorgabe nicht erfüllt</t>
  </si>
  <si>
    <t>F</t>
  </si>
  <si>
    <t>I</t>
  </si>
  <si>
    <t>Jahr der Erstdiagnose</t>
  </si>
  <si>
    <t>Summe</t>
  </si>
  <si>
    <t>Gesamt</t>
  </si>
  <si>
    <t>Quote</t>
  </si>
  <si>
    <t>Reg.-Nr.</t>
  </si>
  <si>
    <t>Bundesland</t>
  </si>
  <si>
    <t>Thüringen</t>
  </si>
  <si>
    <t>Tumorzentrum Erfurt</t>
  </si>
  <si>
    <t>Tumordokumentationssystem</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</si>
  <si>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</si>
  <si>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</si>
  <si>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</si>
  <si>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</si>
  <si>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</si>
  <si>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</si>
  <si>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</si>
  <si>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</si>
  <si>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</si>
  <si>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</si>
  <si>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</si>
  <si>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</si>
  <si>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</si>
  <si>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</si>
  <si>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</si>
  <si>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</si>
  <si>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</si>
  <si>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</si>
  <si>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</si>
  <si>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</si>
  <si>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</si>
  <si>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</si>
  <si>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</si>
  <si>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</si>
  <si>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</si>
  <si>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</si>
  <si>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</si>
  <si>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</si>
  <si>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</si>
  <si>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</si>
  <si>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</si>
  <si>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</si>
  <si>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</si>
  <si>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</si>
  <si>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</si>
  <si>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OAS</t>
  </si>
  <si>
    <t>Datenqualität</t>
  </si>
  <si>
    <t>Aktion</t>
  </si>
  <si>
    <t>ID</t>
  </si>
  <si>
    <t>HID</t>
  </si>
  <si>
    <t>EingeleiteteAktionen</t>
  </si>
  <si>
    <t>Aktionen</t>
  </si>
  <si>
    <t>vID</t>
  </si>
  <si>
    <t>Zaehler</t>
  </si>
  <si>
    <t>Nr</t>
  </si>
  <si>
    <t>RegNr</t>
  </si>
  <si>
    <t>FormularID</t>
  </si>
  <si>
    <t>ErlaeuterungDatendefizit</t>
  </si>
  <si>
    <t>% Angabe</t>
  </si>
  <si>
    <t>Tumorzentrum Zwickau</t>
  </si>
  <si>
    <t>Italien</t>
  </si>
  <si>
    <t>Kennzahlenbogen</t>
  </si>
  <si>
    <t>Erstelldatum</t>
  </si>
  <si>
    <t>Plausibilität unklar</t>
  </si>
  <si>
    <t xml:space="preserve">Reg.-Nr. </t>
  </si>
  <si>
    <t>Erstzertifizierung</t>
  </si>
  <si>
    <t>Basisdaten</t>
  </si>
  <si>
    <t>L</t>
  </si>
  <si>
    <t>Follow-Up-Meldungen</t>
  </si>
  <si>
    <t>Pflicht Berechnung</t>
  </si>
  <si>
    <t>Optional Berechnung</t>
  </si>
  <si>
    <t>In Ordnung</t>
  </si>
  <si>
    <t>Plausibel</t>
  </si>
  <si>
    <t>Inkorrekt</t>
  </si>
  <si>
    <t>Unvollständig</t>
  </si>
  <si>
    <t>kein Eintrag</t>
  </si>
  <si>
    <t>n.d.</t>
  </si>
  <si>
    <t>DFS</t>
  </si>
  <si>
    <t>Follow-Up-Quote der letzten 1-3 Jahre</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</si>
  <si>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</si>
  <si>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</si>
  <si>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</si>
  <si>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</si>
  <si>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</si>
  <si>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</si>
  <si>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</si>
  <si>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</si>
  <si>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</si>
  <si>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</si>
  <si>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</si>
  <si>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untere Grenze</t>
  </si>
  <si>
    <t>obere Grenze</t>
  </si>
  <si>
    <t>Werte</t>
  </si>
  <si>
    <t>Texte</t>
  </si>
  <si>
    <t>von</t>
  </si>
  <si>
    <t>ART</t>
  </si>
  <si>
    <t>plausi</t>
  </si>
  <si>
    <t>sollvorgabe</t>
  </si>
  <si>
    <t>unvollständig</t>
  </si>
  <si>
    <t>Liste zum Übertragen</t>
  </si>
  <si>
    <t>Kalenderjahr(e) 
(Erstdiagnose)</t>
  </si>
  <si>
    <t>Länge</t>
  </si>
  <si>
    <t>Prüfung der Nenner</t>
  </si>
  <si>
    <t>Wert</t>
  </si>
  <si>
    <t>Erläuterung</t>
  </si>
  <si>
    <t>relevant</t>
  </si>
  <si>
    <t>Zentrum</t>
  </si>
  <si>
    <t>Matrix kann eingereicht werden</t>
  </si>
  <si>
    <t>Einrichtung 1</t>
  </si>
  <si>
    <t>Status</t>
  </si>
  <si>
    <t>Land</t>
  </si>
  <si>
    <t>Nebenstandort</t>
  </si>
  <si>
    <t>Phase</t>
  </si>
  <si>
    <t>Audit Start</t>
  </si>
  <si>
    <t>Audit Ende</t>
  </si>
  <si>
    <t>Phase 2012</t>
  </si>
  <si>
    <t>Phase 2013</t>
  </si>
  <si>
    <t>die inkorrekten und unvollständigen Einträge beheben</t>
  </si>
  <si>
    <t>Zellen müssen nicht ausgefüllt werden</t>
  </si>
  <si>
    <t>Anzahl Primärfälle</t>
  </si>
  <si>
    <t>&lt; Follow-Up</t>
  </si>
  <si>
    <t>2</t>
  </si>
  <si>
    <t>3</t>
  </si>
  <si>
    <t>1.7.5</t>
  </si>
  <si>
    <t>≥ 5%</t>
  </si>
  <si>
    <t>≥ 95%</t>
  </si>
  <si>
    <t>≥ 80%</t>
  </si>
  <si>
    <t>Zähler/ Anzahl</t>
  </si>
  <si>
    <t>Texte Matrix Datenquali</t>
  </si>
  <si>
    <t>Fehlermeldungen Matrix</t>
  </si>
  <si>
    <t>Ganze Zahl zwischen 0 und 5000 eingeben.</t>
  </si>
  <si>
    <t>zu wenig Primärfälle angegeben</t>
  </si>
  <si>
    <t>OAS auffällig hoch</t>
  </si>
  <si>
    <t>MATRIX- Hilfstabelle</t>
  </si>
  <si>
    <t>D</t>
  </si>
  <si>
    <t>J</t>
  </si>
  <si>
    <t>M</t>
  </si>
  <si>
    <t>B</t>
  </si>
  <si>
    <t>Tumordoku. liegt größtenteils beim Krebsregister</t>
  </si>
  <si>
    <t>C</t>
  </si>
  <si>
    <t>1.1.3</t>
  </si>
  <si>
    <t>Invasive maligne Melanome</t>
  </si>
  <si>
    <t>Epitheliale Tumoren (exclusive in-situ)</t>
  </si>
  <si>
    <t xml:space="preserve">≥ 30 </t>
  </si>
  <si>
    <t>≥ 100</t>
  </si>
  <si>
    <t>≥ 40</t>
  </si>
  <si>
    <t>Keine Zusammenarbeit</t>
  </si>
  <si>
    <t>IV</t>
  </si>
  <si>
    <t>E</t>
  </si>
  <si>
    <t>H</t>
  </si>
  <si>
    <t>Keine Rückmeldung</t>
  </si>
  <si>
    <t>OAS nach Kaplan-Meier    
(Overall Survival) in %</t>
  </si>
  <si>
    <t>O</t>
  </si>
  <si>
    <t>Österreich</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</si>
  <si>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</si>
  <si>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</si>
  <si>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</si>
  <si>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</si>
  <si>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</si>
  <si>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</si>
  <si>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</si>
  <si>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</si>
  <si>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</si>
  <si>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</si>
  <si>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</si>
  <si>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</si>
  <si>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</si>
  <si>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</si>
  <si>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</si>
  <si>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</si>
  <si>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Nicht gelistet</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</si>
  <si>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</si>
  <si>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</si>
  <si>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</si>
  <si>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</si>
  <si>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</si>
  <si>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</si>
  <si>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</si>
  <si>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</si>
  <si>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</si>
  <si>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</si>
  <si>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</si>
  <si>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</si>
  <si>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</si>
  <si>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</si>
  <si>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</si>
  <si>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</si>
  <si>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</si>
  <si>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</si>
  <si>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</si>
  <si>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</si>
  <si>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</si>
  <si>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</si>
  <si>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</si>
  <si>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</si>
  <si>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</si>
  <si>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</si>
  <si>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</si>
  <si>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</si>
  <si>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</si>
  <si>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</si>
  <si>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</si>
  <si>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</si>
  <si>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</si>
  <si>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</si>
  <si>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</si>
  <si>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</si>
  <si>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</si>
  <si>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</si>
  <si>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</si>
  <si>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</si>
  <si>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</si>
  <si>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</si>
  <si>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Achiever Medical System</t>
  </si>
  <si>
    <t>CARAT</t>
  </si>
  <si>
    <t>CREDOS</t>
  </si>
  <si>
    <t>GTDS</t>
  </si>
  <si>
    <t>Eigenentwicklung (MS Excel, MS Access etc.)</t>
  </si>
  <si>
    <t>KIS-Erweiterung</t>
  </si>
  <si>
    <t>KRAZTUR</t>
  </si>
  <si>
    <t>NUK</t>
  </si>
  <si>
    <t>OnkoNet</t>
  </si>
  <si>
    <t>Tabelle Plausibilitätsabfragen:</t>
  </si>
  <si>
    <t>inkorrekt</t>
  </si>
  <si>
    <t>nicht relevant</t>
  </si>
  <si>
    <t>Anzahl Primärfälle Malignes kutanes Melanom</t>
  </si>
  <si>
    <t>zu viele Pat im Follow Up</t>
  </si>
  <si>
    <t>zu viele Pat Keine Rückmeldungen</t>
  </si>
  <si>
    <t>zu viele Pat Tumorbedingt gestorben</t>
  </si>
  <si>
    <t>zu viele Pat Gestorben</t>
  </si>
  <si>
    <t>Kutane Lymphome und anderen seltenen, malignen Hauttumoren</t>
  </si>
  <si>
    <t>1.1</t>
  </si>
  <si>
    <t>1.2</t>
  </si>
  <si>
    <t>1.3</t>
  </si>
  <si>
    <t>Datendefizite Matrix</t>
  </si>
  <si>
    <t>Kennzahlenbogen - Analyseprotokoll Datendefizite Haut</t>
  </si>
  <si>
    <t>Matrix - Ergebnisqualität (Malignes kutanes Melanom)</t>
  </si>
  <si>
    <t>Matrix - Analyseprotokoll Datendefizite (Malignes kutanes Melanom)</t>
  </si>
  <si>
    <t>-----</t>
  </si>
  <si>
    <t>&gt; 80%</t>
  </si>
  <si>
    <t>Spalte/ Zelle</t>
  </si>
  <si>
    <t xml:space="preserve">leere Zellen  </t>
  </si>
  <si>
    <t>OAS auffällig niedrig oder hoch</t>
  </si>
  <si>
    <t>DFS auffällig niedrig oder hoch</t>
  </si>
  <si>
    <t xml:space="preserve">   </t>
  </si>
  <si>
    <t>IIIC</t>
  </si>
  <si>
    <t xml:space="preserve">Spalte D </t>
  </si>
  <si>
    <t>Geringe Follow-Up Quote der Nachsorgejahre</t>
  </si>
  <si>
    <t>geringe Follow-Up Quote der Nachsorgejahre</t>
  </si>
  <si>
    <t xml:space="preserve">                     Erstelldatum</t>
  </si>
  <si>
    <t>Nicht ausgefüllte Zellen von relevanten Nachsorgejahren</t>
  </si>
  <si>
    <t>Alle relevanten Nachsorgejahre sind zu bearbeiten, abhängig vom Datum der Erstzertifizierung</t>
  </si>
  <si>
    <t>D &lt; 5</t>
  </si>
  <si>
    <t>geringe Follow-Up Quote</t>
  </si>
  <si>
    <t>durchschnittliche Follow-Up Quote &lt; 60%</t>
  </si>
  <si>
    <t>durchschnittliche Follow-Up Quote &gt; 95%</t>
  </si>
  <si>
    <t>Kennzahldefinition</t>
  </si>
  <si>
    <t>Für OAS sind keine Plausibilitätsabfragen hinterlegt, dies liegt daran, dass die einzelnen Kollektive der Kohortenjahre in der Regel zu wenige Patienten umfassen</t>
  </si>
  <si>
    <t>Ansprechpartner</t>
  </si>
  <si>
    <t>Achieva</t>
  </si>
  <si>
    <t>Alcedis MED</t>
  </si>
  <si>
    <t>c37.CancerCenter</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</si>
  <si>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</si>
  <si>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</si>
  <si>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</si>
  <si>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</si>
  <si>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</si>
  <si>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</si>
  <si>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</si>
  <si>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</si>
  <si>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</si>
  <si>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</si>
  <si>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</si>
  <si>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</si>
  <si>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</si>
  <si>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Daten-qualität
1), 2), 3)</t>
  </si>
  <si>
    <t>relevante Nachsorgejahre nicht / unvollständig bearbeitet</t>
  </si>
  <si>
    <t>Allgemeine Feststellungen</t>
  </si>
  <si>
    <t>Allgemeine Hinweise</t>
  </si>
  <si>
    <t>Allgemeine Abweichungen</t>
  </si>
  <si>
    <t>Feststellung</t>
  </si>
  <si>
    <t>Hinweis</t>
  </si>
  <si>
    <t>Abweichung</t>
  </si>
  <si>
    <t>Datenverifizierung_ID</t>
  </si>
  <si>
    <t>ID: a</t>
  </si>
  <si>
    <t>ID: c</t>
  </si>
  <si>
    <t>ID: b</t>
  </si>
  <si>
    <t>ID: d</t>
  </si>
  <si>
    <t>ID: e</t>
  </si>
  <si>
    <t>ID: f</t>
  </si>
  <si>
    <t>ID: i</t>
  </si>
  <si>
    <t>Sollvorgabe nicht erfüllt; durchschnittliche Follow-Up Quote &lt; 60%; ID: g</t>
  </si>
  <si>
    <t>Plausibilität unklar; durchschnittliche Follow-Up Quote &gt; 95%; ID: h</t>
  </si>
  <si>
    <t>Erläuterung hinsichtlich Datendefizit</t>
  </si>
  <si>
    <t>ID_intern</t>
  </si>
  <si>
    <t>IA</t>
  </si>
  <si>
    <t>IB</t>
  </si>
  <si>
    <t>IIA</t>
  </si>
  <si>
    <t>IIB</t>
  </si>
  <si>
    <t>IIC</t>
  </si>
  <si>
    <t>IIIA</t>
  </si>
  <si>
    <t>IIIB</t>
  </si>
  <si>
    <t>Anmerkung OnkoZert</t>
  </si>
  <si>
    <t>Bewertung Ausschuss</t>
  </si>
  <si>
    <t>Tumorzentrum Ostsachsen</t>
  </si>
  <si>
    <t>Tumorzentrum Weser-Ems</t>
  </si>
  <si>
    <t>Prostata-Ca Register</t>
  </si>
  <si>
    <t>QuaDoSta</t>
  </si>
  <si>
    <t>UroCloud</t>
  </si>
  <si>
    <t>KN NR.</t>
  </si>
  <si>
    <t xml:space="preserve">Für Übertragung in Datendefizite_KB:
</t>
  </si>
  <si>
    <t>Alle KN leer:</t>
  </si>
  <si>
    <t>ixserv.4</t>
  </si>
  <si>
    <t>Heartsoft Tumordatenbank</t>
  </si>
  <si>
    <t>Unvollständige Jahre</t>
  </si>
  <si>
    <t xml:space="preserve">          Erstelldatum</t>
  </si>
  <si>
    <t>KN</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</si>
  <si>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</si>
  <si>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</si>
  <si>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</si>
  <si>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</si>
  <si>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</si>
  <si>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</si>
  <si>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</si>
  <si>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</si>
  <si>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</si>
  <si>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</si>
  <si>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</si>
  <si>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</si>
  <si>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</si>
  <si>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  3%</t>
  </si>
  <si>
    <t xml:space="preserve">Anzahl Primärfälle 
Malignes kutanes Melanom </t>
  </si>
  <si>
    <t>G</t>
  </si>
  <si>
    <t>K</t>
  </si>
  <si>
    <t>N</t>
  </si>
  <si>
    <t>P</t>
  </si>
  <si>
    <t>Q</t>
  </si>
  <si>
    <t>T</t>
  </si>
  <si>
    <t>U</t>
  </si>
  <si>
    <t>X</t>
  </si>
  <si>
    <t xml:space="preserve">                               Erstelldatum</t>
  </si>
  <si>
    <t>Datum Erstzertifizierung</t>
  </si>
  <si>
    <t>Spalte S</t>
  </si>
  <si>
    <t xml:space="preserve">Werte Spalte S "Patienten mit aktueller Follow-Up Meldung" müssen kleiner gleich sein als Spalte D </t>
  </si>
  <si>
    <t xml:space="preserve">Werte Spalte T "Keine Rückmeldung" müssen kleiner gleich sein als Spalte D </t>
  </si>
  <si>
    <t xml:space="preserve">Werte Spalte W "Tumorbedingt gestorben" müssen kleiner sein als Spalte S </t>
  </si>
  <si>
    <t xml:space="preserve">Werte Spalte X "Gestorben (Todesursache unbekannt bzw. nicht tumorbedingt)" müssen kleiner sein als Spalte S </t>
  </si>
  <si>
    <t>Krebsregister Schweiz</t>
  </si>
  <si>
    <t>Krebsregister Österreich</t>
  </si>
  <si>
    <t xml:space="preserve">     </t>
  </si>
  <si>
    <t xml:space="preserve"> </t>
  </si>
  <si>
    <t>XML-OncoBox</t>
  </si>
  <si>
    <t>Krebsregister Italien</t>
  </si>
  <si>
    <t>MaDoS</t>
  </si>
  <si>
    <t>UCC-TDS (Tumorzentrum Dresden)</t>
  </si>
  <si>
    <t>&lt; 5%</t>
  </si>
  <si>
    <t>&gt; 70%</t>
  </si>
  <si>
    <t>Kutane Lymphome und andere seltene, maligne Hauttumoren (Angiosarkom, Merkel, DFSP usw.)</t>
  </si>
  <si>
    <t>Krebsregister gemäß KFRG noch nicht benannt</t>
  </si>
  <si>
    <t>≤ 3%</t>
  </si>
  <si>
    <t>Invasive Maligne Melanome</t>
  </si>
  <si>
    <t>Zentrumspatienten = 5a) + 6a) + 7)</t>
  </si>
  <si>
    <t>Uro-Link</t>
  </si>
  <si>
    <t>OncoBox</t>
  </si>
  <si>
    <t>5. a) Pat. mit Primärerkrankung</t>
  </si>
  <si>
    <t>b) Anzahl der Fälle bei Primärerkrankung</t>
  </si>
  <si>
    <t xml:space="preserve">6. a) Pat. mit Zweit-/Dritt-Melanom andere Lokalisation </t>
  </si>
  <si>
    <t>b) Anzahl der Fälle bei Zweit/Dritt-Melanom</t>
  </si>
  <si>
    <t xml:space="preserve">7. Pat. mit Stadienshift/Rezidive </t>
  </si>
  <si>
    <t>Optional: 8. Pat. mit andauernder Therapie</t>
  </si>
  <si>
    <t>Optional: 9. Pat. in Nachsorge</t>
  </si>
  <si>
    <t>Ausnahme</t>
  </si>
  <si>
    <t>Zusammenarbeit mit KFRG-Krebsregister</t>
  </si>
  <si>
    <r>
      <t>Primärdiagnose</t>
    </r>
    <r>
      <rPr>
        <b/>
        <vertAlign val="superscript"/>
        <sz val="9"/>
        <rFont val="Arial"/>
        <family val="2"/>
      </rPr>
      <t>1)</t>
    </r>
  </si>
  <si>
    <r>
      <t xml:space="preserve">Auswertungen </t>
    </r>
    <r>
      <rPr>
        <b/>
        <vertAlign val="superscript"/>
        <sz val="9"/>
        <rFont val="Arial"/>
        <family val="2"/>
      </rPr>
      <t>4)</t>
    </r>
  </si>
  <si>
    <r>
      <t xml:space="preserve">Patienten mit aktueller 
Follow-Up-Meldung </t>
    </r>
    <r>
      <rPr>
        <vertAlign val="superscript"/>
        <sz val="9"/>
        <rFont val="Arial"/>
        <family val="2"/>
      </rPr>
      <t>2)</t>
    </r>
  </si>
  <si>
    <r>
      <t xml:space="preserve">Tumorbedingt gestorben </t>
    </r>
    <r>
      <rPr>
        <vertAlign val="superscript"/>
        <sz val="9"/>
        <rFont val="Arial"/>
        <family val="2"/>
      </rPr>
      <t>3)</t>
    </r>
  </si>
  <si>
    <r>
      <t xml:space="preserve">Gestorben (Todesursache 
unbekannt bzw. nicht tumorbedingt) </t>
    </r>
    <r>
      <rPr>
        <vertAlign val="superscript"/>
        <sz val="9"/>
        <rFont val="Arial"/>
        <family val="2"/>
      </rPr>
      <t>3)</t>
    </r>
  </si>
  <si>
    <t>Primärfallpatienten MM = 5a) + 6a)</t>
  </si>
  <si>
    <t>Alle Patienten MM (mit optional) =  5a) + 6a) + 7) + 8) + 9)</t>
  </si>
  <si>
    <t>MADOS 4</t>
  </si>
  <si>
    <t>HAUT
mit Primärtumor</t>
  </si>
  <si>
    <t>HAUT
ohne Primär-tumor</t>
  </si>
  <si>
    <t>nicht  zuzuordnen (z.B.: pTx)</t>
  </si>
  <si>
    <t>IIIB/IIIC</t>
  </si>
  <si>
    <t>nicht zuzu-ordnen (z.B.: pTx)</t>
  </si>
  <si>
    <t>ohne Primärtumor - IV</t>
  </si>
  <si>
    <t>ohne Primärtumor - IIIB/IIIC</t>
  </si>
  <si>
    <t>13</t>
  </si>
  <si>
    <t>Summe Plausibilität unklar</t>
  </si>
  <si>
    <t>Adjumed</t>
  </si>
  <si>
    <t>CADA (Eigenentwicklung)</t>
  </si>
  <si>
    <t>CaOnkoDok (Eigenentwicklung)</t>
  </si>
  <si>
    <t>Clinic WinData</t>
  </si>
  <si>
    <t>ODSeasy / ODSeasyNet</t>
  </si>
  <si>
    <t>Tumorregister München (TRM)</t>
  </si>
  <si>
    <t>Eigenentwicklung auf Basis medico (Cerner)</t>
  </si>
  <si>
    <t>KoReDos</t>
  </si>
  <si>
    <t>Martini-Data</t>
  </si>
  <si>
    <t>Oncodossier (Eigenentwicklung auf Basis ORBIS)</t>
  </si>
  <si>
    <t>ProDos</t>
  </si>
  <si>
    <r>
      <rPr>
        <sz val="8"/>
        <color theme="10"/>
        <rFont val="Arial"/>
        <family val="2"/>
      </rPr>
      <t xml:space="preserve">               </t>
    </r>
    <r>
      <rPr>
        <u/>
        <sz val="8"/>
        <color theme="10"/>
        <rFont val="Arial"/>
        <family val="2"/>
      </rPr>
      <t>https://www.onkozert.de/organ/haut/</t>
    </r>
  </si>
  <si>
    <r>
      <rPr>
        <sz val="8"/>
        <color theme="10"/>
        <rFont val="Aral"/>
      </rPr>
      <t xml:space="preserve">               </t>
    </r>
    <r>
      <rPr>
        <u/>
        <sz val="8"/>
        <color theme="10"/>
        <rFont val="Aral"/>
      </rPr>
      <t>https://www.krebsgesellschaft.de/zertdokumente.html</t>
    </r>
  </si>
  <si>
    <t>Auditjahr 2020 / Kennzahlenjahr 2019</t>
  </si>
  <si>
    <t>Uvea, Konjunktiva, Schleimhaut</t>
  </si>
  <si>
    <t>≤ 25%</t>
  </si>
  <si>
    <t>≥ 90%</t>
  </si>
  <si>
    <r>
      <t xml:space="preserve">IIID </t>
    </r>
    <r>
      <rPr>
        <vertAlign val="superscript"/>
        <sz val="9"/>
        <rFont val="Arial"/>
        <family val="2"/>
      </rPr>
      <t>6)</t>
    </r>
  </si>
  <si>
    <r>
      <t xml:space="preserve">2018 </t>
    </r>
    <r>
      <rPr>
        <vertAlign val="superscript"/>
        <sz val="9"/>
        <rFont val="Arial"/>
        <family val="2"/>
      </rPr>
      <t>5)</t>
    </r>
  </si>
  <si>
    <r>
      <t xml:space="preserve">2019 </t>
    </r>
    <r>
      <rPr>
        <vertAlign val="superscript"/>
        <sz val="9"/>
        <rFont val="Arial"/>
        <family val="2"/>
      </rPr>
      <t>5)</t>
    </r>
  </si>
  <si>
    <t>R</t>
  </si>
  <si>
    <t>V</t>
  </si>
  <si>
    <t>Y</t>
  </si>
  <si>
    <t>AA</t>
  </si>
  <si>
    <t>V28</t>
  </si>
  <si>
    <t>V21 - V23</t>
  </si>
  <si>
    <t>V28 &lt; 60%</t>
  </si>
  <si>
    <t>V &lt; 50%</t>
  </si>
  <si>
    <t>V28 &gt; 95%</t>
  </si>
  <si>
    <t xml:space="preserve">    Ø Follow-Up Quote der Jahre 2015-2017</t>
  </si>
  <si>
    <t>Follow-Up Quote der Jahre 2015-2017</t>
  </si>
  <si>
    <t>Follow-Up Quote der Jahre 2015-2017 (positive Unplausibilität)</t>
  </si>
  <si>
    <t>geringe Follow-Up Quote der Jahre 2015-2017</t>
  </si>
  <si>
    <t>zu hohe Follow-Up Quote der Jahre 2015-2017</t>
  </si>
  <si>
    <t>mit Primärtumor - IA</t>
  </si>
  <si>
    <t>mit Primärtumor - IB</t>
  </si>
  <si>
    <t>mit Primärtumor - IIA</t>
  </si>
  <si>
    <t>mit Primärtumor - IIB</t>
  </si>
  <si>
    <t>mit Primärtumor - IIC</t>
  </si>
  <si>
    <t>mit Primärtumor - IIIA</t>
  </si>
  <si>
    <t>mit Primärtumor - IIIB</t>
  </si>
  <si>
    <t>mit Primärtumor - IIIC</t>
  </si>
  <si>
    <t>mit Primärtumor - IIID</t>
  </si>
  <si>
    <t>mit Primärtumor - IV</t>
  </si>
  <si>
    <t>Clinical Information Catalogue (CIC) (Eigenentwicklung)</t>
  </si>
  <si>
    <t>nur Prostata</t>
  </si>
  <si>
    <t>nur Darm</t>
  </si>
  <si>
    <t>nur Brust / Gyn</t>
  </si>
  <si>
    <t>SHGHoncoDoc</t>
  </si>
  <si>
    <t>Darm, Leber, Magen , Pankreas</t>
  </si>
  <si>
    <t>TD System KEM (Eigenentwicklung)</t>
  </si>
  <si>
    <r>
      <rPr>
        <b/>
        <u/>
        <sz val="8"/>
        <color indexed="8"/>
        <rFont val="Arial"/>
        <family val="2"/>
      </rPr>
      <t xml:space="preserve">
Bearbeitungshinweise:</t>
    </r>
    <r>
      <rPr>
        <sz val="8"/>
        <color indexed="8"/>
        <rFont val="Arial"/>
        <family val="2"/>
      </rPr>
      <t xml:space="preserve">
Die verbindliche Bearbeitung der Matrix / Ergebnisqualität wurde in der Zertifizierungskommissionssitzung vom 12.05.2014 aufgehoben. Das Kriterium der „Follow-Up Quote“ besteht somit nicht mehr und ist auch nicht für den Antrag REDZYK nachzuweisen.
Für die Bewertung der Matrix gelten folgende Regelungen:
            a) Alle Patienten ab dem Folgejahr der EZ sind im Follow-Up zu berücksichtigen; alle relevanten Nachsorgejahre sind zu bearbeiten, abhängig vom Datum der Erstzertifizierung.
            b) Nachsorgejahr "relevant" (Spalte B) =&gt; Sämtliche „hellgrau“ hinterlegte Felder sollten vollständig bearbeitet werden; dies gilt auch für Nullwerte (=0).
            c) Ausnahmen sind die optional anzugebenden Felder OAS (Spalte AA). Dezimaltrennzeichen ist das Komma (nicht der Punkt). Rundung erfolgt auf zwei Nachkommastellen.
            d) Bei den „hellrot“ hinterlegten Feldern liegt eine Falscheingabe vor, diese ist zu korrigieren.
            e) Zahlen müssen manuell eingegeben werden, diese dürfen nicht kopiert werden.
            f) „Hellgrün“ hinterlegte Felder weisen auf Unplausibilitäten hin. Diese Werte sind zu analysieren und das Ergebnis ist auf dem Folgeblatt „Datendefizite_Matrix“ darzulegen.
</t>
    </r>
    <r>
      <rPr>
        <b/>
        <u/>
        <sz val="8"/>
        <color indexed="8"/>
        <rFont val="Arial"/>
        <family val="2"/>
      </rPr>
      <t xml:space="preserve">
Anmerkungen:
</t>
    </r>
    <r>
      <rPr>
        <sz val="8"/>
        <color indexed="8"/>
        <rFont val="Arial"/>
        <family val="2"/>
      </rPr>
      <t>In dieser Excel-Vorlage sind die nachfolgend skizzierten Plausibilitätsabfragen hinterlegt.
Ein Anspruch auf Vollständigkeit besteht nicht.
Von Seiten des Fachexperten können weitere Unplausibilitäten bzw. Inkorrektheiten identifiziert und im Rahmen des Auditergebnisses dargestellt werden.</t>
    </r>
  </si>
  <si>
    <t>Werte Spalte T "Patienten mit aktueller Follow-Up-Meldung" müssen kleiner gleich sein als Spalte D 
"Anzahl Primärfälle Malignes kutanes Melanom"; siehe Fußnote 2</t>
  </si>
  <si>
    <t>Werte Spalte U "Keine Rückmeldung" müssen kleiner gleich sein als Spalte D "Anzahl Primärfälle Malignes kutanes Melanom"; siehe Fußnote 2</t>
  </si>
  <si>
    <t>Werte Spalte X "Tumorbedingt gestorben" müssen kleiner gleich sein als Spalte S "Patienten mit aktueller Follow-Up-Meldung"</t>
  </si>
  <si>
    <t>Werte Spalte Y "Gestorben (Todesursache unbekannt bzw. nicht tumorbedingt)" müssen kleiner gleich sein als Spalte S "Patienten mit aktueller Follow-Up-Meldung"</t>
  </si>
  <si>
    <r>
      <t>1)</t>
    </r>
    <r>
      <rPr>
        <sz val="8"/>
        <rFont val="Arial"/>
        <family val="2"/>
      </rPr>
      <t xml:space="preserve">  Die Darstellung der Ergebnisqualität beschränkt sich im Moment auf die Primärfälle (Definition siehe Tabellenblatt "Basisdaten") </t>
    </r>
    <r>
      <rPr>
        <b/>
        <sz val="8"/>
        <rFont val="Arial"/>
        <family val="2"/>
      </rPr>
      <t>malignes kutanes Melanom!</t>
    </r>
    <r>
      <rPr>
        <sz val="8"/>
        <rFont val="Arial"/>
        <family val="2"/>
      </rPr>
      <t xml:space="preserve">
</t>
    </r>
    <r>
      <rPr>
        <vertAlign val="superscript"/>
        <sz val="8"/>
        <rFont val="Arial"/>
        <family val="2"/>
      </rPr>
      <t>2)</t>
    </r>
    <r>
      <rPr>
        <sz val="8"/>
        <rFont val="Arial"/>
        <family val="2"/>
      </rPr>
      <t xml:space="preserve">  Die Daten müssen patientenbezogen rückverfolgbar und zum Zeitpunkt der Auswertung nicht älter als 12 Monate sein. Unter Follow-Up ist Spalte T bis Y zu verstehen (Aktives Follow-Up).
</t>
    </r>
    <r>
      <rPr>
        <vertAlign val="superscript"/>
        <sz val="8"/>
        <rFont val="Arial"/>
        <family val="2"/>
      </rPr>
      <t xml:space="preserve">3) </t>
    </r>
    <r>
      <rPr>
        <sz val="8"/>
        <rFont val="Arial"/>
        <family val="2"/>
      </rPr>
      <t xml:space="preserve"> Primärfälle aus der Jahreskohorte x, die verstorben sind.
</t>
    </r>
    <r>
      <rPr>
        <vertAlign val="superscript"/>
        <sz val="8"/>
        <rFont val="Arial"/>
        <family val="2"/>
      </rPr>
      <t xml:space="preserve">4) </t>
    </r>
    <r>
      <rPr>
        <sz val="8"/>
        <rFont val="Arial"/>
        <family val="2"/>
      </rPr>
      <t xml:space="preserve"> OAS ist nicht direkt aus dieser Matrix abzuleiten und kann deshalb nach eigener Berechnung hier manuell eingetragen werden. Eine automatische Berechnung durch EXCEL erfolgt nicht.
</t>
    </r>
    <r>
      <rPr>
        <vertAlign val="superscript"/>
        <sz val="8"/>
        <rFont val="Arial"/>
        <family val="2"/>
      </rPr>
      <t>5)</t>
    </r>
    <r>
      <rPr>
        <sz val="8"/>
        <rFont val="Arial"/>
        <family val="2"/>
      </rPr>
      <t xml:space="preserve"> Ausgelöst durch die Follow-Up-Strukturen der Krebsregister (Latenzzeit Vollzähligkeit der Registrierung von Zielereignissen) ist es für das letzte und vorletzte Kalenderjahr ausreichend, die 
   aufgeschlüsselten Primärfälle (Spalte E-R) anzugeben.
</t>
    </r>
    <r>
      <rPr>
        <vertAlign val="superscript"/>
        <sz val="8"/>
        <rFont val="Arial"/>
        <family val="2"/>
      </rPr>
      <t>6)</t>
    </r>
    <r>
      <rPr>
        <sz val="8"/>
        <rFont val="Arial"/>
        <family val="2"/>
      </rPr>
      <t xml:space="preserve"> Das Stadium IIID wurde mit der 8. Auflage der TNM-Klassifikation eingeführt. Das Stadium IIID ist für die Jahre vor 2017 daher nicht relevant.
</t>
    </r>
    <r>
      <rPr>
        <vertAlign val="superscript"/>
        <sz val="8"/>
        <rFont val="Arial"/>
        <family val="2"/>
      </rPr>
      <t/>
    </r>
  </si>
  <si>
    <t>Aktualisierung: 29.11.2019</t>
  </si>
  <si>
    <t>FIltername EMAC: "Liste Reg.Nr DS" -&gt; Bitte datum bei Gültigkeit aktualisieren</t>
  </si>
  <si>
    <t>Follow-Up Quote in % 
= T / (T + U)</t>
  </si>
  <si>
    <t>Basic Data Skin</t>
  </si>
  <si>
    <t>Centre</t>
  </si>
  <si>
    <t>Clinical site</t>
  </si>
  <si>
    <t>Contact</t>
  </si>
  <si>
    <t>Not listed</t>
  </si>
  <si>
    <t>Federal state / Country</t>
  </si>
  <si>
    <t>Tumour documentation system</t>
  </si>
  <si>
    <t>Not yet available</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</si>
  <si>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</si>
  <si>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</si>
  <si>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</si>
  <si>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</si>
  <si>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</si>
  <si>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</si>
  <si>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</si>
  <si>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</si>
  <si>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</si>
  <si>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</si>
  <si>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</si>
  <si>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</si>
  <si>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</si>
  <si>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</si>
  <si>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</si>
  <si>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</si>
  <si>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</si>
  <si>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</si>
  <si>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</si>
  <si>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</si>
  <si>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</si>
  <si>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</si>
  <si>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</si>
  <si>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</si>
  <si>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</si>
  <si>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</si>
  <si>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</si>
  <si>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</si>
  <si>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</si>
  <si>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</si>
  <si>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</si>
  <si>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</si>
  <si>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</si>
  <si>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</si>
  <si>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</si>
  <si>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</si>
  <si>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</si>
  <si>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</si>
  <si>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</si>
  <si>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</si>
  <si>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</si>
  <si>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</si>
  <si>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</si>
  <si>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</si>
  <si>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</si>
  <si>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</si>
  <si>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</si>
  <si>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</si>
  <si>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</si>
  <si>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</si>
  <si>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</si>
  <si>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</si>
  <si>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</si>
  <si>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</si>
  <si>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</si>
  <si>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</si>
  <si>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</si>
  <si>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</si>
  <si>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</si>
  <si>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</si>
  <si>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</si>
  <si>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</si>
  <si>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</si>
  <si>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</si>
  <si>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</si>
  <si>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</si>
  <si>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</si>
  <si>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</si>
  <si>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</si>
  <si>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</si>
  <si>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</si>
  <si>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</si>
  <si>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</si>
  <si>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</si>
  <si>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</si>
  <si>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</si>
  <si>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</si>
  <si>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</si>
  <si>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</si>
  <si>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</si>
  <si>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</si>
  <si>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</si>
  <si>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</si>
  <si>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</si>
  <si>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</si>
  <si>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</si>
  <si>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</si>
  <si>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</si>
  <si>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</si>
  <si>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</si>
  <si>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</si>
  <si>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</si>
  <si>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</si>
  <si>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</si>
  <si>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</si>
  <si>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</si>
  <si>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</si>
  <si>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</si>
  <si>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</si>
  <si>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</si>
  <si>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</si>
  <si>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</si>
  <si>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</si>
  <si>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</si>
  <si>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</si>
  <si>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</si>
  <si>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</si>
  <si>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</si>
  <si>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</si>
  <si>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</si>
  <si>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</si>
  <si>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</si>
  <si>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</si>
  <si>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</si>
  <si>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</si>
  <si>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</si>
  <si>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</si>
  <si>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</si>
  <si>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</si>
  <si>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</si>
  <si>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</si>
  <si>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</si>
  <si>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</si>
  <si>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</si>
  <si>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</si>
  <si>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</si>
  <si>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</si>
  <si>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</si>
  <si>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</si>
  <si>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</si>
  <si>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</si>
  <si>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</si>
  <si>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</si>
  <si>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</si>
  <si>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</si>
  <si>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</si>
  <si>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</si>
  <si>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</si>
  <si>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</si>
  <si>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</si>
  <si>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</si>
  <si>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</si>
  <si>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</si>
  <si>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</si>
  <si>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</si>
  <si>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</si>
  <si>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</si>
  <si>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</si>
  <si>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</si>
  <si>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</si>
  <si>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</si>
  <si>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</si>
  <si>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</si>
  <si>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</si>
  <si>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</si>
  <si>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</si>
  <si>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</si>
  <si>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</si>
  <si>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</si>
  <si>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</si>
  <si>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</si>
  <si>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</si>
  <si>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</si>
  <si>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</si>
  <si>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</si>
  <si>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</si>
  <si>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</si>
  <si>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</si>
  <si>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</si>
  <si>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</si>
  <si>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</si>
  <si>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</si>
  <si>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</si>
  <si>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</si>
  <si>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</si>
  <si>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</si>
  <si>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</si>
  <si>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</si>
  <si>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</si>
  <si>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</si>
  <si>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</si>
  <si>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</si>
  <si>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</si>
  <si>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</si>
  <si>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</si>
  <si>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</si>
  <si>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</si>
  <si>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</si>
  <si>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</si>
  <si>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</si>
  <si>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</si>
  <si>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</si>
  <si>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</si>
  <si>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</si>
  <si>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</si>
  <si>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</si>
  <si>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t>In-house development (MS Excel, MS Access etc.)</t>
  </si>
  <si>
    <t xml:space="preserve">Not listed </t>
  </si>
  <si>
    <t>Unknown</t>
  </si>
  <si>
    <r>
      <rPr>
        <b/>
        <sz val="10"/>
        <color indexed="8"/>
        <rFont val="Arial"/>
        <family val="2"/>
      </rPr>
      <t>Invasive malignant melanomas</t>
    </r>
  </si>
  <si>
    <r>
      <rPr>
        <b/>
        <sz val="9"/>
        <rFont val="Arial"/>
        <family val="2"/>
      </rPr>
      <t>SKIN</t>
    </r>
  </si>
  <si>
    <r>
      <t>not classifi-able (e.g.: pTx)</t>
    </r>
    <r>
      <rPr>
        <b/>
        <vertAlign val="superscript"/>
        <sz val="8.5"/>
        <rFont val="Arial"/>
        <family val="2"/>
      </rPr>
      <t>4).</t>
    </r>
  </si>
  <si>
    <r>
      <rPr>
        <b/>
        <sz val="8.5"/>
        <color indexed="8"/>
        <rFont val="Arial"/>
        <family val="2"/>
      </rPr>
      <t>Total</t>
    </r>
  </si>
  <si>
    <r>
      <rPr>
        <b/>
        <sz val="9"/>
        <rFont val="Arial"/>
        <family val="2"/>
      </rPr>
      <t xml:space="preserve"> with primary tumour</t>
    </r>
  </si>
  <si>
    <r>
      <rPr>
        <b/>
        <sz val="9"/>
        <rFont val="Arial"/>
        <family val="2"/>
      </rPr>
      <t>with no primary tumour</t>
    </r>
  </si>
  <si>
    <r>
      <rPr>
        <b/>
        <sz val="8.5"/>
        <rFont val="Arial"/>
        <family val="2"/>
      </rPr>
      <t xml:space="preserve">IA </t>
    </r>
    <r>
      <rPr>
        <b/>
        <vertAlign val="superscript"/>
        <sz val="8.5"/>
        <rFont val="Arial"/>
        <family val="2"/>
      </rPr>
      <t>1)</t>
    </r>
  </si>
  <si>
    <r>
      <rPr>
        <b/>
        <sz val="8.5"/>
        <rFont val="Arial"/>
        <family val="2"/>
      </rPr>
      <t xml:space="preserve">IB </t>
    </r>
    <r>
      <rPr>
        <b/>
        <vertAlign val="superscript"/>
        <sz val="8.5"/>
        <rFont val="Arial"/>
        <family val="2"/>
      </rPr>
      <t>1)</t>
    </r>
  </si>
  <si>
    <r>
      <rPr>
        <b/>
        <sz val="8.5"/>
        <rFont val="Arial"/>
        <family val="2"/>
      </rPr>
      <t xml:space="preserve">IIA </t>
    </r>
    <r>
      <rPr>
        <b/>
        <vertAlign val="superscript"/>
        <sz val="8.5"/>
        <rFont val="Arial"/>
        <family val="2"/>
      </rPr>
      <t>1)</t>
    </r>
  </si>
  <si>
    <r>
      <rPr>
        <b/>
        <sz val="8.5"/>
        <rFont val="Arial"/>
        <family val="2"/>
      </rPr>
      <t xml:space="preserve">IIB </t>
    </r>
    <r>
      <rPr>
        <b/>
        <vertAlign val="superscript"/>
        <sz val="8.5"/>
        <rFont val="Arial"/>
        <family val="2"/>
      </rPr>
      <t>1)</t>
    </r>
  </si>
  <si>
    <r>
      <rPr>
        <b/>
        <sz val="8.5"/>
        <rFont val="Arial"/>
        <family val="2"/>
      </rPr>
      <t xml:space="preserve">IIC </t>
    </r>
    <r>
      <rPr>
        <b/>
        <vertAlign val="superscript"/>
        <sz val="8.5"/>
        <rFont val="Arial"/>
        <family val="2"/>
      </rPr>
      <t>1)</t>
    </r>
  </si>
  <si>
    <r>
      <rPr>
        <b/>
        <sz val="8.5"/>
        <rFont val="Arial"/>
        <family val="2"/>
      </rPr>
      <t xml:space="preserve">IIIA </t>
    </r>
    <r>
      <rPr>
        <b/>
        <vertAlign val="superscript"/>
        <sz val="8.5"/>
        <rFont val="Arial"/>
        <family val="2"/>
      </rPr>
      <t>1)</t>
    </r>
  </si>
  <si>
    <r>
      <rPr>
        <b/>
        <sz val="8.5"/>
        <rFont val="Arial"/>
        <family val="2"/>
      </rPr>
      <t xml:space="preserve">IIIB </t>
    </r>
    <r>
      <rPr>
        <b/>
        <vertAlign val="superscript"/>
        <sz val="8.5"/>
        <rFont val="Arial"/>
        <family val="2"/>
      </rPr>
      <t>1)</t>
    </r>
  </si>
  <si>
    <r>
      <rPr>
        <b/>
        <sz val="8.5"/>
        <rFont val="Arial"/>
        <family val="2"/>
      </rPr>
      <t xml:space="preserve">IIIC </t>
    </r>
    <r>
      <rPr>
        <b/>
        <vertAlign val="superscript"/>
        <sz val="8.5"/>
        <rFont val="Arial"/>
        <family val="2"/>
      </rPr>
      <t>1)</t>
    </r>
  </si>
  <si>
    <r>
      <rPr>
        <b/>
        <sz val="8.5"/>
        <rFont val="Arial"/>
        <family val="2"/>
      </rPr>
      <t>IIID</t>
    </r>
    <r>
      <rPr>
        <b/>
        <vertAlign val="superscript"/>
        <sz val="8.5"/>
        <rFont val="Arial"/>
        <family val="2"/>
      </rPr>
      <t xml:space="preserve"> 1)</t>
    </r>
  </si>
  <si>
    <r>
      <rPr>
        <b/>
        <sz val="8.5"/>
        <rFont val="Arial"/>
        <family val="2"/>
      </rPr>
      <t xml:space="preserve">IV </t>
    </r>
    <r>
      <rPr>
        <b/>
        <vertAlign val="superscript"/>
        <sz val="8.5"/>
        <rFont val="Arial"/>
        <family val="2"/>
      </rPr>
      <t xml:space="preserve">1) </t>
    </r>
  </si>
  <si>
    <r>
      <rPr>
        <b/>
        <sz val="8.5"/>
        <rFont val="Arial"/>
        <family val="2"/>
      </rPr>
      <t>IIIB/IIIC</t>
    </r>
    <r>
      <rPr>
        <b/>
        <vertAlign val="superscript"/>
        <sz val="8.5"/>
        <rFont val="Arial"/>
        <family val="2"/>
      </rPr>
      <t>1)</t>
    </r>
  </si>
  <si>
    <r>
      <rPr>
        <b/>
        <sz val="8.5"/>
        <rFont val="Arial"/>
        <family val="2"/>
      </rPr>
      <t>IV</t>
    </r>
    <r>
      <rPr>
        <b/>
        <vertAlign val="superscript"/>
        <sz val="8.5"/>
        <rFont val="Arial"/>
        <family val="2"/>
      </rPr>
      <t>1)</t>
    </r>
  </si>
  <si>
    <r>
      <t>Uveal, conjunctival, mucosal</t>
    </r>
    <r>
      <rPr>
        <b/>
        <vertAlign val="superscript"/>
        <sz val="8.5"/>
        <rFont val="Arial"/>
        <family val="2"/>
      </rPr>
      <t>3)</t>
    </r>
  </si>
  <si>
    <r>
      <rPr>
        <b/>
        <sz val="9"/>
        <rFont val="Arial"/>
        <family val="2"/>
      </rPr>
      <t>5.</t>
    </r>
    <r>
      <rPr>
        <vertAlign val="superscript"/>
        <sz val="9"/>
        <rFont val="Arial"/>
        <family val="2"/>
      </rPr>
      <t>2)</t>
    </r>
    <r>
      <rPr>
        <b/>
        <sz val="9"/>
        <rFont val="Arial"/>
        <family val="2"/>
      </rPr>
      <t xml:space="preserve"> a) Patients with primary disease</t>
    </r>
    <r>
      <rPr>
        <sz val="9"/>
        <rFont val="Arial"/>
        <family val="2"/>
      </rPr>
      <t xml:space="preserve">
</t>
    </r>
    <r>
      <rPr>
        <sz val="8"/>
        <rFont val="Arial"/>
        <family val="2"/>
      </rPr>
      <t>(= patients with initial diagnosis malignant melanoma)</t>
    </r>
  </si>
  <si>
    <r>
      <t xml:space="preserve">   b) Number of cases with primary disease</t>
    </r>
    <r>
      <rPr>
        <sz val="9"/>
        <rFont val="Arial"/>
        <family val="2"/>
      </rPr>
      <t xml:space="preserve">
</t>
    </r>
    <r>
      <rPr>
        <sz val="8"/>
        <rFont val="Arial"/>
        <family val="2"/>
      </rPr>
      <t>(= in the calendar year further synchronous/metachronous diagnoses of malignant melanomas at a different location, no recurrence, no stage shift)</t>
    </r>
  </si>
  <si>
    <r>
      <t>6. a) Patients with second/third melanoma at different location</t>
    </r>
    <r>
      <rPr>
        <sz val="9"/>
        <rFont val="Arial"/>
        <family val="2"/>
      </rPr>
      <t xml:space="preserve"> 
</t>
    </r>
    <r>
      <rPr>
        <sz val="8"/>
        <rFont val="Arial"/>
        <family val="2"/>
      </rPr>
      <t>(= patient already diagnosed with a malignant melanoma in a previous calendar year. Now: second/third malignant melanoma at a different site).</t>
    </r>
  </si>
  <si>
    <r>
      <t xml:space="preserve">    b) Number of cases with second/third melanoma</t>
    </r>
    <r>
      <rPr>
        <sz val="9"/>
        <rFont val="Arial"/>
        <family val="2"/>
      </rPr>
      <t xml:space="preserve">
</t>
    </r>
    <r>
      <rPr>
        <sz val="8"/>
        <rFont val="Arial"/>
        <family val="2"/>
      </rPr>
      <t>(= in the calendar year further synchronous/metachronous diagnoses of malignant melanomas at a different location, no recurrence, no stage shift)</t>
    </r>
  </si>
  <si>
    <r>
      <t xml:space="preserve">7. Patients with stage shift/recurrence </t>
    </r>
    <r>
      <rPr>
        <sz val="9"/>
        <rFont val="Arial"/>
        <family val="2"/>
      </rPr>
      <t xml:space="preserve">
</t>
    </r>
    <r>
      <rPr>
        <sz val="8"/>
        <rFont val="Arial"/>
        <family val="2"/>
      </rPr>
      <t>(= patient already diagnosed with a malignant melanoma in a previous or in the current calendar year. Now: recurrence, stage shift including new remote metastasis)</t>
    </r>
  </si>
  <si>
    <t>Optional:
8. Patients with ongoing therapy
(= patients with ongoing therapy who have not already been counted in the categories 5-7 for the calendar year, counted 1x/calendar year)</t>
  </si>
  <si>
    <r>
      <t>Optional:</t>
    </r>
    <r>
      <rPr>
        <sz val="9"/>
        <color theme="0" tint="-0.499984740745262"/>
        <rFont val="Arial"/>
        <family val="2"/>
      </rPr>
      <t xml:space="preserve">
</t>
    </r>
    <r>
      <rPr>
        <b/>
        <sz val="9"/>
        <color theme="0" tint="-0.499984740745262"/>
        <rFont val="Arial"/>
        <family val="2"/>
      </rPr>
      <t>9. Patients in aftercare</t>
    </r>
    <r>
      <rPr>
        <sz val="9"/>
        <color theme="0" tint="-0.499984740745262"/>
        <rFont val="Arial"/>
        <family val="2"/>
      </rPr>
      <t xml:space="preserve">
</t>
    </r>
    <r>
      <rPr>
        <sz val="8"/>
        <color theme="0" tint="-0.499984740745262"/>
        <rFont val="Arial"/>
        <family val="2"/>
      </rPr>
      <t>(= patients who are not undergoing therapy in aftercare who have not already been counted in the categories 5-7 for the calendar year, counted 1x/calendar year)</t>
    </r>
  </si>
  <si>
    <t>Primary cases patients with malignant melanoma =5a) + 6a)</t>
  </si>
  <si>
    <r>
      <rPr>
        <b/>
        <sz val="9"/>
        <rFont val="Arial"/>
        <family val="2"/>
      </rPr>
      <t>Centre patients = 5a) + 6a) +7)</t>
    </r>
  </si>
  <si>
    <r>
      <rPr>
        <b/>
        <sz val="9"/>
        <rFont val="Arial"/>
        <family val="2"/>
      </rPr>
      <t>All patients with a malignant melanoma (with optional)</t>
    </r>
    <r>
      <rPr>
        <sz val="9"/>
        <rFont val="Arial"/>
        <family val="2"/>
      </rPr>
      <t xml:space="preserve">
</t>
    </r>
    <r>
      <rPr>
        <b/>
        <sz val="9"/>
        <rFont val="Arial"/>
        <family val="2"/>
      </rPr>
      <t>= 5a) + 6a) + 7) + 8 + 9)</t>
    </r>
  </si>
  <si>
    <t>Total primary cases</t>
  </si>
  <si>
    <r>
      <rPr>
        <b/>
        <sz val="9"/>
        <rFont val="Arial"/>
        <family val="2"/>
      </rPr>
      <t>Cutaneous lymphomas and other rare malignant skin tumours (angiosarcoma, Merkel, DFSP, etc.)</t>
    </r>
  </si>
  <si>
    <t>Epithelial tumours (excluding in situ)</t>
  </si>
  <si>
    <t>Number of primary cases</t>
  </si>
  <si>
    <t>Processing remarks:</t>
  </si>
  <si>
    <t>1) TNM 8 requirements:</t>
  </si>
  <si>
    <t xml:space="preserve">
2) The table begins with 5 to avoid any confusion with tumour stages.
3) Patients with a malignant uveal, conjunctival, choroidal or mucosal malignoma were only counted for column P. No double entries.
4) Tx = tumour cannot be assessed.</t>
  </si>
  <si>
    <r>
      <rPr>
        <strike/>
        <sz val="8"/>
        <rFont val="Arial"/>
        <family val="2"/>
      </rPr>
      <t xml:space="preserve">
</t>
    </r>
    <r>
      <rPr>
        <sz val="8"/>
        <rFont val="Arial"/>
        <family val="2"/>
      </rPr>
      <t xml:space="preserve">Documentation examples at:  </t>
    </r>
  </si>
  <si>
    <t>or</t>
  </si>
  <si>
    <t>Some of the fields are inter-dependent. Each line should, therefore, be completely processed from left to right and continuously from top to bottom. Grey fields must be processed. The processing of the Excel template should be done with Microsoft Office 2010 or one of the later versions. Microsoft Office 2007 can be used with some constraints (e.g. information buttons are not displayed). Earlier versions of Microsoft Office 2007 are not suitable for processing the Excel template. All numbers and texts must be entered manually (not using copy/paste function; the exception are data which are entered by OncoBox). Each change to the basic data leads to a change in the Data Sheet. The document "Specifications Data Quality" sets out the basic principles of data assessment as part of the audit process. In particular details are given on how to deal with indicators where the target value is not met (download from www.onkozert.de; section Instructions).</t>
  </si>
  <si>
    <t>Date recorded</t>
  </si>
  <si>
    <t>Date first certification</t>
  </si>
  <si>
    <t>Indicator year</t>
  </si>
  <si>
    <t xml:space="preserve">Reg.-No. </t>
  </si>
  <si>
    <t>Reg.-No.</t>
  </si>
  <si>
    <t>Data quality indicators</t>
  </si>
  <si>
    <t>OK</t>
  </si>
  <si>
    <t>OK (Plausibility unclear)</t>
  </si>
  <si>
    <t>Target value not met</t>
  </si>
  <si>
    <t>Incorrect</t>
  </si>
  <si>
    <t>Incomplete</t>
  </si>
  <si>
    <t>Processing quality</t>
  </si>
  <si>
    <t>IN</t>
  </si>
  <si>
    <r>
      <t>Indicator</t>
    </r>
    <r>
      <rPr>
        <sz val="9"/>
        <color indexed="8"/>
        <rFont val="Arial"/>
        <family val="2"/>
      </rPr>
      <t xml:space="preserve">
</t>
    </r>
    <r>
      <rPr>
        <b/>
        <sz val="9"/>
        <color indexed="8"/>
        <rFont val="Arial"/>
        <family val="2"/>
      </rPr>
      <t>definition</t>
    </r>
  </si>
  <si>
    <t>Indicator target</t>
  </si>
  <si>
    <t>Numerator</t>
  </si>
  <si>
    <r>
      <t xml:space="preserve">Population </t>
    </r>
    <r>
      <rPr>
        <sz val="9"/>
        <color indexed="8"/>
        <rFont val="Arial"/>
        <family val="2"/>
      </rPr>
      <t xml:space="preserve">
</t>
    </r>
    <r>
      <rPr>
        <b/>
        <sz val="9"/>
        <color indexed="8"/>
        <rFont val="Arial"/>
        <family val="2"/>
      </rPr>
      <t>(= denominator)</t>
    </r>
  </si>
  <si>
    <t>Plausi unclear</t>
  </si>
  <si>
    <t>Target value</t>
  </si>
  <si>
    <t>Current value</t>
  </si>
  <si>
    <t>Data quality</t>
  </si>
  <si>
    <t>Verification Centre</t>
  </si>
  <si>
    <r>
      <t xml:space="preserve">Reasons / Cause
</t>
    </r>
    <r>
      <rPr>
        <sz val="8"/>
        <color indexed="8"/>
        <rFont val="Arial"/>
        <family val="2"/>
      </rPr>
      <t>(min. 30 characters / max. 500 characters)</t>
    </r>
  </si>
  <si>
    <r>
      <t xml:space="preserve">Action taken/planned
</t>
    </r>
    <r>
      <rPr>
        <sz val="8"/>
        <color indexed="8"/>
        <rFont val="Arial"/>
        <family val="2"/>
      </rPr>
      <t>(if reasons are plausible, no action is required)</t>
    </r>
  </si>
  <si>
    <t>Exception (Plausibility unclear)</t>
  </si>
  <si>
    <t>optional - OK</t>
  </si>
  <si>
    <t>optional - OK (Plausibility unclear)</t>
  </si>
  <si>
    <t>optional - Target value not met</t>
  </si>
  <si>
    <t>optional - incomplete</t>
  </si>
  <si>
    <t>optional - incorrect</t>
  </si>
  <si>
    <t>optional - Exception (Plausibility unclear)</t>
  </si>
  <si>
    <r>
      <t xml:space="preserve">Epithelial tumours
(excl. </t>
    </r>
    <r>
      <rPr>
        <i/>
        <sz val="8"/>
        <rFont val="Arial"/>
        <family val="2"/>
      </rPr>
      <t>in situ</t>
    </r>
    <r>
      <rPr>
        <sz val="8"/>
        <rFont val="Arial"/>
        <family val="2"/>
      </rPr>
      <t xml:space="preserve">,
</t>
    </r>
    <r>
      <rPr>
        <i/>
        <sz val="8"/>
        <rFont val="Arial"/>
        <family val="2"/>
      </rPr>
      <t>inter alia</t>
    </r>
    <r>
      <rPr>
        <sz val="8"/>
        <rFont val="Arial"/>
        <family val="2"/>
      </rPr>
      <t xml:space="preserve"> basal cell carcinoma, squamous cell carcinomas)</t>
    </r>
  </si>
  <si>
    <r>
      <rPr>
        <sz val="8"/>
        <color indexed="8"/>
        <rFont val="Arial"/>
        <family val="2"/>
      </rPr>
      <t>See target value</t>
    </r>
  </si>
  <si>
    <r>
      <rPr>
        <sz val="8"/>
        <color indexed="8"/>
        <rFont val="Arial"/>
        <family val="2"/>
      </rPr>
      <t>Primary cases
(Def. see 1.1.3)</t>
    </r>
  </si>
  <si>
    <r>
      <t xml:space="preserve">Invasive malignant melanomas
(incl. malignant uveal, conjunctival, </t>
    </r>
    <r>
      <rPr>
        <sz val="8"/>
        <rFont val="Arial"/>
        <family val="2"/>
      </rPr>
      <t xml:space="preserve">
mucosal melanomas)</t>
    </r>
  </si>
  <si>
    <t>Cutaneous lymphoma and other rare, malignant skin tumours
(angiosarcoma, Merkel cell carcinoma, DFSP, etc.)</t>
  </si>
  <si>
    <t>No target value</t>
  </si>
  <si>
    <t>Number</t>
  </si>
  <si>
    <t>Denominator</t>
  </si>
  <si>
    <t>Melanoma: 
Discussion of cases</t>
  </si>
  <si>
    <t>Patients of the denominator who were involved in a therapy deviation</t>
  </si>
  <si>
    <t>Melanoma:
Psycho-oncological care</t>
  </si>
  <si>
    <t>Adequate rate of psycho-oncological care</t>
  </si>
  <si>
    <t>Melanoma: 
Counselling social services</t>
  </si>
  <si>
    <t>Patients of the denominator which received social services counselling in an inpatient or outpatient setting</t>
  </si>
  <si>
    <t>SNB surgeries (multiple mentioning per patient possible)</t>
  </si>
  <si>
    <t>Inclusion of as many patients as possible in studies</t>
  </si>
  <si>
    <t>Patients with a melanoma who were included in a study with an ethical vote</t>
  </si>
  <si>
    <t>Primary cases with a melanoma stages III -  IV</t>
  </si>
  <si>
    <t xml:space="preserve">Sentinel node biopsy (SNB) </t>
  </si>
  <si>
    <t>As frequently as possible, intra-operative documentation of the marked sentinel lymph node</t>
  </si>
  <si>
    <t>SNB surgeries of the denominator with sentinel lymph node confirmed intraoperatively</t>
  </si>
  <si>
    <t>See target value</t>
  </si>
  <si>
    <t>Revision surgery after secondary bleeding</t>
  </si>
  <si>
    <t>Lowest possible rate of revision surgeries after secondary bleeding</t>
  </si>
  <si>
    <t>Revision surgery (OPS: 5-983) because of intra- or post-operative secondary bleeding (T81.0) after surgeries of the denominator</t>
  </si>
  <si>
    <t>Sum numerators
Indicators 8 + 9</t>
  </si>
  <si>
    <r>
      <rPr>
        <sz val="8"/>
        <rFont val="Arial"/>
        <family val="2"/>
      </rPr>
      <t>Revision surgery in the case of secondary bleeding after SNB and LAD</t>
    </r>
  </si>
  <si>
    <t>Lowest possible rate of secondary bleeding requiring revision after SNB and LAD</t>
  </si>
  <si>
    <t>Revision surgery (OPS: 5-893) because of post-operative secondary bleeding (T81.0) after surgeries of the denominator</t>
  </si>
  <si>
    <t xml:space="preserve">SNB surgeries ( = denominator indicator 7) +  therapeutic LADs for stages III (multiple mentioning per patient possible) </t>
  </si>
  <si>
    <t>Lowest possible rate of revision surgeries after post-surgical wound infections</t>
  </si>
  <si>
    <r>
      <rPr>
        <sz val="8"/>
        <color indexed="8"/>
        <rFont val="Arial"/>
        <family val="2"/>
      </rPr>
      <t xml:space="preserve">Sum numerators
Indicators 8 + 9 </t>
    </r>
  </si>
  <si>
    <t>Revision surgery after post-operative wound infections</t>
  </si>
  <si>
    <t>Revision surgery (OPS: 5-893) because of post-operative wound infections (T81.4) after surgeries of the denominator</t>
  </si>
  <si>
    <t>Melanoma:
Sentinel node biopsy</t>
  </si>
  <si>
    <t>As frequently as possible SNB in primary cases with cutaneous melanoma ≥ pT2a and with no sign of locoregional or remote metastasis</t>
  </si>
  <si>
    <t>Primary cases of the denominator where SNB is carried out</t>
  </si>
  <si>
    <t>Primary cases cutaneous melanoma with a tumour density ≥  pT2a and no sign of locoregional or remote metastasis (cN0, cM0)</t>
  </si>
  <si>
    <t>Melanoma: Safety margin (1 cm) in the case of radical excision</t>
  </si>
  <si>
    <t>Primary cases of the denominator with radical excision with a safety margin of 1 cm</t>
  </si>
  <si>
    <t>Primary cases cutaneous melonoma with a curative radical excision in case of a tumour density ≤ 2 mm</t>
  </si>
  <si>
    <t>Melanoma: Safety margin (2 cm) in the case of radical excision</t>
  </si>
  <si>
    <t>Primary cases of the denominator with radical excision with a safety margin of 2 cm</t>
  </si>
  <si>
    <t>Primary cases cutaneous melonoma with a curative radical excision in case of a tumour density &gt; 2 mm</t>
  </si>
  <si>
    <t>Melanoma:
Lymphadenectomy</t>
  </si>
  <si>
    <t>As frequently as possible therapeutic lymphadenoctomy (LAD) in the case of clinical evidence of lymphoid metastasis and no evidence of distant metastases</t>
  </si>
  <si>
    <t>Primary cases of the denominator with therapeutic LAD</t>
  </si>
  <si>
    <t>Primary cases with melanoma with each pT and c/pN1b 
or c/pN2b or 
c/pN3b and M0</t>
  </si>
  <si>
    <t>Melanoma: Mutation analysis for BRAF</t>
  </si>
  <si>
    <t>As frequently as possible mutation analysis for BRAF in the case of patients with cutaneous melanoma from stage III</t>
  </si>
  <si>
    <t>Primary cases of the denominator with  mutation analysis for BRAF</t>
  </si>
  <si>
    <t>Primary cases with cutaneous melanoma from stage III</t>
  </si>
  <si>
    <t>Melanoma: LDH determination</t>
  </si>
  <si>
    <t>As frequently as possible LDH determination in the case of patients with melanoma developing into stage IV</t>
  </si>
  <si>
    <t>Patients of the denominator with  LDH determination</t>
  </si>
  <si>
    <t>Primary cases and patients with a stage shift/recurrence with melanoma developing into stage IV</t>
  </si>
  <si>
    <t>1) Plausibility unclear 
In comparison to the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depict a negative care situation (e.g. surplus care). The result of this check is to be explained in more detail by the Centre in the Data Sheet "Reasons/Cause". Where appropriate, specific actions should be defined and carried out in line with the procedure "Failure to meet the target value".
2) Target value not met
The relevant indicators are to be analysed. The result is to be documented in the spreadsheet Data Sheet (DS). The document "Specifications Data Quality" contains more detailed information about this.
3) Incomplete
If any indicators have the status "incomplete", then they are either to be supplied at a later stage or a clear statement is to be made about the possibility of future presentation ("incomplete indicators" always constitute a potential deviation).</t>
  </si>
  <si>
    <t>Indicator Sheet Skin</t>
  </si>
  <si>
    <r>
      <t xml:space="preserve">                                                               </t>
    </r>
    <r>
      <rPr>
        <sz val="8"/>
        <color indexed="55"/>
        <rFont val="Arial"/>
        <family val="2"/>
      </rPr>
      <t xml:space="preserve">(Template certificate)   </t>
    </r>
  </si>
  <si>
    <t>CR / GL</t>
  </si>
  <si>
    <t>1.4</t>
  </si>
  <si>
    <t>Patients with stage shift / recurrence</t>
  </si>
  <si>
    <t>Guideline Melanoma QI</t>
  </si>
  <si>
    <t>Presentation of all cases of the denominator in the tumour board</t>
  </si>
  <si>
    <t>Patients of the denominator who were presented in the tumour board</t>
  </si>
  <si>
    <t>Patients with stage shift / recurrence
and primary cases with extracutaneous melanoma</t>
  </si>
  <si>
    <t>Melanoma:
Therapy deviation from recommendation tumour board</t>
  </si>
  <si>
    <t>Therapy deviation as rarely as possible from the tumour board recommendation</t>
  </si>
  <si>
    <t>Patients with stage shift / recurrence
and primary cases with extracutaneous melanoma which were presented in the tumour board
(= numerator Indicator 2)</t>
  </si>
  <si>
    <t>Patients of the denominator that received psycho-oncological counselling in an inpatient or outpatient setting</t>
  </si>
  <si>
    <t>Guideline Melanoma
QI</t>
  </si>
  <si>
    <t xml:space="preserve">Guideline
Melanoma
QI
</t>
  </si>
  <si>
    <r>
      <t xml:space="preserve">As frequently as possible a safety margin of 1 cm in the case of curative radical excision of a cutaneous melanoma with a tumour density of </t>
    </r>
    <r>
      <rPr>
        <sz val="8"/>
        <rFont val="Calibri"/>
        <family val="2"/>
      </rPr>
      <t>≤</t>
    </r>
    <r>
      <rPr>
        <sz val="8"/>
        <rFont val="Arial"/>
        <family val="2"/>
      </rPr>
      <t xml:space="preserve"> 2 mm</t>
    </r>
  </si>
  <si>
    <r>
      <t xml:space="preserve">As frequently as possible a safety margin of 2 cm in the case of curative radical excision of a cutaneous melanoma with a tumour density of </t>
    </r>
    <r>
      <rPr>
        <sz val="8"/>
        <rFont val="Calibri"/>
        <family val="2"/>
      </rPr>
      <t>&gt;</t>
    </r>
    <r>
      <rPr>
        <sz val="8"/>
        <rFont val="Arial"/>
        <family val="2"/>
      </rPr>
      <t xml:space="preserve"> 2 mm</t>
    </r>
  </si>
  <si>
    <t>&lt; 80%</t>
  </si>
  <si>
    <t>Primary cases 
( = Indicator 1.2) + patients with stage shift / recurrence (=basic data R34)</t>
  </si>
  <si>
    <t>Plausible</t>
  </si>
  <si>
    <t>Surgical interventions with safety margin defined in the guideline
(= malignant melanomas, Merkel cell carcinomas, sarcomas and other rare malignant skin tumours</t>
  </si>
  <si>
    <t>Surgical interventions with safety margin in primary cases ( = malignant melanomas, Merkel cell carcinomas, sarcomas and other rare malignant skin tumours</t>
  </si>
  <si>
    <t>Surgical interventions with histological margin control 
(= epithelial tumours)</t>
  </si>
  <si>
    <t>Surgical interventions with histological margin control in primary cases 
(= epithelial tumours)</t>
  </si>
  <si>
    <t>Stand: 24.09.2021</t>
  </si>
  <si>
    <t>Plausibility unclear</t>
  </si>
  <si>
    <t xml:space="preserve">                    Target value not met</t>
  </si>
  <si>
    <r>
      <rPr>
        <b/>
        <u/>
        <sz val="8"/>
        <color indexed="8"/>
        <rFont val="Arial"/>
        <family val="2"/>
      </rPr>
      <t>Processing remarks:</t>
    </r>
    <r>
      <rPr>
        <sz val="8"/>
        <color indexed="8"/>
        <rFont val="Arial"/>
        <family val="2"/>
      </rPr>
      <t xml:space="preserve">
The respective entry or change "number/numerator/denominator" (dotted fields) is only possible in the spreadsheet "Basic Data", carry-over is automatic.
The numerator is always a subset of the denominator (exception: Indicator 6 - Melanoma: share of study patients)</t>
    </r>
  </si>
  <si>
    <t>&lt; 15%</t>
  </si>
  <si>
    <t xml:space="preserve">                    OK</t>
  </si>
  <si>
    <t xml:space="preserve">                    Erroneous</t>
  </si>
  <si>
    <t>Annex CR Version J2.1  (Audit year 2023 / Indicator year 2022)</t>
  </si>
  <si>
    <t>The data collection form is based on the TNM - Classification of Malignant Tumours, 8th edition 2017 as well as the ICD classification ICD-10-GM 2022 (DIMDI) and the OPS classification OPS 2022 (DIMDI).</t>
  </si>
  <si>
    <t>Adequate rate of counselling from social services</t>
  </si>
  <si>
    <t xml:space="preserve">Melanoma:
Patients enrolled in a study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</si>
</sst>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00%"/>
  </numFmts>
  <fonts count="140">
    <font>
      <sz val="11"/>
      <color theme="1"/>
      <name val="Calibri"/>
      <family val="2"/>
      <scheme val="minor"/>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b/>
      <sz val="12"/>
      <color indexed="8"/>
      <name val="Arial"/>
      <family val="2"/>
    </font>
    <font>
      <sz val="9"/>
      <color indexed="8"/>
      <name val="Arial"/>
      <family val="2"/>
    </font>
    <font>
      <sz val="9"/>
      <color indexed="8"/>
      <name val="Times New Roman"/>
      <family val="1"/>
    </font>
    <font>
      <sz val="9"/>
      <color indexed="81"/>
      <name val="Arial"/>
      <family val="2"/>
    </font>
    <font>
      <b/>
      <sz val="16"/>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sz val="8"/>
      <color indexed="8"/>
      <name val="Times New Roman"/>
      <family val="1"/>
    </font>
    <font>
      <sz val="8"/>
      <color indexed="81"/>
      <name val="Arial"/>
      <family val="2"/>
    </font>
    <font>
      <sz val="8"/>
      <color indexed="55"/>
      <name val="Arial"/>
      <family val="2"/>
    </font>
    <font>
      <b/>
      <u/>
      <sz val="8"/>
      <color indexed="8"/>
      <name val="Arial"/>
      <family val="2"/>
    </font>
    <font>
      <vertAlign val="superscript"/>
      <sz val="9"/>
      <name val="Arial"/>
      <family val="2"/>
    </font>
    <font>
      <b/>
      <vertAlign val="superscript"/>
      <sz val="9"/>
      <name val="Arial"/>
      <family val="2"/>
    </font>
    <font>
      <vertAlign val="superscript"/>
      <sz val="8"/>
      <name val="Arial"/>
      <family val="2"/>
    </font>
    <font>
      <vertAlign val="superscript"/>
      <sz val="8"/>
      <color indexed="14"/>
      <name val="Arial"/>
      <family val="2"/>
    </font>
    <font>
      <sz val="10"/>
      <color indexed="14"/>
      <name val="Arial"/>
      <family val="2"/>
    </font>
    <font>
      <sz val="8"/>
      <color indexed="14"/>
      <name val="Arial"/>
      <family val="2"/>
    </font>
    <font>
      <sz val="10"/>
      <color indexed="55"/>
      <name val="Arial"/>
      <family val="2"/>
    </font>
    <font>
      <sz val="11"/>
      <color indexed="8"/>
      <name val="Calibri"/>
      <family val="2"/>
    </font>
    <font>
      <sz val="8"/>
      <color indexed="8"/>
      <name val="Arial"/>
      <family val="2"/>
    </font>
    <font>
      <sz val="9"/>
      <color indexed="8"/>
      <name val="Arial"/>
      <family val="2"/>
    </font>
    <font>
      <sz val="10"/>
      <color indexed="8"/>
      <name val="Arial"/>
      <family val="2"/>
    </font>
    <font>
      <b/>
      <sz val="8"/>
      <color indexed="8"/>
      <name val="Arial"/>
      <family val="2"/>
    </font>
    <font>
      <sz val="11"/>
      <color indexed="23"/>
      <name val="Arial"/>
      <family val="2"/>
    </font>
    <font>
      <sz val="8"/>
      <color indexed="8"/>
      <name val="Calibri"/>
      <family val="2"/>
    </font>
    <font>
      <sz val="8"/>
      <color indexed="8"/>
      <name val="Arial Narrow"/>
      <family val="2"/>
    </font>
    <font>
      <sz val="8"/>
      <color indexed="23"/>
      <name val="Arial Narrow"/>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9"/>
      <color indexed="8"/>
      <name val="Arial"/>
      <family val="2"/>
    </font>
    <font>
      <sz val="8"/>
      <color indexed="8"/>
      <name val="Arial"/>
      <family val="2"/>
    </font>
    <font>
      <sz val="9"/>
      <color indexed="8"/>
      <name val="Arial"/>
      <family val="2"/>
    </font>
    <font>
      <sz val="10"/>
      <color indexed="8"/>
      <name val="Arial"/>
      <family val="2"/>
    </font>
    <font>
      <sz val="11"/>
      <color indexed="8"/>
      <name val="Arial"/>
      <family val="2"/>
    </font>
    <font>
      <b/>
      <sz val="8"/>
      <color indexed="8"/>
      <name val="Arial"/>
      <family val="2"/>
    </font>
    <font>
      <u/>
      <sz val="8"/>
      <color indexed="8"/>
      <name val="Arial"/>
      <family val="2"/>
    </font>
    <font>
      <sz val="11"/>
      <name val="Calibri"/>
      <family val="2"/>
    </font>
    <font>
      <sz val="9"/>
      <color indexed="23"/>
      <name val="Arial"/>
      <family val="2"/>
    </font>
    <font>
      <sz val="8"/>
      <name val="Arial Narrow"/>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8"/>
      <color theme="1"/>
      <name val="Arial"/>
      <family val="2"/>
    </font>
    <font>
      <sz val="11"/>
      <name val="Calibri"/>
      <family val="2"/>
      <scheme val="minor"/>
    </font>
    <font>
      <sz val="8"/>
      <color rgb="FFFF0000"/>
      <name val="Arial"/>
      <family val="2"/>
    </font>
    <font>
      <sz val="9"/>
      <color theme="0" tint="-0.499984740745262"/>
      <name val="Arial"/>
      <family val="2"/>
    </font>
    <font>
      <b/>
      <sz val="8.5"/>
      <color indexed="8"/>
      <name val="Arial"/>
      <family val="2"/>
    </font>
    <font>
      <u/>
      <sz val="11"/>
      <color theme="10"/>
      <name val="Calibri"/>
      <family val="2"/>
      <scheme val="minor"/>
    </font>
    <font>
      <u/>
      <sz val="8"/>
      <color theme="10"/>
      <name val="Arial"/>
      <family val="2"/>
    </font>
    <font>
      <sz val="8"/>
      <color theme="10"/>
      <name val="Arial"/>
      <family val="2"/>
    </font>
    <font>
      <strike/>
      <sz val="10"/>
      <color rgb="FFFF0000"/>
      <name val="Arial"/>
      <family val="2"/>
    </font>
    <font>
      <strike/>
      <sz val="10"/>
      <color indexed="8"/>
      <name val="Arial"/>
      <family val="2"/>
    </font>
    <font>
      <b/>
      <sz val="8.5"/>
      <name val="Arial"/>
      <family val="2"/>
    </font>
    <font>
      <b/>
      <vertAlign val="superscript"/>
      <sz val="8.5"/>
      <name val="Arial"/>
      <family val="2"/>
    </font>
    <font>
      <b/>
      <sz val="11"/>
      <name val="Calibri"/>
      <family val="2"/>
      <scheme val="minor"/>
    </font>
    <font>
      <b/>
      <sz val="9"/>
      <color theme="0" tint="-0.499984740745262"/>
      <name val="Arial"/>
      <family val="2"/>
    </font>
    <font>
      <sz val="8"/>
      <color theme="0" tint="-0.499984740745262"/>
      <name val="Arial"/>
      <family val="2"/>
    </font>
    <font>
      <strike/>
      <sz val="8"/>
      <name val="Arial"/>
      <family val="2"/>
    </font>
    <font>
      <sz val="9"/>
      <color theme="1"/>
      <name val="Arial"/>
      <family val="2"/>
    </font>
    <font>
      <b/>
      <u/>
      <sz val="9"/>
      <name val="Arial"/>
      <family val="2"/>
    </font>
    <font>
      <u/>
      <sz val="8"/>
      <color theme="10"/>
      <name val="Aral"/>
    </font>
    <font>
      <sz val="8"/>
      <color theme="10"/>
      <name val="Aral"/>
    </font>
    <font>
      <sz val="11"/>
      <color theme="0" tint="-0.499984740745262"/>
      <name val="Arial"/>
      <family val="2"/>
    </font>
    <font>
      <i/>
      <sz val="8"/>
      <name val="Arial"/>
      <family val="2"/>
    </font>
    <font>
      <sz val="11"/>
      <color rgb="FFFF0000"/>
      <name val="Arial"/>
      <family val="2"/>
    </font>
    <font>
      <sz val="7"/>
      <name val="Arial"/>
      <family val="2"/>
    </font>
    <font>
      <strike/>
      <sz val="11"/>
      <name val="Arial"/>
      <family val="2"/>
    </font>
    <font>
      <b/>
      <sz val="11"/>
      <color indexed="8"/>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b/>
      <u/>
      <sz val="8"/>
      <color theme="1"/>
      <name val="Arial"/>
      <family val="2"/>
    </font>
    <font>
      <b/>
      <sz val="11"/>
      <color theme="1"/>
      <name val="Arial"/>
      <family val="2"/>
    </font>
  </fonts>
  <fills count="88">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gray0625">
        <fgColor indexed="23"/>
        <bgColor indexed="9"/>
      </patternFill>
    </fill>
    <fill>
      <patternFill patternType="solid">
        <fgColor indexed="11"/>
        <bgColor indexed="64"/>
      </patternFill>
    </fill>
    <fill>
      <patternFill patternType="solid">
        <fgColor indexed="14"/>
        <bgColor indexed="64"/>
      </patternFill>
    </fill>
    <fill>
      <patternFill patternType="solid">
        <fgColor indexed="41"/>
        <bgColor indexed="64"/>
      </patternFill>
    </fill>
    <fill>
      <patternFill patternType="solid">
        <fgColor indexed="22"/>
        <bgColor indexed="64"/>
      </patternFill>
    </fill>
    <fill>
      <patternFill patternType="gray0625">
        <fgColor indexed="23"/>
      </patternFill>
    </fill>
    <fill>
      <patternFill patternType="gray0625"/>
    </fill>
    <fill>
      <patternFill patternType="solid">
        <fgColor indexed="65"/>
        <bgColor indexed="64"/>
      </patternFill>
    </fill>
    <fill>
      <patternFill patternType="solid">
        <fgColor indexed="47"/>
        <bgColor indexed="64"/>
      </patternFill>
    </fill>
    <fill>
      <patternFill patternType="solid">
        <fgColor indexed="13"/>
        <bgColor indexed="64"/>
      </patternFill>
    </fill>
    <fill>
      <patternFill patternType="solid">
        <fgColor indexed="41"/>
        <b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DCE6F1"/>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lightUp">
        <bgColor theme="0" tint="-0.24994659260841701"/>
      </patternFill>
    </fill>
    <fill>
      <patternFill patternType="solid">
        <fgColor rgb="FFCCFFCC"/>
        <bgColor indexed="64"/>
      </patternFill>
    </fill>
    <fill>
      <patternFill patternType="solid">
        <fgColor theme="9" tint="0.39997558519241921"/>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99">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diagonal/>
    </border>
    <border>
      <left style="thick">
        <color indexed="64"/>
      </left>
      <right/>
      <top style="thick">
        <color indexed="64"/>
      </top>
      <bottom/>
      <diagonal/>
    </border>
    <border>
      <left style="medium">
        <color indexed="64"/>
      </left>
      <right style="medium">
        <color indexed="64"/>
      </right>
      <top style="thick">
        <color indexed="64"/>
      </top>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ck">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n">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thick">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thick">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thin">
        <color indexed="64"/>
      </right>
      <top style="thin">
        <color indexed="64"/>
      </top>
      <bottom/>
      <diagonal/>
    </border>
  </borders>
  <cellStyleXfs count="1243">
    <xf numFmtId="0" fontId="0" fillId="0" borderId="0"/>
    <xf numFmtId="0" fontId="89" fillId="41" borderId="0" applyNumberFormat="0" applyBorder="0" applyAlignment="0" applyProtection="0"/>
    <xf numFmtId="0" fontId="89" fillId="3" borderId="0" applyNumberFormat="0" applyBorder="0" applyAlignment="0" applyProtection="0"/>
    <xf numFmtId="0" fontId="89" fillId="41"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1"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9" fillId="42" borderId="0" applyNumberFormat="0" applyBorder="0" applyAlignment="0" applyProtection="0"/>
    <xf numFmtId="0" fontId="89" fillId="6" borderId="0" applyNumberFormat="0" applyBorder="0" applyAlignment="0" applyProtection="0"/>
    <xf numFmtId="0" fontId="89" fillId="42"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42"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9" fillId="43" borderId="0" applyNumberFormat="0" applyBorder="0" applyAlignment="0" applyProtection="0"/>
    <xf numFmtId="0" fontId="89" fillId="8" borderId="0" applyNumberFormat="0" applyBorder="0" applyAlignment="0" applyProtection="0"/>
    <xf numFmtId="0" fontId="89" fillId="43"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43"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9" fillId="44" borderId="0" applyNumberFormat="0" applyBorder="0" applyAlignment="0" applyProtection="0"/>
    <xf numFmtId="0" fontId="89" fillId="10" borderId="0" applyNumberFormat="0" applyBorder="0" applyAlignment="0" applyProtection="0"/>
    <xf numFmtId="0" fontId="89" fillId="44"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44"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9" fillId="45"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5" borderId="0" applyNumberFormat="0" applyBorder="0" applyAlignment="0" applyProtection="0"/>
    <xf numFmtId="0" fontId="89" fillId="2"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9" fillId="46"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2"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9" fillId="48" borderId="0" applyNumberFormat="0" applyBorder="0" applyAlignment="0" applyProtection="0"/>
    <xf numFmtId="0" fontId="10"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9" fillId="49" borderId="0" applyNumberFormat="0" applyBorder="0" applyAlignment="0" applyProtection="0"/>
    <xf numFmtId="0" fontId="89" fillId="14" borderId="0" applyNumberFormat="0" applyBorder="0" applyAlignment="0" applyProtection="0"/>
    <xf numFmtId="0" fontId="89" fillId="49"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49"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1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9" fillId="50"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50" borderId="0" applyNumberFormat="0" applyBorder="0" applyAlignment="0" applyProtection="0"/>
    <xf numFmtId="0" fontId="89" fillId="15"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2"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9" fillId="52"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2" borderId="0" applyNumberFormat="0" applyBorder="0" applyAlignment="0" applyProtection="0"/>
    <xf numFmtId="0" fontId="89" fillId="5" borderId="0" applyNumberFormat="0" applyBorder="0" applyAlignment="0" applyProtection="0"/>
    <xf numFmtId="0" fontId="10"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0"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0" fillId="53"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53" borderId="0" applyNumberFormat="0" applyBorder="0" applyAlignment="0" applyProtection="0"/>
    <xf numFmtId="0" fontId="90" fillId="2"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90" fillId="54"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90" fillId="5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90" fillId="56" borderId="0" applyNumberFormat="0" applyBorder="0" applyAlignment="0" applyProtection="0"/>
    <xf numFmtId="0" fontId="90" fillId="18" borderId="0" applyNumberFormat="0" applyBorder="0" applyAlignment="0" applyProtection="0"/>
    <xf numFmtId="0" fontId="90" fillId="56"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56"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90" fillId="57"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57" borderId="0" applyNumberFormat="0" applyBorder="0" applyAlignment="0" applyProtection="0"/>
    <xf numFmtId="0" fontId="90" fillId="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90" fillId="58" borderId="0" applyNumberFormat="0" applyBorder="0" applyAlignment="0" applyProtection="0"/>
    <xf numFmtId="0" fontId="90" fillId="20" borderId="0" applyNumberFormat="0" applyBorder="0" applyAlignment="0" applyProtection="0"/>
    <xf numFmtId="0" fontId="90" fillId="58"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90" fillId="58"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90" fillId="59" borderId="0" applyNumberFormat="0" applyBorder="0" applyAlignment="0" applyProtection="0"/>
    <xf numFmtId="0" fontId="35" fillId="21"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59" borderId="0" applyNumberFormat="0" applyBorder="0" applyAlignment="0" applyProtection="0"/>
    <xf numFmtId="0" fontId="90" fillId="19" borderId="0" applyNumberFormat="0" applyBorder="0" applyAlignment="0" applyProtection="0"/>
    <xf numFmtId="0" fontId="90" fillId="21" borderId="0" applyNumberFormat="0" applyBorder="0" applyAlignment="0" applyProtection="0"/>
    <xf numFmtId="0" fontId="90" fillId="60" borderId="0" applyNumberFormat="0" applyBorder="0" applyAlignment="0" applyProtection="0"/>
    <xf numFmtId="0" fontId="35" fillId="22" borderId="0" applyNumberFormat="0" applyBorder="0" applyAlignment="0" applyProtection="0"/>
    <xf numFmtId="0" fontId="90" fillId="23" borderId="0" applyNumberFormat="0" applyBorder="0" applyAlignment="0" applyProtection="0"/>
    <xf numFmtId="0" fontId="90" fillId="22" borderId="0" applyNumberFormat="0" applyBorder="0" applyAlignment="0" applyProtection="0"/>
    <xf numFmtId="0" fontId="35" fillId="24" borderId="0" applyNumberFormat="0" applyBorder="0" applyAlignment="0" applyProtection="0"/>
    <xf numFmtId="0" fontId="90" fillId="61" borderId="0" applyNumberFormat="0" applyBorder="0" applyAlignment="0" applyProtection="0"/>
    <xf numFmtId="0" fontId="90" fillId="62" borderId="0" applyNumberFormat="0" applyBorder="0" applyAlignment="0" applyProtection="0"/>
    <xf numFmtId="0" fontId="35" fillId="18"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62" borderId="0" applyNumberFormat="0" applyBorder="0" applyAlignment="0" applyProtection="0"/>
    <xf numFmtId="0" fontId="90" fillId="25" borderId="0" applyNumberFormat="0" applyBorder="0" applyAlignment="0" applyProtection="0"/>
    <xf numFmtId="0" fontId="90" fillId="18" borderId="0" applyNumberFormat="0" applyBorder="0" applyAlignment="0" applyProtection="0"/>
    <xf numFmtId="0" fontId="35" fillId="19" borderId="0" applyNumberFormat="0" applyBorder="0" applyAlignment="0" applyProtection="0"/>
    <xf numFmtId="0" fontId="90" fillId="63" borderId="0" applyNumberFormat="0" applyBorder="0" applyAlignment="0" applyProtection="0"/>
    <xf numFmtId="0" fontId="35" fillId="23" borderId="0" applyNumberFormat="0" applyBorder="0" applyAlignment="0" applyProtection="0"/>
    <xf numFmtId="0" fontId="90" fillId="64"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1" fillId="65" borderId="84" applyNumberFormat="0" applyAlignment="0" applyProtection="0"/>
    <xf numFmtId="0" fontId="91" fillId="15" borderId="84" applyNumberFormat="0" applyAlignment="0" applyProtection="0"/>
    <xf numFmtId="0" fontId="91" fillId="15" borderId="84" applyNumberFormat="0" applyAlignment="0" applyProtection="0"/>
    <xf numFmtId="0" fontId="11" fillId="15" borderId="1" applyNumberFormat="0" applyAlignment="0" applyProtection="0"/>
    <xf numFmtId="0" fontId="91" fillId="65" borderId="84" applyNumberFormat="0" applyAlignment="0" applyProtection="0"/>
    <xf numFmtId="0" fontId="91" fillId="9" borderId="84" applyNumberFormat="0" applyAlignment="0" applyProtection="0"/>
    <xf numFmtId="0" fontId="91" fillId="9" borderId="84" applyNumberFormat="0" applyAlignment="0" applyProtection="0"/>
    <xf numFmtId="0" fontId="91" fillId="65" borderId="84" applyNumberFormat="0" applyAlignment="0" applyProtection="0"/>
    <xf numFmtId="0" fontId="11" fillId="9" borderId="1" applyNumberFormat="0" applyAlignment="0" applyProtection="0"/>
    <xf numFmtId="0" fontId="91" fillId="15" borderId="84" applyNumberFormat="0" applyAlignment="0" applyProtection="0"/>
    <xf numFmtId="0" fontId="11" fillId="9" borderId="1" applyNumberFormat="0" applyAlignment="0" applyProtection="0"/>
    <xf numFmtId="0" fontId="91" fillId="15" borderId="84" applyNumberFormat="0" applyAlignment="0" applyProtection="0"/>
    <xf numFmtId="0" fontId="91" fillId="15" borderId="84" applyNumberFormat="0" applyAlignment="0" applyProtection="0"/>
    <xf numFmtId="0" fontId="11" fillId="15" borderId="1" applyNumberFormat="0" applyAlignment="0" applyProtection="0"/>
    <xf numFmtId="0" fontId="36" fillId="15" borderId="2" applyNumberFormat="0" applyAlignment="0" applyProtection="0"/>
    <xf numFmtId="0" fontId="36" fillId="15" borderId="2" applyNumberFormat="0" applyAlignment="0" applyProtection="0"/>
    <xf numFmtId="0" fontId="36" fillId="15" borderId="2" applyNumberFormat="0" applyAlignment="0" applyProtection="0"/>
    <xf numFmtId="0" fontId="36" fillId="15" borderId="2" applyNumberFormat="0" applyAlignment="0" applyProtection="0"/>
    <xf numFmtId="0" fontId="36" fillId="15" borderId="2" applyNumberFormat="0" applyAlignment="0" applyProtection="0"/>
    <xf numFmtId="0" fontId="91" fillId="15" borderId="84" applyNumberFormat="0" applyAlignment="0" applyProtection="0"/>
    <xf numFmtId="0" fontId="91" fillId="15" borderId="84" applyNumberFormat="0" applyAlignment="0" applyProtection="0"/>
    <xf numFmtId="0" fontId="11" fillId="15" borderId="1" applyNumberFormat="0" applyAlignment="0" applyProtection="0"/>
    <xf numFmtId="0" fontId="91" fillId="15" borderId="84" applyNumberFormat="0" applyAlignment="0" applyProtection="0"/>
    <xf numFmtId="0" fontId="36" fillId="15" borderId="2" applyNumberFormat="0" applyAlignment="0" applyProtection="0"/>
    <xf numFmtId="0" fontId="36" fillId="15" borderId="2" applyNumberFormat="0" applyAlignment="0" applyProtection="0"/>
    <xf numFmtId="0" fontId="91" fillId="15" borderId="84" applyNumberFormat="0" applyAlignment="0" applyProtection="0"/>
    <xf numFmtId="0" fontId="48" fillId="6" borderId="0" applyNumberFormat="0" applyBorder="0" applyAlignment="0" applyProtection="0"/>
    <xf numFmtId="0" fontId="92" fillId="66" borderId="0" applyNumberFormat="0" applyBorder="0" applyAlignment="0" applyProtection="0"/>
    <xf numFmtId="0" fontId="93" fillId="65" borderId="85" applyNumberFormat="0" applyAlignment="0" applyProtection="0"/>
    <xf numFmtId="0" fontId="93" fillId="15" borderId="85" applyNumberFormat="0" applyAlignment="0" applyProtection="0"/>
    <xf numFmtId="0" fontId="93" fillId="65" borderId="85" applyNumberFormat="0" applyAlignment="0" applyProtection="0"/>
    <xf numFmtId="0" fontId="93" fillId="9" borderId="85" applyNumberFormat="0" applyAlignment="0" applyProtection="0"/>
    <xf numFmtId="0" fontId="93" fillId="9" borderId="85" applyNumberFormat="0" applyAlignment="0" applyProtection="0"/>
    <xf numFmtId="0" fontId="93" fillId="65" borderId="85" applyNumberFormat="0" applyAlignment="0" applyProtection="0"/>
    <xf numFmtId="0" fontId="93" fillId="9" borderId="85" applyNumberFormat="0" applyAlignment="0" applyProtection="0"/>
    <xf numFmtId="0" fontId="93" fillId="9" borderId="85" applyNumberFormat="0" applyAlignment="0" applyProtection="0"/>
    <xf numFmtId="0" fontId="93" fillId="15" borderId="85" applyNumberFormat="0" applyAlignment="0" applyProtection="0"/>
    <xf numFmtId="0" fontId="37" fillId="15" borderId="3" applyNumberFormat="0" applyAlignment="0" applyProtection="0"/>
    <xf numFmtId="0" fontId="37" fillId="15" borderId="3" applyNumberFormat="0" applyAlignment="0" applyProtection="0"/>
    <xf numFmtId="0" fontId="37" fillId="15" borderId="3" applyNumberFormat="0" applyAlignment="0" applyProtection="0"/>
    <xf numFmtId="0" fontId="37" fillId="15" borderId="3" applyNumberFormat="0" applyAlignment="0" applyProtection="0"/>
    <xf numFmtId="0" fontId="37" fillId="15" borderId="3" applyNumberFormat="0" applyAlignment="0" applyProtection="0"/>
    <xf numFmtId="0" fontId="93" fillId="15" borderId="85" applyNumberFormat="0" applyAlignment="0" applyProtection="0"/>
    <xf numFmtId="0" fontId="37" fillId="15" borderId="3" applyNumberFormat="0" applyAlignment="0" applyProtection="0"/>
    <xf numFmtId="0" fontId="37" fillId="15" borderId="3" applyNumberFormat="0" applyAlignment="0" applyProtection="0"/>
    <xf numFmtId="0" fontId="50" fillId="26" borderId="5" applyNumberFormat="0" applyAlignment="0" applyProtection="0"/>
    <xf numFmtId="0" fontId="94" fillId="67" borderId="86" applyNumberFormat="0" applyAlignment="0" applyProtection="0"/>
    <xf numFmtId="0" fontId="94" fillId="67" borderId="4" applyNumberFormat="0" applyAlignment="0" applyProtection="0"/>
    <xf numFmtId="0" fontId="95" fillId="68" borderId="85"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96" fillId="0" borderId="87" applyNumberFormat="0" applyFill="0" applyAlignment="0" applyProtection="0"/>
    <xf numFmtId="0" fontId="96" fillId="0" borderId="7" applyNumberFormat="0" applyFill="0" applyAlignment="0" applyProtection="0"/>
    <xf numFmtId="0" fontId="96" fillId="0" borderId="7" applyNumberFormat="0" applyFill="0" applyAlignment="0" applyProtection="0"/>
    <xf numFmtId="0" fontId="96" fillId="0" borderId="7" applyNumberFormat="0" applyFill="0" applyAlignment="0" applyProtection="0"/>
    <xf numFmtId="0" fontId="96" fillId="0" borderId="87"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87"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7" applyNumberFormat="0" applyFill="0" applyAlignment="0" applyProtection="0"/>
    <xf numFmtId="0" fontId="96"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96"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96" fillId="0" borderId="7" applyNumberFormat="0" applyFill="0" applyAlignment="0" applyProtection="0"/>
    <xf numFmtId="0" fontId="11" fillId="0" borderId="7" applyNumberFormat="0" applyFill="0" applyAlignment="0" applyProtection="0"/>
    <xf numFmtId="0" fontId="97"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7" fillId="8"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9" fillId="0" borderId="88" applyNumberFormat="0" applyFill="0" applyAlignment="0" applyProtection="0"/>
    <xf numFmtId="0" fontId="73" fillId="0" borderId="8" applyNumberFormat="0" applyFill="0" applyAlignment="0" applyProtection="0"/>
    <xf numFmtId="0" fontId="73" fillId="0" borderId="8" applyNumberFormat="0" applyFill="0" applyAlignment="0" applyProtection="0"/>
    <xf numFmtId="0" fontId="99" fillId="0" borderId="88" applyNumberFormat="0" applyFill="0" applyAlignment="0" applyProtection="0"/>
    <xf numFmtId="0" fontId="73" fillId="0" borderId="8" applyNumberFormat="0" applyFill="0" applyAlignment="0" applyProtection="0"/>
    <xf numFmtId="0" fontId="42" fillId="0" borderId="9" applyNumberFormat="0" applyFill="0" applyAlignment="0" applyProtection="0"/>
    <xf numFmtId="0" fontId="100" fillId="0" borderId="89" applyNumberFormat="0" applyFill="0" applyAlignment="0" applyProtection="0"/>
    <xf numFmtId="0" fontId="74" fillId="0" borderId="11" applyNumberFormat="0" applyFill="0" applyAlignment="0" applyProtection="0"/>
    <xf numFmtId="0" fontId="74" fillId="0" borderId="11" applyNumberFormat="0" applyFill="0" applyAlignment="0" applyProtection="0"/>
    <xf numFmtId="0" fontId="100" fillId="0" borderId="89" applyNumberFormat="0" applyFill="0" applyAlignment="0" applyProtection="0"/>
    <xf numFmtId="0" fontId="74" fillId="0" borderId="10" applyNumberFormat="0" applyFill="0" applyAlignment="0" applyProtection="0"/>
    <xf numFmtId="0" fontId="45" fillId="0" borderId="12" applyNumberFormat="0" applyFill="0" applyAlignment="0" applyProtection="0"/>
    <xf numFmtId="0" fontId="101" fillId="0" borderId="90" applyNumberFormat="0" applyFill="0" applyAlignment="0" applyProtection="0"/>
    <xf numFmtId="0" fontId="75" fillId="0" borderId="14" applyNumberFormat="0" applyFill="0" applyAlignment="0" applyProtection="0"/>
    <xf numFmtId="0" fontId="75" fillId="0" borderId="14" applyNumberFormat="0" applyFill="0" applyAlignment="0" applyProtection="0"/>
    <xf numFmtId="0" fontId="101" fillId="0" borderId="90" applyNumberFormat="0" applyFill="0" applyAlignment="0" applyProtection="0"/>
    <xf numFmtId="0" fontId="75" fillId="0" borderId="13" applyNumberFormat="0" applyFill="0" applyAlignment="0" applyProtection="0"/>
    <xf numFmtId="0" fontId="43" fillId="0" borderId="15" applyNumberFormat="0" applyFill="0" applyAlignment="0" applyProtection="0"/>
    <xf numFmtId="0" fontId="10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01" fillId="0" borderId="0" applyNumberFormat="0" applyFill="0" applyBorder="0" applyAlignment="0" applyProtection="0"/>
    <xf numFmtId="0" fontId="75" fillId="0" borderId="0" applyNumberFormat="0" applyFill="0" applyBorder="0" applyAlignment="0" applyProtection="0"/>
    <xf numFmtId="0" fontId="43" fillId="0" borderId="0" applyNumberFormat="0" applyFill="0" applyBorder="0" applyAlignment="0" applyProtection="0"/>
    <xf numFmtId="0" fontId="38" fillId="5" borderId="3" applyNumberFormat="0" applyAlignment="0" applyProtection="0"/>
    <xf numFmtId="0" fontId="49" fillId="0" borderId="16" applyNumberFormat="0" applyFill="0" applyAlignment="0" applyProtection="0"/>
    <xf numFmtId="0" fontId="102" fillId="0" borderId="91" applyNumberFormat="0" applyFill="0" applyAlignment="0" applyProtection="0"/>
    <xf numFmtId="0" fontId="103" fillId="70" borderId="0" applyNumberFormat="0" applyBorder="0" applyAlignment="0" applyProtection="0"/>
    <xf numFmtId="0" fontId="89" fillId="0" borderId="0"/>
    <xf numFmtId="0" fontId="63" fillId="71" borderId="92" applyNumberFormat="0" applyFont="0" applyAlignment="0" applyProtection="0"/>
    <xf numFmtId="0" fontId="2" fillId="7" borderId="17" applyNumberFormat="0" applyFont="0" applyAlignment="0" applyProtection="0"/>
    <xf numFmtId="0" fontId="2" fillId="7" borderId="17"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63"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63"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63"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36" fillId="15" borderId="2" applyNumberFormat="0" applyAlignment="0" applyProtection="0"/>
    <xf numFmtId="9" fontId="10"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2" fillId="0" borderId="0"/>
    <xf numFmtId="0" fontId="89" fillId="0" borderId="0"/>
    <xf numFmtId="0" fontId="89" fillId="0" borderId="0"/>
    <xf numFmtId="0" fontId="104" fillId="0" borderId="0"/>
    <xf numFmtId="0" fontId="2" fillId="0" borderId="0"/>
    <xf numFmtId="0" fontId="89" fillId="0" borderId="0"/>
    <xf numFmtId="0" fontId="89" fillId="0" borderId="0"/>
    <xf numFmtId="0" fontId="104" fillId="0" borderId="0"/>
    <xf numFmtId="0" fontId="26" fillId="0" borderId="0"/>
    <xf numFmtId="0" fontId="2" fillId="0" borderId="0"/>
    <xf numFmtId="0" fontId="10" fillId="0" borderId="0"/>
    <xf numFmtId="0" fontId="10" fillId="0" borderId="0"/>
    <xf numFmtId="0" fontId="1" fillId="0" borderId="0"/>
    <xf numFmtId="0" fontId="1" fillId="0" borderId="0"/>
    <xf numFmtId="0" fontId="10" fillId="0" borderId="0"/>
    <xf numFmtId="0" fontId="1" fillId="0" borderId="0"/>
    <xf numFmtId="0" fontId="2" fillId="0" borderId="0"/>
    <xf numFmtId="0" fontId="1" fillId="0" borderId="0"/>
    <xf numFmtId="0" fontId="2" fillId="0" borderId="0"/>
    <xf numFmtId="0" fontId="2" fillId="0" borderId="0"/>
    <xf numFmtId="0" fontId="104"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4" fillId="0" borderId="0"/>
    <xf numFmtId="0" fontId="89" fillId="0" borderId="0"/>
    <xf numFmtId="0" fontId="2" fillId="0" borderId="0"/>
    <xf numFmtId="0" fontId="2" fillId="0" borderId="0"/>
    <xf numFmtId="0" fontId="2" fillId="0" borderId="0"/>
    <xf numFmtId="0" fontId="10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05" fillId="0" borderId="0" applyNumberFormat="0" applyFill="0" applyBorder="0" applyAlignment="0" applyProtection="0"/>
    <xf numFmtId="0" fontId="76" fillId="0" borderId="0" applyNumberFormat="0" applyFill="0" applyBorder="0" applyAlignment="0" applyProtection="0"/>
    <xf numFmtId="0" fontId="44" fillId="0" borderId="0" applyNumberFormat="0" applyFill="0" applyBorder="0" applyAlignment="0" applyProtection="0"/>
    <xf numFmtId="0" fontId="11" fillId="0" borderId="7"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02" fillId="0" borderId="91" applyNumberFormat="0" applyFill="0" applyAlignment="0" applyProtection="0"/>
    <xf numFmtId="0" fontId="102" fillId="0" borderId="91" applyNumberFormat="0" applyFill="0" applyAlignment="0" applyProtection="0"/>
    <xf numFmtId="0" fontId="102" fillId="0" borderId="91" applyNumberFormat="0" applyFill="0" applyAlignment="0" applyProtection="0"/>
    <xf numFmtId="0" fontId="106" fillId="0" borderId="0" applyNumberFormat="0" applyFill="0" applyBorder="0" applyAlignment="0" applyProtection="0"/>
    <xf numFmtId="0" fontId="40" fillId="0" borderId="0" applyNumberFormat="0" applyFill="0" applyBorder="0" applyAlignment="0" applyProtection="0"/>
    <xf numFmtId="0" fontId="106" fillId="0" borderId="0" applyNumberFormat="0" applyFill="0" applyBorder="0" applyAlignment="0" applyProtection="0"/>
    <xf numFmtId="0" fontId="7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94" fillId="67" borderId="86" applyNumberFormat="0" applyAlignment="0" applyProtection="0"/>
    <xf numFmtId="0" fontId="94" fillId="67" borderId="86" applyNumberFormat="0" applyAlignment="0" applyProtection="0"/>
    <xf numFmtId="0" fontId="94" fillId="67" borderId="86" applyNumberFormat="0" applyAlignment="0" applyProtection="0"/>
    <xf numFmtId="0" fontId="94" fillId="67" borderId="4" applyNumberFormat="0" applyAlignment="0" applyProtection="0"/>
    <xf numFmtId="0" fontId="94" fillId="67" borderId="86" applyNumberFormat="0" applyAlignment="0" applyProtection="0"/>
    <xf numFmtId="0" fontId="94" fillId="67" borderId="4" applyNumberFormat="0" applyAlignment="0" applyProtection="0"/>
    <xf numFmtId="0" fontId="112" fillId="0" borderId="0" applyNumberForma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0" fillId="59" borderId="0" applyNumberFormat="0" applyBorder="0" applyAlignment="0" applyProtection="0"/>
    <xf numFmtId="0" fontId="90" fillId="19" borderId="0" applyNumberFormat="0" applyBorder="0" applyAlignment="0" applyProtection="0"/>
    <xf numFmtId="0" fontId="90" fillId="62" borderId="0" applyNumberFormat="0" applyBorder="0" applyAlignment="0" applyProtection="0"/>
    <xf numFmtId="0" fontId="90" fillId="25"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1"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63" borderId="0" applyNumberFormat="0" applyBorder="0" applyAlignment="0" applyProtection="0"/>
    <xf numFmtId="0" fontId="90" fillId="64" borderId="0" applyNumberFormat="0" applyBorder="0" applyAlignment="0" applyProtection="0"/>
    <xf numFmtId="0" fontId="132" fillId="9" borderId="1" applyNumberFormat="0" applyAlignment="0" applyProtection="0"/>
    <xf numFmtId="0" fontId="132" fillId="15" borderId="1" applyNumberFormat="0" applyAlignment="0" applyProtection="0"/>
    <xf numFmtId="0" fontId="132" fillId="15" borderId="1" applyNumberFormat="0" applyAlignment="0" applyProtection="0"/>
    <xf numFmtId="0" fontId="11" fillId="15" borderId="1" applyNumberFormat="0" applyAlignment="0" applyProtection="0"/>
    <xf numFmtId="0" fontId="11" fillId="15" borderId="1" applyNumberFormat="0" applyAlignment="0" applyProtection="0"/>
    <xf numFmtId="0" fontId="132" fillId="9" borderId="1" applyNumberFormat="0" applyAlignment="0" applyProtection="0"/>
    <xf numFmtId="0" fontId="11" fillId="9" borderId="1" applyNumberFormat="0" applyAlignment="0" applyProtection="0"/>
    <xf numFmtId="0" fontId="11" fillId="9" borderId="1" applyNumberFormat="0" applyAlignment="0" applyProtection="0"/>
    <xf numFmtId="0" fontId="132" fillId="9" borderId="1" applyNumberFormat="0" applyAlignment="0" applyProtection="0"/>
    <xf numFmtId="0" fontId="11" fillId="9" borderId="1" applyNumberFormat="0" applyAlignment="0" applyProtection="0"/>
    <xf numFmtId="0" fontId="11" fillId="9" borderId="1" applyNumberFormat="0" applyAlignment="0" applyProtection="0"/>
    <xf numFmtId="0" fontId="132" fillId="15" borderId="1" applyNumberFormat="0" applyAlignment="0" applyProtection="0"/>
    <xf numFmtId="0" fontId="132" fillId="15" borderId="1" applyNumberFormat="0" applyAlignment="0" applyProtection="0"/>
    <xf numFmtId="0" fontId="11" fillId="15" borderId="1" applyNumberFormat="0" applyAlignment="0" applyProtection="0"/>
    <xf numFmtId="0" fontId="11" fillId="15" borderId="1" applyNumberFormat="0" applyAlignment="0" applyProtection="0"/>
    <xf numFmtId="0" fontId="132" fillId="15" borderId="1" applyNumberFormat="0" applyAlignment="0" applyProtection="0"/>
    <xf numFmtId="0" fontId="11" fillId="15" borderId="1" applyNumberFormat="0" applyAlignment="0" applyProtection="0"/>
    <xf numFmtId="0" fontId="48" fillId="6" borderId="0" applyNumberFormat="0" applyBorder="0" applyAlignment="0" applyProtection="0"/>
    <xf numFmtId="0" fontId="50" fillId="26" borderId="5" applyNumberFormat="0" applyAlignment="0" applyProtection="0"/>
    <xf numFmtId="0" fontId="94" fillId="67" borderId="4" applyNumberFormat="0" applyAlignment="0" applyProtection="0"/>
    <xf numFmtId="0" fontId="94" fillId="67" borderId="86" applyNumberFormat="0" applyAlignment="0" applyProtection="0"/>
    <xf numFmtId="0" fontId="94" fillId="67" borderId="86" applyNumberFormat="0" applyAlignment="0" applyProtection="0"/>
    <xf numFmtId="0" fontId="94" fillId="67" borderId="4" applyNumberFormat="0" applyAlignment="0" applyProtection="0"/>
    <xf numFmtId="0" fontId="94" fillId="67" borderId="5" applyNumberFormat="0" applyAlignment="0" applyProtection="0"/>
    <xf numFmtId="0" fontId="47" fillId="8" borderId="0" applyNumberFormat="0" applyBorder="0" applyAlignment="0" applyProtection="0"/>
    <xf numFmtId="0" fontId="98" fillId="69" borderId="0" applyNumberFormat="0" applyBorder="0" applyAlignment="0" applyProtection="0"/>
    <xf numFmtId="0" fontId="133" fillId="0" borderId="8" applyNumberFormat="0" applyFill="0" applyAlignment="0" applyProtection="0"/>
    <xf numFmtId="0" fontId="133" fillId="0" borderId="8" applyNumberFormat="0" applyFill="0" applyAlignment="0" applyProtection="0"/>
    <xf numFmtId="0" fontId="73" fillId="0" borderId="8" applyNumberFormat="0" applyFill="0" applyAlignment="0" applyProtection="0"/>
    <xf numFmtId="0" fontId="99" fillId="0" borderId="88" applyNumberFormat="0" applyFill="0" applyAlignment="0" applyProtection="0"/>
    <xf numFmtId="0" fontId="73" fillId="0" borderId="8" applyNumberFormat="0" applyFill="0" applyAlignment="0" applyProtection="0"/>
    <xf numFmtId="0" fontId="134" fillId="0" borderId="10" applyNumberFormat="0" applyFill="0" applyAlignment="0" applyProtection="0"/>
    <xf numFmtId="0" fontId="134" fillId="0" borderId="11" applyNumberFormat="0" applyFill="0" applyAlignment="0" applyProtection="0"/>
    <xf numFmtId="0" fontId="74" fillId="0" borderId="11" applyNumberFormat="0" applyFill="0" applyAlignment="0" applyProtection="0"/>
    <xf numFmtId="0" fontId="100" fillId="0" borderId="89" applyNumberFormat="0" applyFill="0" applyAlignment="0" applyProtection="0"/>
    <xf numFmtId="0" fontId="74" fillId="0" borderId="10" applyNumberFormat="0" applyFill="0" applyAlignment="0" applyProtection="0"/>
    <xf numFmtId="0" fontId="135" fillId="0" borderId="13" applyNumberFormat="0" applyFill="0" applyAlignment="0" applyProtection="0"/>
    <xf numFmtId="0" fontId="135" fillId="0" borderId="14" applyNumberFormat="0" applyFill="0" applyAlignment="0" applyProtection="0"/>
    <xf numFmtId="0" fontId="75" fillId="0" borderId="14" applyNumberFormat="0" applyFill="0" applyAlignment="0" applyProtection="0"/>
    <xf numFmtId="0" fontId="101" fillId="0" borderId="90" applyNumberFormat="0" applyFill="0" applyAlignment="0" applyProtection="0"/>
    <xf numFmtId="0" fontId="75" fillId="0" borderId="13" applyNumberFormat="0" applyFill="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75" fillId="0" borderId="0" applyNumberFormat="0" applyFill="0" applyBorder="0" applyAlignment="0" applyProtection="0"/>
    <xf numFmtId="0" fontId="101" fillId="0" borderId="0" applyNumberFormat="0" applyFill="0" applyBorder="0" applyAlignment="0" applyProtection="0"/>
    <xf numFmtId="0" fontId="75" fillId="0" borderId="0" applyNumberFormat="0" applyFill="0" applyBorder="0" applyAlignment="0" applyProtection="0"/>
    <xf numFmtId="0" fontId="49" fillId="0" borderId="16" applyNumberFormat="0" applyFill="0" applyAlignment="0" applyProtection="0"/>
    <xf numFmtId="0" fontId="1" fillId="71" borderId="92" applyNumberFormat="0" applyFont="0" applyAlignment="0" applyProtection="0"/>
    <xf numFmtId="0" fontId="89" fillId="71" borderId="92" applyNumberFormat="0" applyFont="0" applyAlignment="0" applyProtection="0"/>
    <xf numFmtId="0" fontId="1" fillId="71" borderId="92" applyNumberFormat="0" applyFont="0" applyAlignment="0" applyProtection="0"/>
    <xf numFmtId="0" fontId="89"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89"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89"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89"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89"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9" fontId="1" fillId="0" borderId="0" applyFont="0" applyFill="0" applyBorder="0" applyAlignment="0" applyProtection="0"/>
    <xf numFmtId="9" fontId="89" fillId="0" borderId="0" applyFont="0" applyFill="0" applyBorder="0" applyAlignment="0" applyProtection="0"/>
    <xf numFmtId="9" fontId="1" fillId="0" borderId="0" applyFont="0" applyFill="0" applyBorder="0" applyAlignment="0" applyProtection="0"/>
    <xf numFmtId="9" fontId="8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2" fillId="6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 fillId="0" borderId="0"/>
    <xf numFmtId="0" fontId="1" fillId="0" borderId="0"/>
    <xf numFmtId="0" fontId="136" fillId="0" borderId="0" applyNumberFormat="0" applyFill="0" applyBorder="0" applyAlignment="0" applyProtection="0"/>
    <xf numFmtId="0" fontId="136" fillId="0" borderId="0" applyNumberFormat="0" applyFill="0" applyBorder="0" applyAlignment="0" applyProtection="0"/>
    <xf numFmtId="0" fontId="76" fillId="0" borderId="0" applyNumberFormat="0" applyFill="0" applyBorder="0" applyAlignment="0" applyProtection="0"/>
    <xf numFmtId="0" fontId="105" fillId="0" borderId="0" applyNumberFormat="0" applyFill="0" applyBorder="0" applyAlignment="0" applyProtection="0"/>
    <xf numFmtId="0" fontId="76" fillId="0" borderId="0" applyNumberFormat="0" applyFill="0" applyBorder="0" applyAlignment="0" applyProtection="0"/>
    <xf numFmtId="0" fontId="133" fillId="0" borderId="8" applyNumberFormat="0" applyFill="0" applyAlignment="0" applyProtection="0"/>
    <xf numFmtId="0" fontId="133" fillId="0" borderId="8" applyNumberFormat="0" applyFill="0" applyAlignment="0" applyProtection="0"/>
    <xf numFmtId="0" fontId="134" fillId="0" borderId="10" applyNumberFormat="0" applyFill="0" applyAlignment="0" applyProtection="0"/>
    <xf numFmtId="0" fontId="134" fillId="0" borderId="10" applyNumberFormat="0" applyFill="0" applyAlignment="0" applyProtection="0"/>
    <xf numFmtId="0" fontId="135" fillId="0" borderId="13" applyNumberFormat="0" applyFill="0" applyAlignment="0" applyProtection="0"/>
    <xf numFmtId="0" fontId="135" fillId="0" borderId="13" applyNumberFormat="0" applyFill="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02" fillId="0" borderId="91" applyNumberFormat="0" applyFill="0" applyAlignment="0" applyProtection="0"/>
    <xf numFmtId="0" fontId="137" fillId="0" borderId="0" applyNumberFormat="0" applyFill="0" applyBorder="0" applyAlignment="0" applyProtection="0"/>
    <xf numFmtId="0" fontId="77" fillId="0" borderId="0" applyNumberFormat="0" applyFill="0" applyBorder="0" applyAlignment="0" applyProtection="0"/>
    <xf numFmtId="0" fontId="94" fillId="67" borderId="4" applyNumberFormat="0" applyAlignment="0" applyProtection="0"/>
    <xf numFmtId="0" fontId="94" fillId="67" borderId="86" applyNumberFormat="0" applyAlignment="0" applyProtection="0"/>
    <xf numFmtId="9" fontId="89" fillId="0" borderId="0" applyFont="0" applyFill="0" applyBorder="0" applyAlignment="0" applyProtection="0"/>
    <xf numFmtId="0" fontId="74" fillId="0" borderId="10" applyNumberFormat="0" applyFill="0" applyAlignment="0" applyProtection="0"/>
    <xf numFmtId="0" fontId="75" fillId="0" borderId="13" applyNumberFormat="0" applyFill="0" applyAlignment="0" applyProtection="0"/>
    <xf numFmtId="164" fontId="1" fillId="0" borderId="0" applyFont="0" applyFill="0" applyBorder="0" applyAlignment="0" applyProtection="0"/>
    <xf numFmtId="0" fontId="85" fillId="0" borderId="0"/>
    <xf numFmtId="0" fontId="85" fillId="0" borderId="0"/>
    <xf numFmtId="0" fontId="73" fillId="0" borderId="8" applyNumberFormat="0" applyFill="0" applyAlignment="0" applyProtection="0"/>
    <xf numFmtId="0" fontId="74" fillId="0" borderId="10" applyNumberFormat="0" applyFill="0" applyAlignment="0" applyProtection="0"/>
    <xf numFmtId="0" fontId="75" fillId="0" borderId="13" applyNumberFormat="0" applyFill="0" applyAlignment="0" applyProtection="0"/>
    <xf numFmtId="0" fontId="75" fillId="0" borderId="0" applyNumberFormat="0" applyFill="0" applyBorder="0" applyAlignment="0" applyProtection="0"/>
    <xf numFmtId="0" fontId="76" fillId="0" borderId="0" applyNumberFormat="0" applyFill="0" applyBorder="0" applyAlignment="0" applyProtection="0"/>
    <xf numFmtId="164" fontId="1" fillId="0" borderId="0" applyFont="0" applyFill="0" applyBorder="0" applyAlignment="0" applyProtection="0"/>
  </cellStyleXfs>
  <cellXfs count="883">
    <xf numFmtId="0" fontId="0" fillId="0" borderId="0" xfId="0"/>
    <xf numFmtId="0" fontId="16" fillId="0" borderId="0" xfId="0" applyFont="1"/>
    <xf numFmtId="0" fontId="20" fillId="0" borderId="0" xfId="0" applyFont="1"/>
    <xf numFmtId="0" fontId="15" fillId="0" borderId="0" xfId="0" applyFont="1"/>
    <xf numFmtId="0" fontId="3" fillId="0" borderId="0" xfId="516" applyFont="1"/>
    <xf numFmtId="0" fontId="21" fillId="0" borderId="0" xfId="516" applyFont="1"/>
    <xf numFmtId="0" fontId="12" fillId="0" borderId="0" xfId="0" applyFont="1"/>
    <xf numFmtId="0" fontId="20" fillId="0" borderId="0" xfId="0" applyFont="1" applyAlignment="1">
      <alignment vertical="center"/>
    </xf>
    <xf numFmtId="0" fontId="16" fillId="0" borderId="0" xfId="0" applyFont="1" applyAlignment="1">
      <alignment horizontal="center"/>
    </xf>
    <xf numFmtId="0" fontId="22" fillId="0" borderId="0" xfId="0" applyFont="1" applyAlignment="1">
      <alignment horizontal="left" vertical="center"/>
    </xf>
    <xf numFmtId="0" fontId="16" fillId="0" borderId="0" xfId="0" applyFont="1" applyAlignment="1">
      <alignment horizontal="center" vertical="center"/>
    </xf>
    <xf numFmtId="0" fontId="2" fillId="0" borderId="0" xfId="0" applyFont="1"/>
    <xf numFmtId="0" fontId="18" fillId="0" borderId="0" xfId="0" applyFont="1"/>
    <xf numFmtId="0" fontId="9" fillId="0" borderId="18" xfId="0" applyFont="1" applyBorder="1" applyAlignment="1">
      <alignment horizontal="center" vertical="center"/>
    </xf>
    <xf numFmtId="0" fontId="9" fillId="27" borderId="18" xfId="0" applyFont="1" applyFill="1" applyBorder="1" applyAlignment="1">
      <alignment horizontal="center" vertical="center"/>
    </xf>
    <xf numFmtId="0" fontId="30" fillId="0" borderId="0" xfId="0" applyFont="1"/>
    <xf numFmtId="0" fontId="4" fillId="0" borderId="0" xfId="0" applyFont="1"/>
    <xf numFmtId="0" fontId="5" fillId="0" borderId="0" xfId="0" applyFont="1"/>
    <xf numFmtId="0" fontId="2" fillId="0" borderId="0" xfId="516"/>
    <xf numFmtId="0" fontId="17" fillId="0" borderId="0" xfId="0" applyFont="1"/>
    <xf numFmtId="0" fontId="13" fillId="0" borderId="0" xfId="0" applyFont="1"/>
    <xf numFmtId="0" fontId="2" fillId="0" borderId="0" xfId="516" applyAlignment="1">
      <alignment horizontal="left"/>
    </xf>
    <xf numFmtId="0" fontId="14" fillId="0" borderId="0" xfId="0" applyFont="1"/>
    <xf numFmtId="0" fontId="3" fillId="0" borderId="0" xfId="516" applyFont="1" applyAlignment="1">
      <alignment horizontal="left"/>
    </xf>
    <xf numFmtId="0" fontId="15" fillId="0" borderId="0" xfId="516" applyFont="1" applyAlignment="1">
      <alignment vertical="center"/>
    </xf>
    <xf numFmtId="0" fontId="2" fillId="0" borderId="0" xfId="0" applyFont="1" applyAlignment="1">
      <alignment wrapText="1"/>
    </xf>
    <xf numFmtId="0" fontId="19" fillId="0" borderId="0" xfId="0" applyFont="1"/>
    <xf numFmtId="0" fontId="7" fillId="0" borderId="0" xfId="0" applyFont="1" applyAlignment="1">
      <alignment horizontal="center"/>
    </xf>
    <xf numFmtId="0" fontId="25" fillId="0" borderId="0" xfId="0" applyFont="1"/>
    <xf numFmtId="0" fontId="20" fillId="0" borderId="18" xfId="0" applyFont="1" applyBorder="1" applyAlignment="1">
      <alignment horizontal="center" vertical="center" wrapText="1"/>
    </xf>
    <xf numFmtId="0" fontId="20" fillId="28" borderId="19" xfId="0" applyFont="1" applyFill="1" applyBorder="1" applyAlignment="1">
      <alignment horizontal="center"/>
    </xf>
    <xf numFmtId="165" fontId="15" fillId="29" borderId="19" xfId="428" applyNumberFormat="1" applyFont="1" applyFill="1" applyBorder="1" applyAlignment="1" applyProtection="1">
      <alignment horizontal="center" wrapText="1"/>
    </xf>
    <xf numFmtId="0" fontId="6" fillId="0" borderId="0" xfId="0" applyFont="1" applyAlignment="1">
      <alignment wrapText="1"/>
    </xf>
    <xf numFmtId="0" fontId="11" fillId="0" borderId="0" xfId="0" applyFont="1"/>
    <xf numFmtId="0" fontId="22" fillId="0" borderId="0" xfId="0" applyFont="1"/>
    <xf numFmtId="0" fontId="20" fillId="0" borderId="0" xfId="0" applyFont="1" applyAlignment="1">
      <alignment horizontal="center" vertical="center"/>
    </xf>
    <xf numFmtId="0" fontId="15" fillId="0" borderId="0" xfId="516" applyFont="1" applyAlignment="1">
      <alignment horizontal="center" vertical="center"/>
    </xf>
    <xf numFmtId="0" fontId="16" fillId="0" borderId="0" xfId="0" applyFont="1" applyAlignment="1">
      <alignment vertical="center"/>
    </xf>
    <xf numFmtId="0" fontId="6" fillId="0" borderId="18" xfId="0" applyFont="1" applyBorder="1" applyAlignment="1">
      <alignment horizontal="center" vertical="center" wrapText="1"/>
    </xf>
    <xf numFmtId="0" fontId="31" fillId="0" borderId="0" xfId="0" applyFont="1" applyAlignment="1">
      <alignment vertical="center"/>
    </xf>
    <xf numFmtId="0" fontId="22" fillId="0" borderId="0" xfId="0" applyFont="1" applyAlignment="1">
      <alignment vertical="top"/>
    </xf>
    <xf numFmtId="0" fontId="20" fillId="0" borderId="18" xfId="0" applyFont="1" applyBorder="1" applyAlignment="1">
      <alignment horizontal="center" vertical="center"/>
    </xf>
    <xf numFmtId="165" fontId="6" fillId="0" borderId="0" xfId="428" applyNumberFormat="1" applyFont="1" applyFill="1" applyBorder="1" applyAlignment="1" applyProtection="1">
      <alignment horizontal="center" wrapText="1"/>
    </xf>
    <xf numFmtId="16" fontId="12" fillId="0" borderId="20" xfId="0" applyNumberFormat="1" applyFont="1" applyBorder="1" applyAlignment="1">
      <alignment vertical="center" wrapText="1"/>
    </xf>
    <xf numFmtId="0" fontId="16" fillId="27" borderId="0" xfId="0" applyFont="1" applyFill="1"/>
    <xf numFmtId="0" fontId="29" fillId="0" borderId="0" xfId="0" applyFont="1"/>
    <xf numFmtId="0" fontId="29" fillId="0" borderId="0" xfId="0" applyFont="1" applyAlignment="1">
      <alignment wrapText="1"/>
    </xf>
    <xf numFmtId="0" fontId="12" fillId="0" borderId="20" xfId="0" applyFont="1" applyBorder="1" applyAlignment="1">
      <alignment vertical="center" wrapText="1"/>
    </xf>
    <xf numFmtId="1" fontId="24" fillId="30" borderId="20" xfId="0" applyNumberFormat="1" applyFont="1" applyFill="1" applyBorder="1" applyAlignment="1">
      <alignment horizontal="center" vertical="center" wrapText="1"/>
    </xf>
    <xf numFmtId="0" fontId="22" fillId="0" borderId="0" xfId="0" applyFont="1" applyAlignment="1">
      <alignment horizontal="left"/>
    </xf>
    <xf numFmtId="0" fontId="20" fillId="28" borderId="21" xfId="0" applyFont="1" applyFill="1" applyBorder="1" applyAlignment="1">
      <alignment horizontal="center" vertical="center"/>
    </xf>
    <xf numFmtId="0" fontId="0" fillId="0" borderId="0" xfId="0" applyAlignment="1">
      <alignment wrapText="1"/>
    </xf>
    <xf numFmtId="0" fontId="46" fillId="0" borderId="0" xfId="0" applyFont="1"/>
    <xf numFmtId="0" fontId="34" fillId="0" borderId="0" xfId="0" applyFont="1"/>
    <xf numFmtId="0" fontId="20" fillId="31" borderId="19" xfId="0" applyFont="1" applyFill="1" applyBorder="1" applyAlignment="1">
      <alignment horizontal="center"/>
    </xf>
    <xf numFmtId="0" fontId="20" fillId="32" borderId="19" xfId="0" applyFont="1" applyFill="1" applyBorder="1" applyAlignment="1">
      <alignment horizontal="center"/>
    </xf>
    <xf numFmtId="0" fontId="20" fillId="32" borderId="22" xfId="0" applyFont="1" applyFill="1" applyBorder="1" applyAlignment="1">
      <alignment horizontal="center"/>
    </xf>
    <xf numFmtId="0" fontId="27" fillId="0" borderId="18" xfId="0" applyFont="1" applyBorder="1" applyAlignment="1">
      <alignment horizontal="center" vertical="center"/>
    </xf>
    <xf numFmtId="1" fontId="24" fillId="33" borderId="20" xfId="0" applyNumberFormat="1" applyFont="1" applyFill="1" applyBorder="1" applyAlignment="1" applyProtection="1">
      <alignment horizontal="center" vertical="center"/>
      <protection locked="0"/>
    </xf>
    <xf numFmtId="1" fontId="24" fillId="33" borderId="0" xfId="0" applyNumberFormat="1" applyFont="1" applyFill="1" applyAlignment="1" applyProtection="1">
      <alignment horizontal="center" vertical="center"/>
      <protection locked="0"/>
    </xf>
    <xf numFmtId="14" fontId="12" fillId="0" borderId="18" xfId="0" applyNumberFormat="1" applyFont="1" applyBorder="1" applyAlignment="1">
      <alignment horizontal="left"/>
    </xf>
    <xf numFmtId="0" fontId="12" fillId="0" borderId="18" xfId="0" applyFont="1" applyBorder="1" applyAlignment="1">
      <alignment horizontal="left"/>
    </xf>
    <xf numFmtId="0" fontId="51" fillId="0" borderId="0" xfId="0" applyFont="1"/>
    <xf numFmtId="0" fontId="9" fillId="0" borderId="18" xfId="0" applyFont="1" applyBorder="1" applyAlignment="1">
      <alignment horizontal="center" vertical="center" wrapText="1"/>
    </xf>
    <xf numFmtId="0" fontId="27" fillId="0" borderId="23" xfId="0" applyFont="1" applyBorder="1" applyAlignment="1">
      <alignment horizontal="center" vertical="center"/>
    </xf>
    <xf numFmtId="0" fontId="27" fillId="0" borderId="23" xfId="0" applyFont="1" applyBorder="1" applyAlignment="1">
      <alignment vertical="center" wrapText="1"/>
    </xf>
    <xf numFmtId="0" fontId="19" fillId="0" borderId="0" xfId="0" applyFont="1" applyAlignment="1">
      <alignment vertical="center"/>
    </xf>
    <xf numFmtId="0" fontId="0" fillId="0" borderId="0" xfId="0" applyAlignment="1">
      <alignment horizontal="center" vertical="center"/>
    </xf>
    <xf numFmtId="0" fontId="6" fillId="0" borderId="0" xfId="548" applyFont="1" applyAlignment="1">
      <alignment horizontal="center" vertical="center"/>
    </xf>
    <xf numFmtId="0" fontId="6" fillId="0" borderId="0" xfId="0" applyFont="1" applyAlignment="1">
      <alignment horizontal="center" vertical="center"/>
    </xf>
    <xf numFmtId="0" fontId="12" fillId="0" borderId="0" xfId="0" applyFont="1" applyAlignment="1">
      <alignment horizontal="center" vertical="center"/>
    </xf>
    <xf numFmtId="0" fontId="24" fillId="0" borderId="18" xfId="0" applyFont="1" applyBorder="1" applyAlignment="1">
      <alignment horizontal="center" vertical="center"/>
    </xf>
    <xf numFmtId="49" fontId="20" fillId="0" borderId="18" xfId="0" applyNumberFormat="1" applyFont="1" applyBorder="1" applyAlignment="1">
      <alignment horizontal="center" vertical="center"/>
    </xf>
    <xf numFmtId="0" fontId="20" fillId="34" borderId="18" xfId="0" applyFont="1" applyFill="1" applyBorder="1" applyAlignment="1">
      <alignment horizontal="center" vertical="center"/>
    </xf>
    <xf numFmtId="0" fontId="3" fillId="0" borderId="0" xfId="516" applyFont="1" applyAlignment="1">
      <alignment horizontal="center" vertical="center"/>
    </xf>
    <xf numFmtId="0" fontId="20" fillId="29" borderId="21" xfId="0" applyFont="1" applyFill="1" applyBorder="1" applyAlignment="1">
      <alignment horizontal="center" vertical="center" wrapText="1"/>
    </xf>
    <xf numFmtId="0" fontId="20" fillId="31" borderId="21" xfId="0" applyFont="1" applyFill="1" applyBorder="1" applyAlignment="1">
      <alignment horizontal="center" vertical="center" wrapText="1"/>
    </xf>
    <xf numFmtId="0" fontId="20" fillId="32" borderId="21" xfId="0" applyFont="1" applyFill="1" applyBorder="1" applyAlignment="1">
      <alignment horizontal="center" vertical="center"/>
    </xf>
    <xf numFmtId="0" fontId="20" fillId="32" borderId="24" xfId="0" applyFont="1" applyFill="1" applyBorder="1" applyAlignment="1">
      <alignment horizontal="center" vertical="center"/>
    </xf>
    <xf numFmtId="0" fontId="66" fillId="0" borderId="25" xfId="0" applyFont="1" applyBorder="1"/>
    <xf numFmtId="0" fontId="13" fillId="0" borderId="23" xfId="0" applyFont="1" applyBorder="1"/>
    <xf numFmtId="0" fontId="13" fillId="0" borderId="25" xfId="0" applyFont="1" applyBorder="1"/>
    <xf numFmtId="0" fontId="13" fillId="0" borderId="26" xfId="0" applyFont="1" applyBorder="1"/>
    <xf numFmtId="9" fontId="13" fillId="0" borderId="18" xfId="428" applyFont="1" applyBorder="1" applyAlignment="1" applyProtection="1">
      <alignment horizontal="left"/>
    </xf>
    <xf numFmtId="0" fontId="13" fillId="0" borderId="18" xfId="0" applyFont="1" applyBorder="1"/>
    <xf numFmtId="0" fontId="66" fillId="0" borderId="0" xfId="0" applyFont="1"/>
    <xf numFmtId="0" fontId="13" fillId="0" borderId="18" xfId="0" applyFont="1" applyBorder="1" applyAlignment="1">
      <alignment horizontal="left"/>
    </xf>
    <xf numFmtId="0" fontId="66" fillId="0" borderId="23" xfId="0" applyFont="1" applyBorder="1"/>
    <xf numFmtId="0" fontId="66" fillId="0" borderId="18" xfId="0" applyFont="1" applyBorder="1" applyAlignment="1">
      <alignment wrapText="1"/>
    </xf>
    <xf numFmtId="0" fontId="66" fillId="0" borderId="18" xfId="0" applyFont="1" applyBorder="1"/>
    <xf numFmtId="0" fontId="66" fillId="0" borderId="26" xfId="0" applyFont="1" applyBorder="1" applyAlignment="1">
      <alignment horizontal="center"/>
    </xf>
    <xf numFmtId="0" fontId="66" fillId="0" borderId="18" xfId="0" applyFont="1" applyBorder="1" applyAlignment="1">
      <alignment horizontal="center"/>
    </xf>
    <xf numFmtId="167" fontId="66" fillId="0" borderId="26" xfId="428" applyNumberFormat="1" applyFont="1" applyBorder="1" applyAlignment="1" applyProtection="1">
      <alignment horizontal="center"/>
    </xf>
    <xf numFmtId="0" fontId="66" fillId="0" borderId="0" xfId="0" applyFont="1" applyAlignment="1">
      <alignment horizontal="center"/>
    </xf>
    <xf numFmtId="9" fontId="66" fillId="0" borderId="18" xfId="428" applyFont="1" applyBorder="1" applyAlignment="1" applyProtection="1">
      <alignment horizontal="center"/>
    </xf>
    <xf numFmtId="9" fontId="66" fillId="0" borderId="18" xfId="0" applyNumberFormat="1" applyFont="1" applyBorder="1" applyAlignment="1">
      <alignment horizontal="center"/>
    </xf>
    <xf numFmtId="9" fontId="66" fillId="0" borderId="18" xfId="428" applyFont="1" applyFill="1" applyBorder="1" applyAlignment="1" applyProtection="1">
      <alignment horizontal="center"/>
    </xf>
    <xf numFmtId="9" fontId="66" fillId="0" borderId="26" xfId="428" applyFont="1" applyBorder="1" applyAlignment="1" applyProtection="1">
      <alignment horizontal="center"/>
    </xf>
    <xf numFmtId="0" fontId="66" fillId="0" borderId="0" xfId="0" applyFont="1" applyAlignment="1">
      <alignment horizontal="center" vertical="center"/>
    </xf>
    <xf numFmtId="0" fontId="66" fillId="0" borderId="0" xfId="0" applyFont="1" applyAlignment="1">
      <alignment horizontal="left"/>
    </xf>
    <xf numFmtId="0" fontId="14" fillId="0" borderId="18" xfId="0" applyFont="1" applyBorder="1"/>
    <xf numFmtId="1" fontId="24" fillId="35" borderId="20" xfId="0" applyNumberFormat="1" applyFont="1" applyFill="1" applyBorder="1" applyAlignment="1">
      <alignment horizontal="center" vertical="center"/>
    </xf>
    <xf numFmtId="0" fontId="20" fillId="0" borderId="0" xfId="0" applyFont="1" applyAlignment="1">
      <alignment vertical="top"/>
    </xf>
    <xf numFmtId="0" fontId="12" fillId="0" borderId="27" xfId="0" applyFont="1" applyBorder="1" applyAlignment="1">
      <alignment vertical="center" wrapText="1"/>
    </xf>
    <xf numFmtId="0" fontId="12" fillId="0" borderId="28" xfId="0" applyFont="1" applyBorder="1" applyAlignment="1">
      <alignment vertical="center" wrapText="1"/>
    </xf>
    <xf numFmtId="1" fontId="24" fillId="33" borderId="29" xfId="0" applyNumberFormat="1" applyFont="1" applyFill="1" applyBorder="1" applyAlignment="1" applyProtection="1">
      <alignment horizontal="center" vertical="center"/>
      <protection locked="0"/>
    </xf>
    <xf numFmtId="0" fontId="12" fillId="0" borderId="29" xfId="0" applyFont="1" applyBorder="1" applyAlignment="1">
      <alignment vertical="center" wrapText="1"/>
    </xf>
    <xf numFmtId="0" fontId="12" fillId="0" borderId="18" xfId="0" applyFont="1" applyBorder="1" applyAlignment="1">
      <alignment horizontal="center" vertical="center" wrapText="1"/>
    </xf>
    <xf numFmtId="0" fontId="9" fillId="0" borderId="0" xfId="516" applyFont="1" applyAlignment="1">
      <alignment horizontal="left" vertical="center" wrapText="1"/>
    </xf>
    <xf numFmtId="0" fontId="15" fillId="0" borderId="0" xfId="516" applyFont="1"/>
    <xf numFmtId="0" fontId="2" fillId="0" borderId="0" xfId="516" applyAlignment="1">
      <alignment vertical="center"/>
    </xf>
    <xf numFmtId="0" fontId="14" fillId="27" borderId="0" xfId="0" applyFont="1" applyFill="1" applyAlignment="1">
      <alignment horizontal="center" vertical="center" wrapText="1"/>
    </xf>
    <xf numFmtId="0" fontId="14" fillId="0" borderId="0" xfId="0" applyFont="1" applyAlignment="1">
      <alignment vertical="center"/>
    </xf>
    <xf numFmtId="0" fontId="30" fillId="0" borderId="0" xfId="0" applyFont="1" applyAlignment="1">
      <alignment horizontal="left"/>
    </xf>
    <xf numFmtId="0" fontId="2" fillId="0" borderId="0" xfId="516" applyAlignment="1">
      <alignment horizontal="center"/>
    </xf>
    <xf numFmtId="0" fontId="16" fillId="0" borderId="0" xfId="0" applyFont="1" applyAlignment="1">
      <alignment horizontal="left" vertical="center"/>
    </xf>
    <xf numFmtId="165" fontId="15" fillId="0" borderId="0" xfId="428" applyNumberFormat="1" applyFont="1" applyFill="1" applyBorder="1" applyAlignment="1" applyProtection="1">
      <alignment horizontal="center" vertical="center" wrapText="1"/>
    </xf>
    <xf numFmtId="0" fontId="15" fillId="0" borderId="20" xfId="0" applyFont="1" applyBorder="1" applyAlignment="1">
      <alignment horizontal="center" vertical="center" wrapText="1"/>
    </xf>
    <xf numFmtId="0" fontId="15" fillId="0" borderId="27" xfId="0" applyFont="1" applyBorder="1" applyAlignment="1">
      <alignment horizontal="center" vertical="center" wrapText="1"/>
    </xf>
    <xf numFmtId="165" fontId="16" fillId="0" borderId="0" xfId="0" applyNumberFormat="1" applyFont="1"/>
    <xf numFmtId="10" fontId="12" fillId="0" borderId="0" xfId="0" applyNumberFormat="1" applyFont="1" applyAlignment="1">
      <alignment horizontal="center" vertical="center"/>
    </xf>
    <xf numFmtId="0" fontId="12" fillId="0" borderId="0" xfId="0" applyFont="1" applyAlignment="1">
      <alignment vertical="center"/>
    </xf>
    <xf numFmtId="0" fontId="12" fillId="0" borderId="0" xfId="0" applyFont="1" applyAlignment="1">
      <alignment horizontal="left"/>
    </xf>
    <xf numFmtId="10" fontId="12" fillId="0" borderId="24" xfId="0" applyNumberFormat="1" applyFont="1" applyBorder="1" applyAlignment="1">
      <alignment horizontal="center" vertical="center"/>
    </xf>
    <xf numFmtId="165" fontId="15" fillId="29" borderId="19" xfId="428" applyNumberFormat="1" applyFont="1" applyFill="1" applyBorder="1" applyAlignment="1" applyProtection="1">
      <alignment horizontal="center" vertical="center" wrapText="1"/>
    </xf>
    <xf numFmtId="0" fontId="12" fillId="0" borderId="19" xfId="0" applyFont="1" applyBorder="1" applyAlignment="1">
      <alignment horizontal="center" vertical="center" wrapText="1"/>
    </xf>
    <xf numFmtId="0" fontId="20" fillId="32" borderId="22" xfId="0" applyFont="1" applyFill="1" applyBorder="1" applyAlignment="1">
      <alignment horizontal="center" vertical="center"/>
    </xf>
    <xf numFmtId="0" fontId="9" fillId="36" borderId="18" xfId="516" applyFont="1" applyFill="1" applyBorder="1" applyAlignment="1">
      <alignment vertical="center"/>
    </xf>
    <xf numFmtId="14" fontId="27" fillId="36" borderId="18" xfId="0" applyNumberFormat="1" applyFont="1" applyFill="1" applyBorder="1" applyAlignment="1">
      <alignment horizontal="center" vertical="center"/>
    </xf>
    <xf numFmtId="0" fontId="20" fillId="0" borderId="0" xfId="0" applyFont="1" applyAlignment="1">
      <alignment horizontal="right"/>
    </xf>
    <xf numFmtId="0" fontId="20" fillId="0" borderId="0" xfId="0" applyFont="1" applyAlignment="1">
      <alignment horizontal="center"/>
    </xf>
    <xf numFmtId="0" fontId="19" fillId="0" borderId="0" xfId="0" applyFont="1" applyAlignment="1">
      <alignment vertical="top"/>
    </xf>
    <xf numFmtId="0" fontId="12" fillId="0" borderId="25" xfId="0" applyFont="1" applyBorder="1" applyAlignment="1">
      <alignment horizontal="left" vertical="center"/>
    </xf>
    <xf numFmtId="0" fontId="12" fillId="0" borderId="0" xfId="0" applyFont="1" applyAlignment="1">
      <alignment vertical="center" wrapText="1"/>
    </xf>
    <xf numFmtId="0" fontId="12" fillId="0" borderId="0" xfId="0" applyFont="1" applyAlignment="1">
      <alignment horizontal="left" vertical="center" wrapText="1"/>
    </xf>
    <xf numFmtId="0" fontId="32" fillId="0" borderId="0" xfId="0" applyFont="1" applyAlignment="1">
      <alignment horizontal="left"/>
    </xf>
    <xf numFmtId="0" fontId="52" fillId="0" borderId="0" xfId="0" applyFont="1" applyAlignment="1">
      <alignment horizontal="left"/>
    </xf>
    <xf numFmtId="0" fontId="60" fillId="0" borderId="0" xfId="0" applyFont="1"/>
    <xf numFmtId="0" fontId="6" fillId="0" borderId="0" xfId="0" applyFont="1" applyAlignment="1">
      <alignment horizontal="left"/>
    </xf>
    <xf numFmtId="0" fontId="58" fillId="0" borderId="0" xfId="0" applyFont="1" applyAlignment="1">
      <alignment horizontal="left"/>
    </xf>
    <xf numFmtId="0" fontId="61" fillId="0" borderId="0" xfId="0" applyFont="1"/>
    <xf numFmtId="0" fontId="20" fillId="0" borderId="0" xfId="0" applyFont="1" applyAlignment="1">
      <alignment horizontal="left" vertical="center"/>
    </xf>
    <xf numFmtId="0" fontId="60" fillId="0" borderId="0" xfId="0" applyFont="1" applyAlignment="1">
      <alignment horizontal="left"/>
    </xf>
    <xf numFmtId="0" fontId="59" fillId="0" borderId="0" xfId="0" applyFont="1" applyAlignment="1">
      <alignment horizontal="left"/>
    </xf>
    <xf numFmtId="0" fontId="61" fillId="0" borderId="0" xfId="0" applyFont="1" applyAlignment="1">
      <alignment horizontal="left"/>
    </xf>
    <xf numFmtId="0" fontId="12" fillId="0" borderId="0" xfId="0" applyFont="1" applyAlignment="1">
      <alignment horizontal="left" vertical="center"/>
    </xf>
    <xf numFmtId="0" fontId="15" fillId="33" borderId="20" xfId="0" applyFont="1" applyFill="1" applyBorder="1" applyAlignment="1" applyProtection="1">
      <alignment horizontal="center" vertical="center"/>
      <protection locked="0"/>
    </xf>
    <xf numFmtId="0" fontId="24" fillId="0" borderId="23" xfId="0" applyFont="1" applyBorder="1" applyAlignment="1">
      <alignment horizontal="left" vertical="center"/>
    </xf>
    <xf numFmtId="0" fontId="24" fillId="0" borderId="25" xfId="0" applyFont="1" applyBorder="1" applyAlignment="1">
      <alignment horizontal="left" vertical="center"/>
    </xf>
    <xf numFmtId="49" fontId="24" fillId="0" borderId="23" xfId="0" applyNumberFormat="1" applyFont="1" applyBorder="1" applyAlignment="1">
      <alignment horizontal="left" vertical="center"/>
    </xf>
    <xf numFmtId="2" fontId="24" fillId="0" borderId="25" xfId="0" applyNumberFormat="1" applyFont="1" applyBorder="1" applyAlignment="1">
      <alignment horizontal="left" vertical="center"/>
    </xf>
    <xf numFmtId="9" fontId="24" fillId="0" borderId="25" xfId="0" applyNumberFormat="1" applyFont="1" applyBorder="1" applyAlignment="1">
      <alignment horizontal="left" vertical="center"/>
    </xf>
    <xf numFmtId="167" fontId="24" fillId="0" borderId="25" xfId="0" applyNumberFormat="1" applyFont="1" applyBorder="1" applyAlignment="1">
      <alignment horizontal="left" vertical="center"/>
    </xf>
    <xf numFmtId="0" fontId="67" fillId="0" borderId="25" xfId="0" applyFont="1" applyBorder="1" applyAlignment="1">
      <alignment horizontal="left" vertical="center"/>
    </xf>
    <xf numFmtId="0" fontId="66" fillId="34" borderId="23" xfId="0" applyFont="1" applyFill="1" applyBorder="1"/>
    <xf numFmtId="0" fontId="66" fillId="34" borderId="25" xfId="0" applyFont="1" applyFill="1" applyBorder="1"/>
    <xf numFmtId="0" fontId="66" fillId="34" borderId="26" xfId="0" applyFont="1" applyFill="1" applyBorder="1" applyAlignment="1">
      <alignment horizontal="center" vertical="center"/>
    </xf>
    <xf numFmtId="0" fontId="66" fillId="34" borderId="18" xfId="0" applyFont="1" applyFill="1" applyBorder="1" applyAlignment="1">
      <alignment horizontal="center" vertical="center"/>
    </xf>
    <xf numFmtId="0" fontId="66" fillId="34" borderId="26" xfId="0" applyFont="1" applyFill="1" applyBorder="1" applyAlignment="1">
      <alignment horizontal="center"/>
    </xf>
    <xf numFmtId="0" fontId="66" fillId="34" borderId="25" xfId="0" applyFont="1" applyFill="1" applyBorder="1" applyAlignment="1">
      <alignment horizontal="left"/>
    </xf>
    <xf numFmtId="0" fontId="66" fillId="34" borderId="18" xfId="0" applyFont="1" applyFill="1" applyBorder="1"/>
    <xf numFmtId="167" fontId="66" fillId="34" borderId="26" xfId="428" applyNumberFormat="1" applyFont="1" applyFill="1" applyBorder="1" applyAlignment="1" applyProtection="1">
      <alignment horizontal="center" vertical="center"/>
    </xf>
    <xf numFmtId="167" fontId="66" fillId="34" borderId="18" xfId="428" applyNumberFormat="1" applyFont="1" applyFill="1" applyBorder="1" applyAlignment="1" applyProtection="1">
      <alignment horizontal="center" vertical="center"/>
    </xf>
    <xf numFmtId="167" fontId="66" fillId="34" borderId="18" xfId="0" applyNumberFormat="1" applyFont="1" applyFill="1" applyBorder="1" applyAlignment="1">
      <alignment horizontal="center" vertical="center"/>
    </xf>
    <xf numFmtId="9" fontId="14" fillId="34" borderId="18" xfId="437" applyFont="1" applyFill="1" applyBorder="1" applyAlignment="1" applyProtection="1">
      <alignment horizontal="center" vertical="center"/>
    </xf>
    <xf numFmtId="0" fontId="12" fillId="0" borderId="18" xfId="0" applyFont="1" applyBorder="1" applyAlignment="1">
      <alignment horizontal="left" vertical="center"/>
    </xf>
    <xf numFmtId="0" fontId="64" fillId="0" borderId="0" xfId="0" applyFont="1" applyAlignment="1">
      <alignment vertical="center" wrapText="1"/>
    </xf>
    <xf numFmtId="0" fontId="6" fillId="0" borderId="18" xfId="0" applyFont="1" applyBorder="1" applyAlignment="1">
      <alignment vertical="center"/>
    </xf>
    <xf numFmtId="0" fontId="15" fillId="33" borderId="28" xfId="0" applyFont="1" applyFill="1" applyBorder="1" applyAlignment="1" applyProtection="1">
      <alignment horizontal="center" vertical="center"/>
      <protection locked="0"/>
    </xf>
    <xf numFmtId="0" fontId="15" fillId="33" borderId="33" xfId="0" applyFont="1" applyFill="1" applyBorder="1" applyAlignment="1" applyProtection="1">
      <alignment horizontal="center" vertical="center"/>
      <protection locked="0"/>
    </xf>
    <xf numFmtId="0" fontId="15" fillId="0" borderId="20" xfId="0" applyFont="1" applyBorder="1" applyAlignment="1">
      <alignment horizontal="center" vertical="center"/>
    </xf>
    <xf numFmtId="0" fontId="15" fillId="0" borderId="35" xfId="0" applyFont="1" applyBorder="1" applyAlignment="1">
      <alignment horizontal="center" vertical="center"/>
    </xf>
    <xf numFmtId="0" fontId="20" fillId="27" borderId="18" xfId="0" applyFont="1" applyFill="1" applyBorder="1" applyAlignment="1">
      <alignment horizontal="center" vertical="center"/>
    </xf>
    <xf numFmtId="0" fontId="68" fillId="0" borderId="0" xfId="0" applyFont="1" applyAlignment="1">
      <alignment horizontal="right"/>
    </xf>
    <xf numFmtId="0" fontId="0" fillId="0" borderId="0" xfId="0" applyAlignment="1">
      <alignment horizontal="left" vertical="center"/>
    </xf>
    <xf numFmtId="0" fontId="65" fillId="0" borderId="18" xfId="0" applyFont="1" applyBorder="1" applyAlignment="1">
      <alignment horizontal="left" vertical="center"/>
    </xf>
    <xf numFmtId="0" fontId="65" fillId="0" borderId="0" xfId="0" applyFont="1" applyAlignment="1">
      <alignment horizontal="left" vertical="center"/>
    </xf>
    <xf numFmtId="166" fontId="65" fillId="34" borderId="18" xfId="0" applyNumberFormat="1" applyFont="1" applyFill="1" applyBorder="1" applyAlignment="1">
      <alignment horizontal="center" vertical="center"/>
    </xf>
    <xf numFmtId="0" fontId="27" fillId="0" borderId="18" xfId="0" applyFont="1" applyBorder="1" applyAlignment="1">
      <alignment horizontal="left" vertical="center"/>
    </xf>
    <xf numFmtId="0" fontId="27" fillId="0" borderId="0" xfId="0" applyFont="1" applyAlignment="1">
      <alignment horizontal="left" vertical="center"/>
    </xf>
    <xf numFmtId="0" fontId="65" fillId="0" borderId="0" xfId="0" applyFont="1" applyAlignment="1">
      <alignment horizontal="center" vertical="center"/>
    </xf>
    <xf numFmtId="49" fontId="65" fillId="0" borderId="18" xfId="0" applyNumberFormat="1" applyFont="1" applyBorder="1" applyAlignment="1">
      <alignment horizontal="center" vertical="center"/>
    </xf>
    <xf numFmtId="0" fontId="65" fillId="27" borderId="18" xfId="0" applyFont="1" applyFill="1" applyBorder="1" applyAlignment="1">
      <alignment horizontal="left" vertical="center"/>
    </xf>
    <xf numFmtId="0" fontId="0" fillId="27" borderId="0" xfId="0" applyFill="1"/>
    <xf numFmtId="0" fontId="20" fillId="28" borderId="19" xfId="0" applyFont="1" applyFill="1" applyBorder="1" applyAlignment="1">
      <alignment horizontal="center" vertical="center"/>
    </xf>
    <xf numFmtId="0" fontId="66" fillId="0" borderId="18" xfId="0" applyFont="1" applyBorder="1" applyAlignment="1">
      <alignment horizontal="left" vertical="center"/>
    </xf>
    <xf numFmtId="0" fontId="6" fillId="0" borderId="18" xfId="0" applyFont="1" applyBorder="1" applyAlignment="1">
      <alignment horizontal="center" vertical="center"/>
    </xf>
    <xf numFmtId="14" fontId="66" fillId="0" borderId="18" xfId="0" applyNumberFormat="1" applyFont="1" applyBorder="1" applyAlignment="1">
      <alignment horizontal="left" vertical="center"/>
    </xf>
    <xf numFmtId="0" fontId="13" fillId="0" borderId="0" xfId="0" applyFont="1" applyAlignment="1">
      <alignment horizontal="left" vertical="center"/>
    </xf>
    <xf numFmtId="0" fontId="7" fillId="0" borderId="18" xfId="0" applyFont="1" applyBorder="1" applyAlignment="1">
      <alignment horizontal="center" wrapText="1"/>
    </xf>
    <xf numFmtId="0" fontId="65" fillId="32" borderId="24" xfId="0" applyFont="1" applyFill="1" applyBorder="1" applyAlignment="1">
      <alignment horizontal="center" vertical="center"/>
    </xf>
    <xf numFmtId="0" fontId="12" fillId="31" borderId="21" xfId="0" applyFont="1" applyFill="1" applyBorder="1" applyAlignment="1">
      <alignment horizontal="center" vertical="center" wrapText="1"/>
    </xf>
    <xf numFmtId="0" fontId="58" fillId="0" borderId="0" xfId="0" applyFont="1" applyAlignment="1">
      <alignment horizontal="left" vertical="top" wrapText="1"/>
    </xf>
    <xf numFmtId="0" fontId="12" fillId="0" borderId="18" xfId="0" applyFont="1" applyBorder="1" applyAlignment="1">
      <alignment horizontal="center" vertical="center"/>
    </xf>
    <xf numFmtId="165" fontId="24" fillId="0" borderId="25" xfId="0" applyNumberFormat="1" applyFont="1" applyBorder="1" applyAlignment="1">
      <alignment horizontal="left" vertical="center"/>
    </xf>
    <xf numFmtId="14" fontId="65" fillId="0" borderId="18" xfId="0" applyNumberFormat="1" applyFont="1" applyBorder="1" applyAlignment="1">
      <alignment horizontal="left" vertical="center"/>
    </xf>
    <xf numFmtId="0" fontId="60" fillId="0" borderId="0" xfId="0" applyFont="1" applyAlignment="1">
      <alignment horizontal="left" vertical="center"/>
    </xf>
    <xf numFmtId="1" fontId="65" fillId="0" borderId="18" xfId="0" applyNumberFormat="1" applyFont="1" applyBorder="1" applyAlignment="1">
      <alignment horizontal="center" vertical="center"/>
    </xf>
    <xf numFmtId="1" fontId="65" fillId="27" borderId="18" xfId="0" applyNumberFormat="1" applyFont="1" applyFill="1" applyBorder="1" applyAlignment="1">
      <alignment horizontal="center" vertical="center"/>
    </xf>
    <xf numFmtId="1" fontId="65" fillId="34" borderId="18" xfId="0" applyNumberFormat="1" applyFont="1" applyFill="1" applyBorder="1" applyAlignment="1">
      <alignment horizontal="center" vertical="center"/>
    </xf>
    <xf numFmtId="0" fontId="9" fillId="37" borderId="0" xfId="516" applyFont="1" applyFill="1" applyAlignment="1">
      <alignment horizontal="left" vertical="center"/>
    </xf>
    <xf numFmtId="0" fontId="12" fillId="0" borderId="23" xfId="0" applyFont="1" applyBorder="1" applyAlignment="1">
      <alignment horizontal="center" vertical="center" wrapText="1"/>
    </xf>
    <xf numFmtId="0" fontId="15" fillId="0" borderId="28" xfId="0"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center" vertical="top" wrapText="1"/>
    </xf>
    <xf numFmtId="0" fontId="15" fillId="0" borderId="0" xfId="0" applyFont="1" applyAlignment="1">
      <alignment horizontal="center" vertical="center"/>
    </xf>
    <xf numFmtId="0" fontId="15" fillId="0" borderId="0" xfId="0" applyFont="1" applyAlignment="1">
      <alignment horizontal="center" vertical="center" wrapText="1"/>
    </xf>
    <xf numFmtId="0" fontId="19" fillId="0" borderId="0" xfId="0" applyFont="1" applyAlignment="1">
      <alignment horizontal="center"/>
    </xf>
    <xf numFmtId="0" fontId="12" fillId="0" borderId="23" xfId="0" applyFont="1" applyBorder="1" applyAlignment="1">
      <alignment horizontal="center" vertical="center"/>
    </xf>
    <xf numFmtId="0" fontId="15" fillId="0" borderId="37" xfId="0" applyFont="1" applyBorder="1" applyAlignment="1">
      <alignment horizontal="center" textRotation="90" wrapText="1"/>
    </xf>
    <xf numFmtId="0" fontId="15" fillId="0" borderId="38" xfId="0" applyFont="1" applyBorder="1" applyAlignment="1">
      <alignment textRotation="90" wrapText="1"/>
    </xf>
    <xf numFmtId="0" fontId="9" fillId="0" borderId="39" xfId="0" applyFont="1" applyBorder="1" applyAlignment="1">
      <alignment horizontal="center" vertical="center" wrapText="1"/>
    </xf>
    <xf numFmtId="0" fontId="15" fillId="0" borderId="40" xfId="0" applyFont="1" applyBorder="1" applyAlignment="1">
      <alignment horizont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69" fillId="0" borderId="48" xfId="0" applyFont="1" applyBorder="1" applyAlignment="1">
      <alignment horizontal="left" vertical="center" wrapText="1"/>
    </xf>
    <xf numFmtId="0" fontId="12" fillId="0" borderId="48" xfId="0" applyFont="1" applyBorder="1" applyAlignment="1">
      <alignment horizontal="left" vertical="center" wrapText="1"/>
    </xf>
    <xf numFmtId="0" fontId="12" fillId="0" borderId="48" xfId="0" applyFont="1" applyBorder="1" applyAlignment="1">
      <alignment horizontal="left" vertical="center"/>
    </xf>
    <xf numFmtId="0" fontId="69" fillId="0" borderId="48" xfId="0" applyFont="1" applyBorder="1" applyAlignment="1">
      <alignment horizontal="left" vertical="center"/>
    </xf>
    <xf numFmtId="0" fontId="24" fillId="0" borderId="48" xfId="0" applyFont="1" applyBorder="1" applyAlignment="1">
      <alignment horizontal="left" vertical="center"/>
    </xf>
    <xf numFmtId="10" fontId="15" fillId="33" borderId="41" xfId="0" applyNumberFormat="1" applyFont="1" applyFill="1" applyBorder="1" applyAlignment="1" applyProtection="1">
      <alignment horizontal="center" vertical="center"/>
      <protection locked="0"/>
    </xf>
    <xf numFmtId="0" fontId="12" fillId="0" borderId="0" xfId="0" applyFont="1" applyAlignment="1">
      <alignment horizontal="left" wrapText="1"/>
    </xf>
    <xf numFmtId="9" fontId="20" fillId="34" borderId="18" xfId="0" applyNumberFormat="1" applyFont="1" applyFill="1" applyBorder="1" applyAlignment="1">
      <alignment horizontal="center" vertical="center"/>
    </xf>
    <xf numFmtId="9" fontId="20" fillId="27" borderId="18" xfId="0" applyNumberFormat="1" applyFont="1" applyFill="1" applyBorder="1" applyAlignment="1">
      <alignment horizontal="center" vertical="center"/>
    </xf>
    <xf numFmtId="9" fontId="20" fillId="0" borderId="18" xfId="0" applyNumberFormat="1" applyFont="1" applyBorder="1" applyAlignment="1">
      <alignment horizontal="center" vertical="center"/>
    </xf>
    <xf numFmtId="0" fontId="14" fillId="0" borderId="25" xfId="0" applyFont="1" applyBorder="1"/>
    <xf numFmtId="0" fontId="7" fillId="0" borderId="18" xfId="0" applyFont="1" applyBorder="1" applyAlignment="1">
      <alignment horizontal="center" vertical="center" wrapText="1"/>
    </xf>
    <xf numFmtId="0" fontId="20" fillId="0" borderId="18" xfId="0" applyFont="1" applyBorder="1" applyAlignment="1">
      <alignment horizontal="left" vertical="center"/>
    </xf>
    <xf numFmtId="0" fontId="78" fillId="0" borderId="18" xfId="0" applyFont="1" applyBorder="1" applyAlignment="1">
      <alignment horizontal="center" vertical="center"/>
    </xf>
    <xf numFmtId="0" fontId="0" fillId="0" borderId="18" xfId="0" applyBorder="1" applyAlignment="1">
      <alignment horizontal="left" vertical="center"/>
    </xf>
    <xf numFmtId="0" fontId="16" fillId="0" borderId="18" xfId="0" applyFont="1" applyBorder="1" applyAlignment="1">
      <alignment horizontal="left" vertical="center"/>
    </xf>
    <xf numFmtId="0" fontId="16" fillId="0" borderId="0" xfId="0" applyFont="1" applyAlignment="1">
      <alignment wrapText="1"/>
    </xf>
    <xf numFmtId="0" fontId="14" fillId="0" borderId="0" xfId="0" applyFont="1" applyAlignment="1">
      <alignment wrapText="1"/>
    </xf>
    <xf numFmtId="0" fontId="17" fillId="0" borderId="0" xfId="0" applyFont="1" applyAlignment="1">
      <alignment wrapText="1"/>
    </xf>
    <xf numFmtId="0" fontId="13" fillId="0" borderId="18" xfId="0" applyFont="1" applyBorder="1" applyAlignment="1">
      <alignment wrapText="1"/>
    </xf>
    <xf numFmtId="167" fontId="13" fillId="0" borderId="18" xfId="0" applyNumberFormat="1" applyFont="1" applyBorder="1" applyAlignment="1">
      <alignment horizontal="left" vertical="top" wrapText="1"/>
    </xf>
    <xf numFmtId="0" fontId="66" fillId="0" borderId="18" xfId="0" applyFont="1" applyBorder="1" applyAlignment="1">
      <alignment horizontal="center" wrapText="1"/>
    </xf>
    <xf numFmtId="167" fontId="66" fillId="0" borderId="18" xfId="0" applyNumberFormat="1" applyFont="1" applyBorder="1" applyAlignment="1">
      <alignment horizontal="center" wrapText="1"/>
    </xf>
    <xf numFmtId="167" fontId="66" fillId="0" borderId="18" xfId="428" applyNumberFormat="1" applyFont="1" applyBorder="1" applyAlignment="1" applyProtection="1">
      <alignment horizontal="center" wrapText="1"/>
    </xf>
    <xf numFmtId="9" fontId="66" fillId="0" borderId="18" xfId="0" applyNumberFormat="1" applyFont="1" applyBorder="1" applyAlignment="1">
      <alignment horizontal="center" wrapText="1"/>
    </xf>
    <xf numFmtId="165" fontId="66" fillId="0" borderId="18" xfId="0" applyNumberFormat="1" applyFont="1" applyBorder="1" applyAlignment="1">
      <alignment horizontal="center" wrapText="1"/>
    </xf>
    <xf numFmtId="0" fontId="66" fillId="0" borderId="0" xfId="0" applyFont="1" applyAlignment="1">
      <alignment wrapText="1"/>
    </xf>
    <xf numFmtId="0" fontId="66" fillId="34" borderId="18" xfId="0" applyFont="1" applyFill="1" applyBorder="1" applyAlignment="1">
      <alignment horizontal="center" vertical="center" wrapText="1"/>
    </xf>
    <xf numFmtId="167" fontId="66" fillId="34" borderId="18" xfId="0" applyNumberFormat="1" applyFont="1" applyFill="1" applyBorder="1" applyAlignment="1">
      <alignment horizontal="center" vertical="center" wrapText="1"/>
    </xf>
    <xf numFmtId="9" fontId="14" fillId="34" borderId="18" xfId="437" applyFont="1" applyFill="1" applyBorder="1" applyAlignment="1" applyProtection="1">
      <alignment horizontal="center" vertical="center" wrapText="1"/>
    </xf>
    <xf numFmtId="0" fontId="66" fillId="0" borderId="0" xfId="0" applyFont="1" applyAlignment="1">
      <alignment horizontal="center" vertical="center" wrapText="1"/>
    </xf>
    <xf numFmtId="0" fontId="66" fillId="0" borderId="26" xfId="0" applyFont="1" applyBorder="1" applyAlignment="1">
      <alignment wrapText="1"/>
    </xf>
    <xf numFmtId="0" fontId="66" fillId="0" borderId="26" xfId="0" applyFont="1" applyBorder="1"/>
    <xf numFmtId="0" fontId="79" fillId="0" borderId="18" xfId="0" applyFont="1" applyBorder="1" applyAlignment="1">
      <alignment horizontal="center" vertical="center"/>
    </xf>
    <xf numFmtId="0" fontId="12" fillId="0" borderId="50" xfId="0" applyFont="1" applyBorder="1" applyAlignment="1">
      <alignment horizontal="center" vertical="center" wrapText="1"/>
    </xf>
    <xf numFmtId="0" fontId="79" fillId="0" borderId="50" xfId="0" applyFont="1" applyBorder="1" applyAlignment="1">
      <alignment horizontal="center" vertical="center"/>
    </xf>
    <xf numFmtId="0" fontId="79" fillId="0" borderId="51" xfId="0" applyFont="1" applyBorder="1" applyAlignment="1">
      <alignment horizontal="center" vertical="center"/>
    </xf>
    <xf numFmtId="0" fontId="79" fillId="0" borderId="31" xfId="0" applyFont="1" applyBorder="1" applyAlignment="1">
      <alignment horizontal="center" vertical="center"/>
    </xf>
    <xf numFmtId="0" fontId="79" fillId="0" borderId="0" xfId="0" applyFont="1" applyAlignment="1">
      <alignment horizontal="center" vertical="center"/>
    </xf>
    <xf numFmtId="0" fontId="6" fillId="0" borderId="50" xfId="0" applyFont="1" applyBorder="1" applyAlignment="1">
      <alignment horizontal="center" vertical="center" wrapText="1"/>
    </xf>
    <xf numFmtId="0" fontId="79" fillId="0" borderId="31" xfId="0" applyFont="1" applyBorder="1" applyAlignment="1">
      <alignment horizontal="center" vertical="center" wrapText="1"/>
    </xf>
    <xf numFmtId="0" fontId="0" fillId="0" borderId="0" xfId="0" applyAlignment="1">
      <alignment horizontal="left"/>
    </xf>
    <xf numFmtId="0" fontId="78" fillId="0" borderId="18" xfId="0" applyFont="1" applyBorder="1" applyAlignment="1">
      <alignment horizontal="center" vertical="center" wrapText="1"/>
    </xf>
    <xf numFmtId="0" fontId="80" fillId="0" borderId="0" xfId="0" applyFont="1" applyAlignment="1">
      <alignment vertical="center" wrapText="1"/>
    </xf>
    <xf numFmtId="0" fontId="80" fillId="0" borderId="0" xfId="0" applyFont="1" applyAlignment="1">
      <alignment horizontal="center" vertical="center"/>
    </xf>
    <xf numFmtId="0" fontId="80" fillId="0" borderId="0" xfId="0" applyFont="1" applyAlignment="1">
      <alignment vertical="center"/>
    </xf>
    <xf numFmtId="0" fontId="0" fillId="0" borderId="0" xfId="0" applyAlignment="1">
      <alignment horizontal="center" vertical="top"/>
    </xf>
    <xf numFmtId="0" fontId="72" fillId="0" borderId="0" xfId="0" applyFont="1" applyAlignment="1">
      <alignment horizontal="center" vertical="center"/>
    </xf>
    <xf numFmtId="0" fontId="0" fillId="0" borderId="0" xfId="0" applyAlignment="1">
      <alignment vertical="top" wrapText="1"/>
    </xf>
    <xf numFmtId="0" fontId="12" fillId="0" borderId="52" xfId="0" applyFont="1" applyBorder="1" applyAlignment="1">
      <alignment horizontal="center" vertical="center" wrapText="1"/>
    </xf>
    <xf numFmtId="0" fontId="12" fillId="0" borderId="26" xfId="0" applyFont="1" applyBorder="1" applyAlignment="1">
      <alignment horizontal="center" vertical="center" wrapText="1"/>
    </xf>
    <xf numFmtId="0" fontId="6" fillId="0" borderId="53" xfId="0" applyFont="1" applyBorder="1" applyAlignment="1">
      <alignment horizontal="center" vertical="center"/>
    </xf>
    <xf numFmtId="0" fontId="14" fillId="0" borderId="0" xfId="0" applyFont="1" applyAlignment="1">
      <alignment horizontal="left" vertical="center"/>
    </xf>
    <xf numFmtId="0" fontId="12" fillId="0" borderId="0" xfId="0" applyFont="1" applyAlignment="1">
      <alignment horizontal="center" vertical="top" wrapText="1"/>
    </xf>
    <xf numFmtId="0" fontId="12" fillId="0" borderId="0" xfId="0" applyFont="1" applyAlignment="1">
      <alignment horizontal="center" vertical="center" wrapText="1"/>
    </xf>
    <xf numFmtId="0" fontId="6" fillId="0" borderId="0" xfId="0" applyFont="1" applyAlignment="1">
      <alignment horizontal="left" vertical="center"/>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59" xfId="0" applyFont="1" applyBorder="1" applyAlignment="1">
      <alignment horizontal="center" vertical="center" wrapText="1"/>
    </xf>
    <xf numFmtId="0" fontId="79" fillId="38" borderId="29" xfId="0" applyFont="1" applyFill="1" applyBorder="1" applyAlignment="1">
      <alignment horizontal="center" vertical="center"/>
    </xf>
    <xf numFmtId="0" fontId="79" fillId="38" borderId="28" xfId="0" applyFont="1" applyFill="1" applyBorder="1" applyAlignment="1">
      <alignment horizontal="center" vertical="center"/>
    </xf>
    <xf numFmtId="0" fontId="79" fillId="28" borderId="20" xfId="0" applyFont="1" applyFill="1" applyBorder="1" applyAlignment="1">
      <alignment horizontal="center" vertical="center" wrapText="1"/>
    </xf>
    <xf numFmtId="0" fontId="79" fillId="29" borderId="20" xfId="0" applyFont="1" applyFill="1" applyBorder="1" applyAlignment="1">
      <alignment horizontal="center" vertical="center" wrapText="1"/>
    </xf>
    <xf numFmtId="0" fontId="79" fillId="29" borderId="28" xfId="0" applyFont="1" applyFill="1" applyBorder="1" applyAlignment="1">
      <alignment horizontal="center" vertical="center"/>
    </xf>
    <xf numFmtId="0" fontId="79" fillId="29" borderId="29" xfId="0" applyFont="1" applyFill="1" applyBorder="1" applyAlignment="1">
      <alignment horizontal="center" vertical="center"/>
    </xf>
    <xf numFmtId="0" fontId="12" fillId="38" borderId="28" xfId="0" applyFont="1" applyFill="1" applyBorder="1" applyAlignment="1">
      <alignment horizontal="center" vertical="center" wrapText="1"/>
    </xf>
    <xf numFmtId="0" fontId="12" fillId="38" borderId="34" xfId="0" applyFont="1" applyFill="1" applyBorder="1" applyAlignment="1">
      <alignment horizontal="center" vertical="center" wrapText="1"/>
    </xf>
    <xf numFmtId="0" fontId="79" fillId="38" borderId="34" xfId="0" applyFont="1" applyFill="1" applyBorder="1" applyAlignment="1">
      <alignment horizontal="center" vertical="center"/>
    </xf>
    <xf numFmtId="0" fontId="6" fillId="0" borderId="60" xfId="0" quotePrefix="1" applyFont="1" applyBorder="1" applyAlignment="1">
      <alignment horizontal="left" vertical="center" wrapText="1"/>
    </xf>
    <xf numFmtId="0" fontId="6" fillId="0" borderId="23" xfId="0" quotePrefix="1" applyFont="1" applyBorder="1" applyAlignment="1">
      <alignment horizontal="left" vertical="center" wrapText="1"/>
    </xf>
    <xf numFmtId="0" fontId="79" fillId="0" borderId="60" xfId="0" applyFont="1" applyBorder="1" applyAlignment="1">
      <alignment horizontal="left" vertical="center"/>
    </xf>
    <xf numFmtId="0" fontId="79" fillId="0" borderId="23" xfId="0" applyFont="1" applyBorder="1" applyAlignment="1">
      <alignment horizontal="left" vertical="center"/>
    </xf>
    <xf numFmtId="0" fontId="79" fillId="0" borderId="61" xfId="0" applyFont="1" applyBorder="1" applyAlignment="1">
      <alignment horizontal="left" vertical="center"/>
    </xf>
    <xf numFmtId="0" fontId="6" fillId="0" borderId="60" xfId="0" applyFont="1" applyBorder="1" applyAlignment="1">
      <alignment horizontal="left" vertical="center" wrapText="1"/>
    </xf>
    <xf numFmtId="0" fontId="6" fillId="0" borderId="23" xfId="0" applyFont="1" applyBorder="1" applyAlignment="1">
      <alignment horizontal="left" vertical="center" wrapText="1"/>
    </xf>
    <xf numFmtId="0" fontId="24" fillId="0" borderId="0" xfId="0" applyFont="1" applyAlignment="1">
      <alignment horizontal="left" vertical="center"/>
    </xf>
    <xf numFmtId="0" fontId="14" fillId="0" borderId="18" xfId="0" applyFont="1" applyBorder="1" applyAlignment="1">
      <alignment wrapText="1"/>
    </xf>
    <xf numFmtId="0" fontId="72" fillId="0" borderId="18" xfId="0" applyFont="1" applyBorder="1" applyAlignment="1">
      <alignment horizontal="center" vertical="center"/>
    </xf>
    <xf numFmtId="0" fontId="80" fillId="0" borderId="18" xfId="0" applyFont="1" applyBorder="1" applyAlignment="1">
      <alignment horizontal="center" vertical="center" wrapText="1"/>
    </xf>
    <xf numFmtId="0" fontId="80" fillId="0" borderId="18" xfId="0" applyFont="1" applyBorder="1" applyAlignment="1">
      <alignment horizontal="left" vertical="center" wrapText="1"/>
    </xf>
    <xf numFmtId="0" fontId="80" fillId="0" borderId="18" xfId="0" applyFont="1" applyBorder="1" applyAlignment="1">
      <alignment horizontal="left" vertical="center"/>
    </xf>
    <xf numFmtId="0" fontId="0" fillId="0" borderId="0" xfId="0" applyAlignment="1">
      <alignment vertical="center"/>
    </xf>
    <xf numFmtId="0" fontId="6" fillId="0" borderId="55" xfId="0" quotePrefix="1" applyFont="1" applyBorder="1" applyAlignment="1">
      <alignment horizontal="center" vertical="center" wrapText="1"/>
    </xf>
    <xf numFmtId="0" fontId="6" fillId="0" borderId="57" xfId="0" quotePrefix="1" applyFont="1" applyBorder="1" applyAlignment="1">
      <alignment horizontal="center" vertical="center" wrapText="1"/>
    </xf>
    <xf numFmtId="0" fontId="6" fillId="0" borderId="47" xfId="0" quotePrefix="1" applyFont="1" applyBorder="1" applyAlignment="1">
      <alignment horizontal="center" vertical="center" wrapText="1"/>
    </xf>
    <xf numFmtId="0" fontId="12" fillId="0" borderId="64" xfId="0" applyFont="1" applyBorder="1" applyAlignment="1">
      <alignment horizontal="center" vertical="center" wrapText="1"/>
    </xf>
    <xf numFmtId="0" fontId="79" fillId="0" borderId="24" xfId="0" applyFont="1" applyBorder="1" applyAlignment="1">
      <alignment horizontal="center" vertical="center"/>
    </xf>
    <xf numFmtId="0" fontId="6" fillId="0" borderId="24" xfId="0" applyFont="1" applyBorder="1" applyAlignment="1">
      <alignment horizontal="center" vertical="center" wrapText="1"/>
    </xf>
    <xf numFmtId="0" fontId="79" fillId="0" borderId="21" xfId="0" applyFont="1" applyBorder="1" applyAlignment="1">
      <alignment horizontal="left" vertical="center"/>
    </xf>
    <xf numFmtId="0" fontId="6" fillId="0" borderId="65" xfId="0" quotePrefix="1" applyFont="1" applyBorder="1" applyAlignment="1">
      <alignment horizontal="center" vertical="center" wrapText="1"/>
    </xf>
    <xf numFmtId="0" fontId="20" fillId="0" borderId="18" xfId="0" applyFont="1" applyBorder="1" applyAlignment="1">
      <alignment horizontal="left" vertical="center" wrapText="1"/>
    </xf>
    <xf numFmtId="0" fontId="0" fillId="0" borderId="18" xfId="0" applyBorder="1" applyAlignment="1">
      <alignment horizontal="left" vertical="center" wrapText="1"/>
    </xf>
    <xf numFmtId="14" fontId="2" fillId="0" borderId="0" xfId="516" applyNumberFormat="1" applyAlignment="1">
      <alignment horizontal="center" vertical="center"/>
    </xf>
    <xf numFmtId="4" fontId="6" fillId="0" borderId="18" xfId="0" applyNumberFormat="1" applyFont="1" applyBorder="1" applyAlignment="1">
      <alignment horizontal="center" vertical="center" wrapText="1"/>
    </xf>
    <xf numFmtId="0" fontId="14" fillId="38" borderId="18" xfId="0" applyFont="1" applyFill="1" applyBorder="1" applyAlignment="1">
      <alignment horizontal="right"/>
    </xf>
    <xf numFmtId="0" fontId="81" fillId="38" borderId="18" xfId="0" applyFont="1" applyFill="1" applyBorder="1" applyAlignment="1">
      <alignment horizontal="center" vertical="center"/>
    </xf>
    <xf numFmtId="0" fontId="14" fillId="38" borderId="18" xfId="0" applyFont="1" applyFill="1" applyBorder="1" applyAlignment="1">
      <alignment horizontal="right" vertical="center"/>
    </xf>
    <xf numFmtId="0" fontId="14" fillId="38" borderId="18" xfId="0" applyFont="1" applyFill="1" applyBorder="1" applyAlignment="1">
      <alignment horizontal="center" vertical="center"/>
    </xf>
    <xf numFmtId="0" fontId="14" fillId="31" borderId="18" xfId="0" applyFont="1" applyFill="1" applyBorder="1" applyAlignment="1">
      <alignment horizontal="right" vertical="center"/>
    </xf>
    <xf numFmtId="0" fontId="14" fillId="31" borderId="18" xfId="0" applyFont="1" applyFill="1" applyBorder="1" applyAlignment="1">
      <alignment horizontal="center" vertical="center"/>
    </xf>
    <xf numFmtId="0" fontId="14" fillId="28" borderId="18" xfId="0" applyFont="1" applyFill="1" applyBorder="1" applyAlignment="1">
      <alignment horizontal="right" vertical="center"/>
    </xf>
    <xf numFmtId="0" fontId="14" fillId="28" borderId="18" xfId="0" applyFont="1" applyFill="1" applyBorder="1" applyAlignment="1">
      <alignment horizontal="center" vertical="center"/>
    </xf>
    <xf numFmtId="0" fontId="65" fillId="31" borderId="19" xfId="0" applyFont="1" applyFill="1" applyBorder="1" applyAlignment="1">
      <alignment horizontal="center" vertical="center"/>
    </xf>
    <xf numFmtId="0" fontId="12" fillId="0" borderId="18" xfId="0" quotePrefix="1" applyFont="1" applyBorder="1" applyAlignment="1">
      <alignment horizontal="center" vertical="center"/>
    </xf>
    <xf numFmtId="0" fontId="82" fillId="0" borderId="0" xfId="0" applyFont="1" applyAlignment="1">
      <alignment horizontal="center" vertical="center"/>
    </xf>
    <xf numFmtId="14" fontId="12" fillId="0" borderId="18" xfId="0" applyNumberFormat="1" applyFont="1" applyBorder="1" applyAlignment="1">
      <alignment horizontal="center" vertical="center"/>
    </xf>
    <xf numFmtId="0" fontId="82" fillId="0" borderId="0" xfId="0" applyFont="1" applyAlignment="1">
      <alignment vertical="center"/>
    </xf>
    <xf numFmtId="0" fontId="15" fillId="0" borderId="0" xfId="548" applyFont="1" applyAlignment="1">
      <alignment vertical="center"/>
    </xf>
    <xf numFmtId="0" fontId="7" fillId="0" borderId="64" xfId="0" applyFont="1" applyBorder="1" applyAlignment="1">
      <alignment vertical="center"/>
    </xf>
    <xf numFmtId="0" fontId="7" fillId="0" borderId="24" xfId="0" applyFont="1" applyBorder="1" applyAlignment="1">
      <alignment vertical="center"/>
    </xf>
    <xf numFmtId="0" fontId="7" fillId="0" borderId="21" xfId="0" applyFont="1" applyBorder="1" applyAlignment="1">
      <alignment vertical="center"/>
    </xf>
    <xf numFmtId="0" fontId="6" fillId="0" borderId="26" xfId="0" applyFont="1" applyBorder="1" applyAlignment="1">
      <alignment vertical="center"/>
    </xf>
    <xf numFmtId="0" fontId="6" fillId="0" borderId="23" xfId="0" applyFont="1" applyBorder="1" applyAlignment="1">
      <alignment vertical="center"/>
    </xf>
    <xf numFmtId="0" fontId="9" fillId="0" borderId="0" xfId="0" applyFont="1" applyAlignment="1">
      <alignment vertical="center"/>
    </xf>
    <xf numFmtId="0" fontId="79" fillId="0" borderId="18" xfId="0" applyFont="1" applyBorder="1" applyAlignment="1">
      <alignment vertical="center"/>
    </xf>
    <xf numFmtId="0" fontId="6" fillId="0" borderId="0" xfId="0" applyFont="1" applyAlignment="1">
      <alignment vertical="center"/>
    </xf>
    <xf numFmtId="0" fontId="79" fillId="0" borderId="23" xfId="0" applyFont="1" applyBorder="1" applyAlignment="1">
      <alignment vertical="center"/>
    </xf>
    <xf numFmtId="0" fontId="6" fillId="0" borderId="63" xfId="0" applyFont="1" applyBorder="1" applyAlignment="1">
      <alignment vertical="center"/>
    </xf>
    <xf numFmtId="0" fontId="79" fillId="0" borderId="22" xfId="0" applyFont="1" applyBorder="1" applyAlignment="1">
      <alignment vertical="center"/>
    </xf>
    <xf numFmtId="0" fontId="79" fillId="0" borderId="19" xfId="0" applyFont="1" applyBorder="1" applyAlignment="1">
      <alignment vertical="center"/>
    </xf>
    <xf numFmtId="0" fontId="15" fillId="0" borderId="0" xfId="0" applyFont="1" applyAlignment="1">
      <alignment vertical="center"/>
    </xf>
    <xf numFmtId="0" fontId="9" fillId="39" borderId="23" xfId="0" applyFont="1" applyFill="1" applyBorder="1" applyAlignment="1">
      <alignment vertical="center" wrapText="1"/>
    </xf>
    <xf numFmtId="0" fontId="15" fillId="0" borderId="18" xfId="0" applyFont="1" applyBorder="1" applyAlignment="1">
      <alignment vertical="center" wrapText="1"/>
    </xf>
    <xf numFmtId="14" fontId="12" fillId="0" borderId="0" xfId="0" applyNumberFormat="1" applyFont="1" applyAlignment="1">
      <alignment vertical="center"/>
    </xf>
    <xf numFmtId="14" fontId="12" fillId="0" borderId="0" xfId="0" applyNumberFormat="1" applyFont="1" applyAlignment="1">
      <alignment horizontal="center" vertical="center"/>
    </xf>
    <xf numFmtId="0" fontId="27" fillId="38" borderId="20" xfId="0" applyFont="1" applyFill="1" applyBorder="1" applyAlignment="1">
      <alignment horizontal="center" vertical="center"/>
    </xf>
    <xf numFmtId="0" fontId="9" fillId="38" borderId="20" xfId="0" applyFont="1" applyFill="1" applyBorder="1" applyAlignment="1">
      <alignment horizontal="center" vertical="center"/>
    </xf>
    <xf numFmtId="0" fontId="80" fillId="38" borderId="20" xfId="0" applyFont="1" applyFill="1" applyBorder="1" applyAlignment="1">
      <alignment horizontal="center" vertical="center"/>
    </xf>
    <xf numFmtId="14" fontId="80" fillId="38" borderId="20" xfId="0" applyNumberFormat="1" applyFont="1" applyFill="1" applyBorder="1" applyAlignment="1">
      <alignment horizontal="center" vertical="center"/>
    </xf>
    <xf numFmtId="14" fontId="27" fillId="0" borderId="0" xfId="0" applyNumberFormat="1" applyFont="1" applyAlignment="1">
      <alignment horizontal="center" vertical="center"/>
    </xf>
    <xf numFmtId="0" fontId="79" fillId="0" borderId="0" xfId="0" applyFont="1" applyAlignment="1">
      <alignment vertical="center"/>
    </xf>
    <xf numFmtId="0" fontId="12" fillId="0" borderId="18" xfId="0" applyFont="1" applyBorder="1" applyAlignment="1">
      <alignment horizontal="left" vertical="center" wrapText="1"/>
    </xf>
    <xf numFmtId="10" fontId="24" fillId="27" borderId="20" xfId="428" applyNumberFormat="1" applyFont="1" applyFill="1" applyBorder="1" applyAlignment="1" applyProtection="1">
      <alignment horizontal="center" vertical="center" wrapText="1"/>
    </xf>
    <xf numFmtId="10" fontId="24" fillId="27" borderId="28" xfId="428" applyNumberFormat="1" applyFont="1" applyFill="1" applyBorder="1" applyAlignment="1" applyProtection="1">
      <alignment horizontal="center" vertical="center" wrapText="1"/>
    </xf>
    <xf numFmtId="0" fontId="12" fillId="0" borderId="21" xfId="0" applyFont="1" applyBorder="1" applyAlignment="1">
      <alignment horizontal="left" vertical="center" wrapText="1"/>
    </xf>
    <xf numFmtId="10" fontId="12" fillId="0" borderId="18" xfId="0" applyNumberFormat="1" applyFont="1" applyBorder="1" applyAlignment="1">
      <alignment horizontal="center" vertical="center" wrapText="1"/>
    </xf>
    <xf numFmtId="0" fontId="12" fillId="31" borderId="18" xfId="0" applyFont="1" applyFill="1" applyBorder="1" applyAlignment="1">
      <alignment horizontal="center" vertical="center" wrapText="1"/>
    </xf>
    <xf numFmtId="0" fontId="83" fillId="0" borderId="18" xfId="0" applyFont="1" applyBorder="1" applyAlignment="1">
      <alignment horizontal="center" vertical="center" wrapText="1"/>
    </xf>
    <xf numFmtId="0" fontId="79" fillId="0" borderId="0" xfId="0" applyFont="1" applyAlignment="1">
      <alignment vertical="center" wrapText="1"/>
    </xf>
    <xf numFmtId="0" fontId="83" fillId="0" borderId="0" xfId="0" applyFont="1" applyAlignment="1">
      <alignment horizontal="left" vertical="center"/>
    </xf>
    <xf numFmtId="10" fontId="79" fillId="0" borderId="18" xfId="0" applyNumberFormat="1" applyFont="1" applyBorder="1" applyAlignment="1">
      <alignment horizontal="center" vertical="center"/>
    </xf>
    <xf numFmtId="9" fontId="79" fillId="0" borderId="18" xfId="0" applyNumberFormat="1" applyFont="1" applyBorder="1" applyAlignment="1">
      <alignment horizontal="center" vertical="center" wrapText="1"/>
    </xf>
    <xf numFmtId="0" fontId="83" fillId="39" borderId="18" xfId="0" applyFont="1" applyFill="1" applyBorder="1" applyAlignment="1">
      <alignment vertical="center"/>
    </xf>
    <xf numFmtId="9" fontId="12" fillId="0" borderId="18" xfId="0" applyNumberFormat="1" applyFont="1" applyBorder="1" applyAlignment="1">
      <alignment horizontal="center" vertical="center" wrapText="1"/>
    </xf>
    <xf numFmtId="0" fontId="79" fillId="0" borderId="18" xfId="0" applyFont="1" applyBorder="1" applyAlignment="1">
      <alignment vertical="center" wrapText="1"/>
    </xf>
    <xf numFmtId="0" fontId="83" fillId="0" borderId="22" xfId="0" applyFont="1" applyBorder="1" applyAlignment="1">
      <alignment horizontal="center" vertical="center" wrapText="1"/>
    </xf>
    <xf numFmtId="0" fontId="79" fillId="0" borderId="22" xfId="0" applyFont="1" applyBorder="1" applyAlignment="1">
      <alignment horizontal="center" vertical="center" wrapText="1"/>
    </xf>
    <xf numFmtId="0" fontId="3" fillId="0" borderId="0" xfId="516" applyFont="1" applyAlignment="1">
      <alignment vertical="center"/>
    </xf>
    <xf numFmtId="0" fontId="13" fillId="0" borderId="0" xfId="0" applyFont="1" applyAlignment="1">
      <alignment vertical="center"/>
    </xf>
    <xf numFmtId="0" fontId="22" fillId="0" borderId="0" xfId="0" applyFont="1" applyAlignment="1">
      <alignment vertical="center"/>
    </xf>
    <xf numFmtId="14" fontId="27" fillId="30" borderId="18" xfId="0" applyNumberFormat="1" applyFont="1" applyFill="1" applyBorder="1" applyAlignment="1">
      <alignment horizontal="center" vertical="center"/>
    </xf>
    <xf numFmtId="0" fontId="14" fillId="0" borderId="0" xfId="0" applyFont="1" applyAlignment="1">
      <alignment horizontal="center" vertical="center"/>
    </xf>
    <xf numFmtId="0" fontId="20" fillId="39" borderId="18" xfId="0" applyFont="1" applyFill="1" applyBorder="1" applyAlignment="1">
      <alignment horizontal="center" vertical="center"/>
    </xf>
    <xf numFmtId="9" fontId="12" fillId="0" borderId="0" xfId="0" applyNumberFormat="1" applyFont="1" applyAlignment="1">
      <alignment horizontal="center" vertical="center" wrapText="1"/>
    </xf>
    <xf numFmtId="0" fontId="0" fillId="39" borderId="0" xfId="0" applyFill="1" applyAlignment="1">
      <alignment horizontal="center" vertical="center"/>
    </xf>
    <xf numFmtId="10" fontId="12" fillId="0" borderId="0" xfId="0" applyNumberFormat="1" applyFont="1" applyAlignment="1">
      <alignment horizontal="center" vertical="center" wrapText="1"/>
    </xf>
    <xf numFmtId="0" fontId="20" fillId="0" borderId="0" xfId="0" applyFont="1" applyAlignment="1">
      <alignment horizontal="left"/>
    </xf>
    <xf numFmtId="10" fontId="20" fillId="0" borderId="20" xfId="0" applyNumberFormat="1" applyFont="1" applyBorder="1" applyAlignment="1">
      <alignment horizontal="center" vertical="center"/>
    </xf>
    <xf numFmtId="0" fontId="24" fillId="0" borderId="20" xfId="0" applyFont="1" applyBorder="1" applyAlignment="1">
      <alignment horizontal="center" vertical="center" wrapText="1"/>
    </xf>
    <xf numFmtId="2" fontId="65" fillId="0" borderId="18" xfId="0" applyNumberFormat="1" applyFont="1" applyBorder="1" applyAlignment="1">
      <alignment horizontal="center" vertical="center"/>
    </xf>
    <xf numFmtId="2" fontId="65" fillId="27" borderId="18" xfId="0" applyNumberFormat="1" applyFont="1" applyFill="1" applyBorder="1" applyAlignment="1">
      <alignment horizontal="center" vertical="center"/>
    </xf>
    <xf numFmtId="0" fontId="15" fillId="0" borderId="0" xfId="516" applyFont="1" applyAlignment="1">
      <alignment horizontal="left" vertical="center"/>
    </xf>
    <xf numFmtId="0" fontId="15" fillId="0" borderId="0" xfId="516" applyFont="1" applyAlignment="1">
      <alignment horizontal="left"/>
    </xf>
    <xf numFmtId="0" fontId="83" fillId="0" borderId="19" xfId="0" applyFont="1" applyBorder="1" applyAlignment="1">
      <alignment horizontal="center" vertical="center" wrapText="1"/>
    </xf>
    <xf numFmtId="167" fontId="66" fillId="0" borderId="18" xfId="0" applyNumberFormat="1" applyFont="1" applyBorder="1" applyAlignment="1">
      <alignment horizontal="center"/>
    </xf>
    <xf numFmtId="167" fontId="66" fillId="0" borderId="18" xfId="428" applyNumberFormat="1" applyFont="1" applyFill="1" applyBorder="1" applyAlignment="1" applyProtection="1">
      <alignment horizontal="center"/>
    </xf>
    <xf numFmtId="167" fontId="66" fillId="0" borderId="18" xfId="428" applyNumberFormat="1" applyFont="1" applyBorder="1" applyAlignment="1" applyProtection="1">
      <alignment horizontal="center"/>
    </xf>
    <xf numFmtId="0" fontId="12" fillId="0" borderId="50" xfId="0" applyFont="1" applyBorder="1" applyAlignment="1">
      <alignment horizontal="center" vertical="center"/>
    </xf>
    <xf numFmtId="0" fontId="55" fillId="0" borderId="0" xfId="0" applyFont="1"/>
    <xf numFmtId="0" fontId="84" fillId="0" borderId="0" xfId="0" applyFont="1"/>
    <xf numFmtId="0" fontId="83" fillId="0" borderId="26" xfId="0" applyFont="1" applyBorder="1" applyAlignment="1">
      <alignment vertical="center" wrapText="1"/>
    </xf>
    <xf numFmtId="0" fontId="83" fillId="0" borderId="23" xfId="0" applyFont="1" applyBorder="1" applyAlignment="1">
      <alignment horizontal="right" vertical="center" wrapText="1"/>
    </xf>
    <xf numFmtId="0" fontId="19" fillId="0" borderId="0" xfId="0" applyFont="1" applyAlignment="1">
      <alignment horizontal="left" vertical="center"/>
    </xf>
    <xf numFmtId="0" fontId="14" fillId="39" borderId="0" xfId="0" applyFont="1" applyFill="1" applyAlignment="1">
      <alignment vertical="center"/>
    </xf>
    <xf numFmtId="0" fontId="9" fillId="0" borderId="23" xfId="548" applyFont="1" applyBorder="1" applyAlignment="1">
      <alignment vertical="center"/>
    </xf>
    <xf numFmtId="0" fontId="14" fillId="0" borderId="0" xfId="0" applyFont="1" applyAlignment="1">
      <alignment vertical="top"/>
    </xf>
    <xf numFmtId="0" fontId="6" fillId="72" borderId="18" xfId="0" applyFont="1" applyFill="1" applyBorder="1" applyAlignment="1">
      <alignment vertical="center"/>
    </xf>
    <xf numFmtId="0" fontId="9" fillId="72" borderId="0" xfId="516" applyFont="1" applyFill="1" applyAlignment="1">
      <alignment horizontal="left" vertical="center"/>
    </xf>
    <xf numFmtId="0" fontId="20" fillId="73" borderId="18" xfId="0" applyFont="1" applyFill="1" applyBorder="1" applyAlignment="1">
      <alignment horizontal="center" vertical="center"/>
    </xf>
    <xf numFmtId="0" fontId="6" fillId="0" borderId="20" xfId="0" applyFont="1" applyBorder="1" applyAlignment="1">
      <alignment vertical="center" wrapText="1"/>
    </xf>
    <xf numFmtId="10" fontId="7" fillId="27" borderId="20" xfId="428" applyNumberFormat="1" applyFont="1" applyFill="1" applyBorder="1" applyAlignment="1" applyProtection="1">
      <alignment horizontal="center" vertical="center" wrapText="1"/>
    </xf>
    <xf numFmtId="1" fontId="65" fillId="74" borderId="18" xfId="0" applyNumberFormat="1" applyFont="1" applyFill="1" applyBorder="1" applyAlignment="1">
      <alignment horizontal="center" vertical="center"/>
    </xf>
    <xf numFmtId="1" fontId="7" fillId="33" borderId="20" xfId="0" applyNumberFormat="1" applyFont="1" applyFill="1" applyBorder="1" applyAlignment="1" applyProtection="1">
      <alignment horizontal="center" vertical="center"/>
      <protection locked="0"/>
    </xf>
    <xf numFmtId="0" fontId="6" fillId="73" borderId="0" xfId="548" applyFont="1" applyFill="1" applyAlignment="1">
      <alignment vertical="center"/>
    </xf>
    <xf numFmtId="1" fontId="7" fillId="40" borderId="20" xfId="0" applyNumberFormat="1" applyFont="1" applyFill="1" applyBorder="1" applyAlignment="1" applyProtection="1">
      <alignment horizontal="center" vertical="center" wrapText="1"/>
      <protection locked="0"/>
    </xf>
    <xf numFmtId="0" fontId="20" fillId="74" borderId="18" xfId="0" applyFont="1" applyFill="1" applyBorder="1" applyAlignment="1">
      <alignment horizontal="center" vertical="center"/>
    </xf>
    <xf numFmtId="9" fontId="20" fillId="74" borderId="18" xfId="0" applyNumberFormat="1" applyFont="1" applyFill="1" applyBorder="1" applyAlignment="1">
      <alignment horizontal="center" vertical="center"/>
    </xf>
    <xf numFmtId="0" fontId="24" fillId="75" borderId="20" xfId="428" applyNumberFormat="1" applyFont="1" applyFill="1" applyBorder="1" applyAlignment="1" applyProtection="1">
      <alignment horizontal="center" vertical="center" wrapText="1"/>
      <protection locked="0"/>
    </xf>
    <xf numFmtId="0" fontId="14" fillId="73" borderId="25" xfId="0" applyFont="1" applyFill="1" applyBorder="1"/>
    <xf numFmtId="0" fontId="66" fillId="73" borderId="25" xfId="0" applyFont="1" applyFill="1" applyBorder="1"/>
    <xf numFmtId="0" fontId="14" fillId="73" borderId="25" xfId="0" applyFont="1" applyFill="1" applyBorder="1" applyAlignment="1">
      <alignment horizontal="left" vertical="center"/>
    </xf>
    <xf numFmtId="0" fontId="12" fillId="73" borderId="25" xfId="0" applyFont="1" applyFill="1" applyBorder="1" applyAlignment="1">
      <alignment horizontal="left" vertical="center"/>
    </xf>
    <xf numFmtId="0" fontId="12" fillId="0" borderId="24" xfId="0" applyFont="1" applyBorder="1" applyAlignment="1">
      <alignment vertical="center"/>
    </xf>
    <xf numFmtId="14" fontId="14" fillId="0" borderId="0" xfId="0" applyNumberFormat="1" applyFont="1" applyAlignment="1">
      <alignment vertical="center"/>
    </xf>
    <xf numFmtId="14" fontId="14" fillId="0" borderId="66" xfId="0" applyNumberFormat="1" applyFont="1" applyBorder="1" applyAlignment="1">
      <alignment vertical="center"/>
    </xf>
    <xf numFmtId="0" fontId="2" fillId="0" borderId="66" xfId="516" applyBorder="1" applyAlignment="1">
      <alignment vertical="center"/>
    </xf>
    <xf numFmtId="0" fontId="88" fillId="0" borderId="21" xfId="0" applyFont="1" applyBorder="1" applyAlignment="1">
      <alignment vertical="center"/>
    </xf>
    <xf numFmtId="1" fontId="20" fillId="0" borderId="0" xfId="0" applyNumberFormat="1" applyFont="1" applyAlignment="1">
      <alignment vertical="center"/>
    </xf>
    <xf numFmtId="14" fontId="2" fillId="0" borderId="0" xfId="516" applyNumberFormat="1" applyAlignment="1">
      <alignment vertical="center"/>
    </xf>
    <xf numFmtId="14" fontId="2" fillId="0" borderId="66" xfId="516" applyNumberFormat="1" applyBorder="1" applyAlignment="1">
      <alignment vertical="center"/>
    </xf>
    <xf numFmtId="0" fontId="20" fillId="0" borderId="0" xfId="0" quotePrefix="1" applyFont="1"/>
    <xf numFmtId="0" fontId="27" fillId="0" borderId="18" xfId="528" applyFont="1" applyBorder="1" applyAlignment="1">
      <alignment vertical="center"/>
    </xf>
    <xf numFmtId="0" fontId="11" fillId="0" borderId="18" xfId="526" applyFont="1" applyBorder="1"/>
    <xf numFmtId="0" fontId="0" fillId="0" borderId="18" xfId="0" applyBorder="1"/>
    <xf numFmtId="0" fontId="14" fillId="0" borderId="23" xfId="0" applyFont="1" applyBorder="1"/>
    <xf numFmtId="0" fontId="20" fillId="0" borderId="18" xfId="0" applyFont="1" applyBorder="1" applyAlignment="1">
      <alignment vertical="center"/>
    </xf>
    <xf numFmtId="0" fontId="15" fillId="0" borderId="36" xfId="0" applyFont="1" applyBorder="1" applyAlignment="1">
      <alignment vertical="center"/>
    </xf>
    <xf numFmtId="0" fontId="15" fillId="33" borderId="18" xfId="0" applyFont="1" applyFill="1" applyBorder="1" applyAlignment="1" applyProtection="1">
      <alignment horizontal="center" vertical="center"/>
      <protection locked="0"/>
    </xf>
    <xf numFmtId="0" fontId="9" fillId="0" borderId="0" xfId="516" applyFont="1" applyAlignment="1">
      <alignment vertical="center" wrapText="1"/>
    </xf>
    <xf numFmtId="0" fontId="15" fillId="33" borderId="18" xfId="0" applyFont="1" applyFill="1" applyBorder="1" applyAlignment="1" applyProtection="1">
      <alignment horizontal="center" vertical="center" wrapText="1"/>
      <protection locked="0"/>
    </xf>
    <xf numFmtId="0" fontId="110" fillId="77" borderId="18" xfId="0" applyFont="1" applyFill="1" applyBorder="1" applyAlignment="1" applyProtection="1">
      <alignment horizontal="center" vertical="center"/>
      <protection locked="0"/>
    </xf>
    <xf numFmtId="0" fontId="110" fillId="77" borderId="18" xfId="0" applyFont="1" applyFill="1" applyBorder="1" applyAlignment="1" applyProtection="1">
      <alignment horizontal="center" vertical="center" wrapText="1"/>
      <protection locked="0"/>
    </xf>
    <xf numFmtId="0" fontId="2" fillId="0" borderId="0" xfId="516" applyAlignment="1">
      <alignment vertical="center" wrapText="1"/>
    </xf>
    <xf numFmtId="0" fontId="86" fillId="0" borderId="69" xfId="0" quotePrefix="1" applyFont="1" applyBorder="1" applyAlignment="1">
      <alignment vertical="center" wrapText="1"/>
    </xf>
    <xf numFmtId="0" fontId="86" fillId="0" borderId="0" xfId="0" quotePrefix="1" applyFont="1" applyAlignment="1">
      <alignment vertical="center" wrapText="1"/>
    </xf>
    <xf numFmtId="0" fontId="15" fillId="0" borderId="18" xfId="516" applyFont="1" applyBorder="1" applyAlignment="1">
      <alignment horizontal="center" vertical="center" wrapText="1"/>
    </xf>
    <xf numFmtId="0" fontId="110" fillId="77" borderId="18" xfId="0" applyFont="1" applyFill="1" applyBorder="1" applyAlignment="1">
      <alignment horizontal="center" vertical="center"/>
    </xf>
    <xf numFmtId="165" fontId="2" fillId="72" borderId="0" xfId="516" applyNumberFormat="1" applyFill="1" applyAlignment="1">
      <alignment vertical="center"/>
    </xf>
    <xf numFmtId="0" fontId="16" fillId="0" borderId="0" xfId="0" quotePrefix="1" applyFont="1" applyAlignment="1">
      <alignment horizontal="center" vertical="center"/>
    </xf>
    <xf numFmtId="167" fontId="14" fillId="34" borderId="18" xfId="437" applyNumberFormat="1" applyFont="1" applyFill="1" applyBorder="1" applyAlignment="1" applyProtection="1">
      <alignment horizontal="center" vertical="center" wrapText="1"/>
    </xf>
    <xf numFmtId="167" fontId="66" fillId="0" borderId="0" xfId="428" applyNumberFormat="1" applyFont="1" applyFill="1" applyBorder="1" applyAlignment="1" applyProtection="1">
      <alignment horizontal="center" vertical="center" wrapText="1"/>
    </xf>
    <xf numFmtId="0" fontId="124" fillId="0" borderId="0" xfId="516" applyFont="1" applyAlignment="1">
      <alignment horizontal="left" vertical="center" wrapText="1"/>
    </xf>
    <xf numFmtId="0" fontId="109" fillId="0" borderId="0" xfId="0" applyFont="1" applyAlignment="1">
      <alignment vertical="center" wrapText="1"/>
    </xf>
    <xf numFmtId="0" fontId="16" fillId="0" borderId="0" xfId="0" applyFont="1" applyAlignment="1">
      <alignment vertical="top"/>
    </xf>
    <xf numFmtId="0" fontId="6" fillId="0" borderId="0" xfId="0" applyFont="1" applyAlignment="1">
      <alignment vertical="center" wrapText="1"/>
    </xf>
    <xf numFmtId="0" fontId="123" fillId="0" borderId="0" xfId="0" applyFont="1"/>
    <xf numFmtId="0" fontId="107" fillId="0" borderId="0" xfId="0" applyFont="1" applyAlignment="1">
      <alignment vertical="center"/>
    </xf>
    <xf numFmtId="0" fontId="15" fillId="0" borderId="18" xfId="0" applyFont="1" applyBorder="1" applyAlignment="1">
      <alignment horizontal="center" vertical="center"/>
    </xf>
    <xf numFmtId="0" fontId="27" fillId="0" borderId="18" xfId="0" applyFont="1" applyBorder="1" applyAlignment="1">
      <alignment horizontal="left" vertical="center" wrapText="1"/>
    </xf>
    <xf numFmtId="0" fontId="27" fillId="0" borderId="18" xfId="0" applyFont="1" applyBorder="1" applyAlignment="1">
      <alignment horizontal="center" vertical="center" wrapText="1"/>
    </xf>
    <xf numFmtId="0" fontId="9" fillId="0" borderId="18" xfId="0" applyFont="1" applyBorder="1" applyAlignment="1">
      <alignment horizontal="left" vertical="center" wrapText="1"/>
    </xf>
    <xf numFmtId="0" fontId="15" fillId="0" borderId="20" xfId="0" applyFont="1" applyBorder="1" applyAlignment="1">
      <alignment textRotation="90" wrapText="1"/>
    </xf>
    <xf numFmtId="0" fontId="16" fillId="79" borderId="0" xfId="0" applyFont="1" applyFill="1"/>
    <xf numFmtId="9" fontId="20" fillId="0" borderId="18" xfId="429" applyFont="1" applyBorder="1" applyAlignment="1" applyProtection="1">
      <alignment horizontal="center" vertical="center"/>
    </xf>
    <xf numFmtId="0" fontId="20" fillId="0" borderId="18" xfId="429" applyNumberFormat="1" applyFont="1" applyBorder="1" applyAlignment="1" applyProtection="1">
      <alignment horizontal="center" vertical="center"/>
    </xf>
    <xf numFmtId="9" fontId="20" fillId="34" borderId="18" xfId="429" applyFont="1" applyFill="1" applyBorder="1" applyAlignment="1" applyProtection="1">
      <alignment horizontal="center" vertical="center"/>
    </xf>
    <xf numFmtId="0" fontId="20" fillId="34" borderId="18" xfId="429" applyNumberFormat="1" applyFont="1" applyFill="1" applyBorder="1" applyAlignment="1" applyProtection="1">
      <alignment horizontal="center" vertical="center"/>
    </xf>
    <xf numFmtId="9" fontId="20" fillId="0" borderId="18" xfId="429" applyFont="1" applyFill="1" applyBorder="1" applyAlignment="1" applyProtection="1">
      <alignment horizontal="center" vertical="center"/>
    </xf>
    <xf numFmtId="9" fontId="20" fillId="74" borderId="18" xfId="429" applyFont="1" applyFill="1" applyBorder="1" applyAlignment="1" applyProtection="1">
      <alignment horizontal="center" vertical="center"/>
    </xf>
    <xf numFmtId="0" fontId="15" fillId="33" borderId="32" xfId="0" applyFont="1" applyFill="1" applyBorder="1" applyAlignment="1" applyProtection="1">
      <alignment horizontal="center" vertical="center"/>
      <protection locked="0"/>
    </xf>
    <xf numFmtId="10" fontId="15" fillId="0" borderId="35" xfId="0" applyNumberFormat="1" applyFont="1" applyBorder="1" applyAlignment="1">
      <alignment horizontal="center" vertical="center"/>
    </xf>
    <xf numFmtId="0" fontId="15" fillId="33" borderId="29" xfId="0" applyFont="1" applyFill="1" applyBorder="1" applyAlignment="1" applyProtection="1">
      <alignment horizontal="center" vertical="center"/>
      <protection locked="0"/>
    </xf>
    <xf numFmtId="0" fontId="15" fillId="0" borderId="20" xfId="0" applyFont="1" applyBorder="1" applyAlignment="1">
      <alignment horizontal="center" textRotation="90" wrapText="1"/>
    </xf>
    <xf numFmtId="0" fontId="27" fillId="0" borderId="18" xfId="0" applyFont="1" applyBorder="1" applyAlignment="1">
      <alignment vertical="center" wrapText="1"/>
    </xf>
    <xf numFmtId="0" fontId="2" fillId="0" borderId="0" xfId="0" applyFont="1" applyAlignment="1">
      <alignment horizontal="center" vertical="center" wrapText="1"/>
    </xf>
    <xf numFmtId="10" fontId="2" fillId="0" borderId="0" xfId="441" applyNumberFormat="1" applyFont="1" applyFill="1" applyBorder="1" applyAlignment="1" applyProtection="1">
      <alignment horizontal="center" vertical="center" wrapText="1"/>
    </xf>
    <xf numFmtId="165" fontId="2" fillId="0" borderId="0" xfId="441" applyNumberFormat="1" applyFont="1" applyFill="1" applyBorder="1" applyAlignment="1" applyProtection="1">
      <alignment horizontal="center" vertical="center" wrapText="1"/>
    </xf>
    <xf numFmtId="10" fontId="14" fillId="0" borderId="0" xfId="0" applyNumberFormat="1" applyFont="1" applyAlignment="1">
      <alignment vertical="center"/>
    </xf>
    <xf numFmtId="0" fontId="15" fillId="0" borderId="30" xfId="0" applyFont="1" applyBorder="1" applyAlignment="1">
      <alignment horizontal="center" vertical="center" wrapText="1"/>
    </xf>
    <xf numFmtId="0" fontId="127" fillId="0" borderId="0" xfId="0" applyFont="1"/>
    <xf numFmtId="0" fontId="20" fillId="0" borderId="18" xfId="0" quotePrefix="1" applyFont="1" applyBorder="1" applyAlignment="1">
      <alignment horizontal="center" vertical="center"/>
    </xf>
    <xf numFmtId="0" fontId="20" fillId="78" borderId="18" xfId="0" applyFont="1" applyFill="1" applyBorder="1" applyAlignment="1">
      <alignment horizontal="center" vertical="center"/>
    </xf>
    <xf numFmtId="9" fontId="20" fillId="78" borderId="18" xfId="0" applyNumberFormat="1" applyFont="1" applyFill="1" applyBorder="1" applyAlignment="1">
      <alignment horizontal="center" vertical="center"/>
    </xf>
    <xf numFmtId="0" fontId="20" fillId="78" borderId="18" xfId="0" quotePrefix="1" applyFont="1" applyFill="1" applyBorder="1" applyAlignment="1">
      <alignment horizontal="center" vertical="center"/>
    </xf>
    <xf numFmtId="9" fontId="20" fillId="78" borderId="18" xfId="429" applyFont="1" applyFill="1" applyBorder="1" applyAlignment="1" applyProtection="1">
      <alignment horizontal="center" vertical="center"/>
    </xf>
    <xf numFmtId="0" fontId="15" fillId="34" borderId="93" xfId="0" applyFont="1" applyFill="1" applyBorder="1" applyAlignment="1">
      <alignment horizontal="center" vertical="center" wrapText="1"/>
    </xf>
    <xf numFmtId="0" fontId="15" fillId="34" borderId="93" xfId="0" applyFont="1" applyFill="1" applyBorder="1" applyAlignment="1">
      <alignment horizontal="center" vertical="top" wrapText="1"/>
    </xf>
    <xf numFmtId="0" fontId="79" fillId="29" borderId="34" xfId="0" applyFont="1" applyFill="1" applyBorder="1" applyAlignment="1">
      <alignment horizontal="center" vertical="center" wrapText="1"/>
    </xf>
    <xf numFmtId="0" fontId="79" fillId="38" borderId="34" xfId="0" applyFont="1" applyFill="1" applyBorder="1" applyAlignment="1">
      <alignment horizontal="center" vertical="center" wrapText="1"/>
    </xf>
    <xf numFmtId="0" fontId="15" fillId="0" borderId="69" xfId="0" applyFont="1" applyBorder="1" applyAlignment="1">
      <alignment horizontal="center" vertical="center"/>
    </xf>
    <xf numFmtId="0" fontId="15" fillId="0" borderId="46" xfId="0" applyFont="1" applyBorder="1" applyAlignment="1">
      <alignment horizontal="center" vertical="center"/>
    </xf>
    <xf numFmtId="0" fontId="12" fillId="0" borderId="98" xfId="0" applyFont="1" applyBorder="1" applyAlignment="1">
      <alignment horizontal="center" vertical="center" wrapText="1"/>
    </xf>
    <xf numFmtId="0" fontId="12" fillId="0" borderId="62" xfId="0" applyFont="1" applyBorder="1" applyAlignment="1">
      <alignment horizontal="center" vertical="center" wrapText="1"/>
    </xf>
    <xf numFmtId="1" fontId="12" fillId="0" borderId="0" xfId="0" quotePrefix="1" applyNumberFormat="1" applyFont="1" applyAlignment="1">
      <alignment vertical="center"/>
    </xf>
    <xf numFmtId="1" fontId="12" fillId="0" borderId="0" xfId="0" applyNumberFormat="1" applyFont="1" applyAlignment="1">
      <alignment vertical="center"/>
    </xf>
    <xf numFmtId="0" fontId="6" fillId="82" borderId="18" xfId="0" applyFont="1" applyFill="1" applyBorder="1" applyAlignment="1">
      <alignment vertical="center"/>
    </xf>
    <xf numFmtId="0" fontId="6" fillId="83" borderId="18" xfId="0" applyFont="1" applyFill="1" applyBorder="1" applyAlignment="1">
      <alignment vertical="center"/>
    </xf>
    <xf numFmtId="0" fontId="104" fillId="0" borderId="0" xfId="0" applyFont="1" applyAlignment="1">
      <alignment horizontal="left" vertical="center"/>
    </xf>
    <xf numFmtId="0" fontId="12" fillId="83" borderId="18" xfId="0" applyFont="1" applyFill="1" applyBorder="1"/>
    <xf numFmtId="0" fontId="6" fillId="80" borderId="18" xfId="0" applyFont="1" applyFill="1" applyBorder="1" applyAlignment="1">
      <alignment vertical="center"/>
    </xf>
    <xf numFmtId="0" fontId="12" fillId="83" borderId="0" xfId="0" applyFont="1" applyFill="1"/>
    <xf numFmtId="0" fontId="12" fillId="0" borderId="18" xfId="0" applyFont="1" applyBorder="1"/>
    <xf numFmtId="1" fontId="12" fillId="0" borderId="0" xfId="0" applyNumberFormat="1" applyFont="1"/>
    <xf numFmtId="0" fontId="12" fillId="82" borderId="18" xfId="0" applyFont="1" applyFill="1" applyBorder="1"/>
    <xf numFmtId="0" fontId="15" fillId="81" borderId="20" xfId="0" applyFont="1" applyFill="1" applyBorder="1" applyAlignment="1">
      <alignment horizontal="center" vertical="center"/>
    </xf>
    <xf numFmtId="10" fontId="15" fillId="0" borderId="49" xfId="0" applyNumberFormat="1" applyFont="1" applyBorder="1" applyAlignment="1">
      <alignment horizontal="center" vertical="center"/>
    </xf>
    <xf numFmtId="10" fontId="15" fillId="0" borderId="97" xfId="0" applyNumberFormat="1" applyFont="1" applyBorder="1" applyAlignment="1">
      <alignment horizontal="center" vertical="center"/>
    </xf>
    <xf numFmtId="2" fontId="65" fillId="78" borderId="18" xfId="0" applyNumberFormat="1" applyFont="1" applyFill="1" applyBorder="1" applyAlignment="1">
      <alignment horizontal="center" vertical="center"/>
    </xf>
    <xf numFmtId="0" fontId="16" fillId="73" borderId="0" xfId="0" applyFont="1" applyFill="1" applyAlignment="1">
      <alignment vertical="center"/>
    </xf>
    <xf numFmtId="0" fontId="82" fillId="0" borderId="0" xfId="0" applyFont="1" applyAlignment="1">
      <alignment horizontal="left" vertical="center"/>
    </xf>
    <xf numFmtId="0" fontId="109" fillId="0" borderId="0" xfId="0" applyFont="1"/>
    <xf numFmtId="0" fontId="129" fillId="27" borderId="0" xfId="0" applyFont="1" applyFill="1"/>
    <xf numFmtId="0" fontId="129" fillId="0" borderId="0" xfId="0" applyFont="1"/>
    <xf numFmtId="0" fontId="129" fillId="0" borderId="0" xfId="0" applyFont="1" applyAlignment="1">
      <alignment horizontal="center" vertical="center"/>
    </xf>
    <xf numFmtId="0" fontId="117" fillId="0" borderId="26" xfId="0" applyFont="1" applyBorder="1" applyAlignment="1">
      <alignment horizontal="center" vertical="center"/>
    </xf>
    <xf numFmtId="0" fontId="117" fillId="0" borderId="18" xfId="0" applyFont="1" applyBorder="1" applyAlignment="1">
      <alignment horizontal="center" vertical="center" wrapText="1"/>
    </xf>
    <xf numFmtId="0" fontId="117" fillId="0" borderId="18" xfId="0" applyFont="1" applyBorder="1" applyAlignment="1">
      <alignment horizontal="center" vertical="center"/>
    </xf>
    <xf numFmtId="0" fontId="117" fillId="0" borderId="23" xfId="0" applyFont="1" applyBorder="1" applyAlignment="1">
      <alignment horizontal="center" vertical="center" wrapText="1"/>
    </xf>
    <xf numFmtId="1" fontId="7" fillId="30" borderId="20" xfId="0" applyNumberFormat="1" applyFont="1" applyFill="1" applyBorder="1" applyAlignment="1">
      <alignment horizontal="center" vertical="center" wrapText="1"/>
    </xf>
    <xf numFmtId="0" fontId="20" fillId="0" borderId="18" xfId="429" applyNumberFormat="1" applyFont="1" applyFill="1" applyBorder="1" applyAlignment="1" applyProtection="1">
      <alignment horizontal="center" vertical="center"/>
    </xf>
    <xf numFmtId="0" fontId="20" fillId="78" borderId="18" xfId="429" applyNumberFormat="1" applyFont="1" applyFill="1" applyBorder="1" applyAlignment="1" applyProtection="1">
      <alignment horizontal="center" vertical="center"/>
    </xf>
    <xf numFmtId="1" fontId="65" fillId="78" borderId="18" xfId="0" applyNumberFormat="1" applyFont="1" applyFill="1" applyBorder="1" applyAlignment="1">
      <alignment horizontal="center" vertical="center"/>
    </xf>
    <xf numFmtId="0" fontId="107" fillId="0" borderId="0" xfId="0" applyFont="1"/>
    <xf numFmtId="0" fontId="138" fillId="0" borderId="0" xfId="0" applyFont="1"/>
    <xf numFmtId="49" fontId="122" fillId="0" borderId="0" xfId="0" applyNumberFormat="1" applyFont="1" applyAlignment="1">
      <alignment horizontal="center" vertical="center" wrapText="1" readingOrder="1"/>
    </xf>
    <xf numFmtId="49" fontId="6" fillId="0" borderId="0" xfId="0" applyNumberFormat="1" applyFont="1" applyAlignment="1">
      <alignment horizontal="center" vertical="center" wrapText="1" readingOrder="1"/>
    </xf>
    <xf numFmtId="0" fontId="6" fillId="0" borderId="0" xfId="0" applyFont="1" applyAlignment="1">
      <alignment horizontal="left" vertical="center" wrapText="1" readingOrder="1"/>
    </xf>
    <xf numFmtId="0" fontId="122" fillId="0" borderId="0" xfId="0" applyFont="1" applyAlignment="1">
      <alignment horizontal="left" vertical="center" wrapText="1" readingOrder="1"/>
    </xf>
    <xf numFmtId="0" fontId="131" fillId="0" borderId="0" xfId="0" applyFont="1" applyAlignment="1">
      <alignment horizontal="left" vertical="center" wrapText="1" readingOrder="1"/>
    </xf>
    <xf numFmtId="0" fontId="85" fillId="0" borderId="0" xfId="0" applyFont="1" applyAlignment="1">
      <alignment horizontal="left" vertical="center" wrapText="1" readingOrder="1"/>
    </xf>
    <xf numFmtId="0" fontId="87" fillId="0" borderId="0" xfId="0" applyFont="1" applyAlignment="1">
      <alignment horizontal="center" vertical="center" wrapText="1" readingOrder="1"/>
    </xf>
    <xf numFmtId="10" fontId="7" fillId="27" borderId="0" xfId="428" applyNumberFormat="1" applyFont="1" applyFill="1" applyBorder="1" applyAlignment="1" applyProtection="1">
      <alignment horizontal="center" vertical="center" wrapText="1"/>
    </xf>
    <xf numFmtId="0" fontId="130" fillId="0" borderId="0" xfId="0" applyFont="1" applyAlignment="1">
      <alignment horizontal="center" vertical="center" wrapText="1"/>
    </xf>
    <xf numFmtId="0" fontId="7"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139" fillId="0" borderId="0" xfId="0" applyFont="1"/>
    <xf numFmtId="165" fontId="6" fillId="84" borderId="27" xfId="429" applyNumberFormat="1" applyFont="1" applyFill="1" applyBorder="1" applyAlignment="1" applyProtection="1">
      <alignment horizontal="center" vertical="center"/>
    </xf>
    <xf numFmtId="9" fontId="6" fillId="84" borderId="20" xfId="429" applyFont="1" applyFill="1" applyBorder="1" applyAlignment="1" applyProtection="1">
      <alignment horizontal="center" vertical="center"/>
    </xf>
    <xf numFmtId="165" fontId="6" fillId="85" borderId="70" xfId="429" applyNumberFormat="1" applyFont="1" applyFill="1" applyBorder="1" applyAlignment="1" applyProtection="1">
      <alignment horizontal="center" vertical="center"/>
    </xf>
    <xf numFmtId="165" fontId="6" fillId="85" borderId="28" xfId="429" applyNumberFormat="1" applyFont="1" applyFill="1" applyBorder="1" applyAlignment="1" applyProtection="1">
      <alignment horizontal="center" vertical="center"/>
    </xf>
    <xf numFmtId="165" fontId="6" fillId="0" borderId="27" xfId="429" applyNumberFormat="1" applyFont="1" applyFill="1" applyBorder="1" applyAlignment="1" applyProtection="1">
      <alignment horizontal="center" vertical="center"/>
    </xf>
    <xf numFmtId="165" fontId="6" fillId="0" borderId="29" xfId="429" applyNumberFormat="1" applyFont="1" applyFill="1" applyBorder="1" applyAlignment="1" applyProtection="1">
      <alignment horizontal="center" vertical="top"/>
    </xf>
    <xf numFmtId="165" fontId="6" fillId="87" borderId="32" xfId="429" applyNumberFormat="1" applyFont="1" applyFill="1" applyBorder="1" applyAlignment="1" applyProtection="1">
      <alignment horizontal="center" vertical="center"/>
    </xf>
    <xf numFmtId="165" fontId="6" fillId="87" borderId="29" xfId="429" applyNumberFormat="1" applyFont="1" applyFill="1" applyBorder="1" applyAlignment="1" applyProtection="1">
      <alignment horizontal="center" vertical="center"/>
    </xf>
    <xf numFmtId="165" fontId="6" fillId="87" borderId="27" xfId="429" applyNumberFormat="1" applyFont="1" applyFill="1" applyBorder="1" applyAlignment="1" applyProtection="1">
      <alignment horizontal="center" vertical="center"/>
    </xf>
    <xf numFmtId="165" fontId="6" fillId="87" borderId="20" xfId="429" applyNumberFormat="1" applyFont="1" applyFill="1" applyBorder="1" applyAlignment="1" applyProtection="1">
      <alignment horizontal="center" vertical="center"/>
    </xf>
    <xf numFmtId="0" fontId="9" fillId="0" borderId="18" xfId="0" applyFont="1" applyBorder="1" applyAlignment="1">
      <alignment horizontal="left" vertical="center" wrapText="1"/>
    </xf>
    <xf numFmtId="0" fontId="9" fillId="0" borderId="18" xfId="0" applyFont="1" applyBorder="1" applyAlignment="1">
      <alignment horizontal="left" vertical="center"/>
    </xf>
    <xf numFmtId="0" fontId="119" fillId="0" borderId="18" xfId="0" applyFont="1" applyBorder="1" applyAlignment="1">
      <alignment horizontal="left" vertical="center"/>
    </xf>
    <xf numFmtId="0" fontId="9" fillId="0" borderId="18" xfId="516" applyFont="1" applyBorder="1" applyAlignment="1">
      <alignment horizontal="left" vertical="center" wrapText="1"/>
    </xf>
    <xf numFmtId="0" fontId="9" fillId="0" borderId="23" xfId="516" applyFont="1" applyBorder="1" applyAlignment="1">
      <alignment horizontal="left" vertical="center" wrapText="1"/>
    </xf>
    <xf numFmtId="0" fontId="120" fillId="77" borderId="18" xfId="0" applyFont="1" applyFill="1" applyBorder="1" applyAlignment="1">
      <alignment horizontal="left" vertical="center" wrapText="1"/>
    </xf>
    <xf numFmtId="0" fontId="15" fillId="33" borderId="18" xfId="0" applyFont="1" applyFill="1" applyBorder="1" applyAlignment="1" applyProtection="1">
      <alignment horizontal="center" vertical="center"/>
      <protection locked="0"/>
    </xf>
    <xf numFmtId="0" fontId="15" fillId="0" borderId="94" xfId="0" applyFont="1" applyBorder="1" applyAlignment="1">
      <alignment horizontal="center" vertical="center"/>
    </xf>
    <xf numFmtId="0" fontId="15" fillId="0" borderId="31" xfId="0" applyFont="1" applyBorder="1" applyAlignment="1">
      <alignment horizontal="center" vertical="center"/>
    </xf>
    <xf numFmtId="0" fontId="15" fillId="0" borderId="47" xfId="0" applyFont="1" applyBorder="1" applyAlignment="1">
      <alignment horizontal="center" vertical="center"/>
    </xf>
    <xf numFmtId="0" fontId="9" fillId="0" borderId="23" xfId="516" applyFont="1" applyBorder="1" applyAlignment="1">
      <alignment horizontal="center" vertical="center" wrapText="1"/>
    </xf>
    <xf numFmtId="0" fontId="9" fillId="0" borderId="25" xfId="516" applyFont="1" applyBorder="1" applyAlignment="1">
      <alignment horizontal="center" vertical="center" wrapText="1"/>
    </xf>
    <xf numFmtId="0" fontId="9" fillId="0" borderId="26" xfId="516" applyFont="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justify" vertical="top" wrapText="1"/>
    </xf>
    <xf numFmtId="0" fontId="125" fillId="0" borderId="0" xfId="583" applyFont="1" applyFill="1" applyAlignment="1" applyProtection="1">
      <alignment horizontal="left" vertical="top" wrapText="1"/>
      <protection locked="0"/>
    </xf>
    <xf numFmtId="0" fontId="113" fillId="0" borderId="0" xfId="583" applyFont="1" applyFill="1" applyAlignment="1" applyProtection="1">
      <alignment horizontal="left" vertical="center" wrapText="1"/>
      <protection locked="0"/>
    </xf>
    <xf numFmtId="0" fontId="9" fillId="0" borderId="94" xfId="516" applyFont="1" applyBorder="1" applyAlignment="1">
      <alignment horizontal="left" vertical="center" wrapText="1"/>
    </xf>
    <xf numFmtId="0" fontId="9" fillId="0" borderId="47" xfId="516" applyFont="1" applyBorder="1" applyAlignment="1">
      <alignment horizontal="left" vertical="center" wrapText="1"/>
    </xf>
    <xf numFmtId="0" fontId="15" fillId="0" borderId="0" xfId="516" applyFont="1" applyAlignment="1">
      <alignment horizontal="left" vertical="center" wrapText="1"/>
    </xf>
    <xf numFmtId="0" fontId="62" fillId="0" borderId="0" xfId="0" applyFont="1" applyAlignment="1">
      <alignment horizontal="left" vertical="center" indent="8"/>
    </xf>
    <xf numFmtId="49" fontId="14" fillId="33" borderId="23" xfId="0" applyNumberFormat="1" applyFont="1" applyFill="1" applyBorder="1" applyAlignment="1" applyProtection="1">
      <alignment horizontal="left" vertical="center"/>
      <protection locked="0"/>
    </xf>
    <xf numFmtId="49" fontId="14" fillId="33" borderId="25" xfId="0" applyNumberFormat="1" applyFont="1" applyFill="1" applyBorder="1" applyAlignment="1" applyProtection="1">
      <alignment horizontal="left" vertical="center"/>
      <protection locked="0"/>
    </xf>
    <xf numFmtId="49" fontId="14" fillId="33" borderId="26" xfId="0" applyNumberFormat="1" applyFont="1" applyFill="1" applyBorder="1" applyAlignment="1" applyProtection="1">
      <alignment horizontal="left" vertical="center"/>
      <protection locked="0"/>
    </xf>
    <xf numFmtId="0" fontId="2" fillId="33" borderId="23" xfId="516" applyFill="1" applyBorder="1" applyAlignment="1" applyProtection="1">
      <alignment vertical="center"/>
      <protection locked="0"/>
    </xf>
    <xf numFmtId="0" fontId="2" fillId="33" borderId="25" xfId="516" applyFill="1" applyBorder="1" applyAlignment="1" applyProtection="1">
      <alignment vertical="center"/>
      <protection locked="0"/>
    </xf>
    <xf numFmtId="0" fontId="2" fillId="33" borderId="26" xfId="516" applyFill="1" applyBorder="1" applyAlignment="1" applyProtection="1">
      <alignment vertical="center"/>
      <protection locked="0"/>
    </xf>
    <xf numFmtId="0" fontId="2" fillId="27" borderId="23" xfId="516" applyFill="1" applyBorder="1" applyAlignment="1">
      <alignment horizontal="center" vertical="center"/>
    </xf>
    <xf numFmtId="0" fontId="2" fillId="27" borderId="25" xfId="516" applyFill="1" applyBorder="1" applyAlignment="1">
      <alignment horizontal="center" vertical="center"/>
    </xf>
    <xf numFmtId="0" fontId="2" fillId="27" borderId="26" xfId="516" applyFill="1" applyBorder="1" applyAlignment="1">
      <alignment horizontal="center" vertical="center"/>
    </xf>
    <xf numFmtId="0" fontId="2" fillId="0" borderId="48" xfId="516" applyBorder="1" applyAlignment="1">
      <alignment horizontal="center" vertical="center" wrapText="1"/>
    </xf>
    <xf numFmtId="0" fontId="2" fillId="0" borderId="0" xfId="516" applyAlignment="1">
      <alignment horizontal="center" vertical="center" wrapText="1"/>
    </xf>
    <xf numFmtId="0" fontId="2" fillId="0" borderId="23" xfId="516" applyBorder="1" applyAlignment="1">
      <alignment horizontal="center" vertical="center"/>
    </xf>
    <xf numFmtId="0" fontId="2" fillId="0" borderId="25" xfId="516" applyBorder="1" applyAlignment="1">
      <alignment horizontal="center" vertical="center"/>
    </xf>
    <xf numFmtId="0" fontId="2" fillId="0" borderId="26" xfId="516" applyBorder="1" applyAlignment="1">
      <alignment horizontal="center" vertical="center"/>
    </xf>
    <xf numFmtId="0" fontId="2" fillId="33" borderId="23" xfId="516" applyFill="1" applyBorder="1" applyAlignment="1" applyProtection="1">
      <alignment horizontal="center" vertical="center"/>
      <protection locked="0"/>
    </xf>
    <xf numFmtId="0" fontId="2" fillId="33" borderId="25" xfId="516" applyFill="1" applyBorder="1" applyAlignment="1" applyProtection="1">
      <alignment horizontal="center" vertical="center"/>
      <protection locked="0"/>
    </xf>
    <xf numFmtId="0" fontId="2" fillId="33" borderId="26" xfId="516" applyFill="1" applyBorder="1" applyAlignment="1" applyProtection="1">
      <alignment horizontal="center" vertical="center"/>
      <protection locked="0"/>
    </xf>
    <xf numFmtId="14" fontId="2" fillId="33" borderId="25" xfId="516" applyNumberFormat="1" applyFill="1" applyBorder="1" applyAlignment="1" applyProtection="1">
      <alignment horizontal="center" vertical="center"/>
      <protection locked="0"/>
    </xf>
    <xf numFmtId="14" fontId="2" fillId="33" borderId="26" xfId="516" applyNumberFormat="1" applyFill="1" applyBorder="1" applyAlignment="1" applyProtection="1">
      <alignment horizontal="center" vertical="center"/>
      <protection locked="0"/>
    </xf>
    <xf numFmtId="14" fontId="14" fillId="0" borderId="25" xfId="0" applyNumberFormat="1" applyFont="1" applyBorder="1" applyAlignment="1">
      <alignment horizontal="center" vertical="center"/>
    </xf>
    <xf numFmtId="14" fontId="14" fillId="0" borderId="26" xfId="0" applyNumberFormat="1" applyFont="1" applyBorder="1" applyAlignment="1">
      <alignment horizontal="center" vertical="center"/>
    </xf>
    <xf numFmtId="0" fontId="14" fillId="27" borderId="23" xfId="0" applyFont="1" applyFill="1" applyBorder="1" applyAlignment="1">
      <alignment horizontal="center" vertical="center"/>
    </xf>
    <xf numFmtId="0" fontId="14" fillId="27" borderId="25" xfId="0" applyFont="1" applyFill="1" applyBorder="1" applyAlignment="1">
      <alignment horizontal="center" vertical="center"/>
    </xf>
    <xf numFmtId="0" fontId="14" fillId="27" borderId="26" xfId="0" applyFont="1" applyFill="1" applyBorder="1" applyAlignment="1">
      <alignment horizontal="center" vertical="center"/>
    </xf>
    <xf numFmtId="0" fontId="2" fillId="0" borderId="23" xfId="516" applyBorder="1" applyAlignment="1">
      <alignment horizontal="center" vertical="center" wrapText="1"/>
    </xf>
    <xf numFmtId="0" fontId="2" fillId="0" borderId="25" xfId="516" applyBorder="1" applyAlignment="1">
      <alignment horizontal="center" vertical="center" wrapText="1"/>
    </xf>
    <xf numFmtId="0" fontId="2" fillId="0" borderId="26" xfId="516" applyBorder="1" applyAlignment="1">
      <alignment horizontal="center" vertical="center" wrapText="1"/>
    </xf>
    <xf numFmtId="0" fontId="109" fillId="0" borderId="72" xfId="0" applyFont="1" applyBorder="1" applyAlignment="1">
      <alignment horizontal="left" vertical="center" wrapText="1"/>
    </xf>
    <xf numFmtId="0" fontId="109" fillId="0" borderId="72" xfId="0" applyFont="1" applyBorder="1" applyAlignment="1">
      <alignment horizontal="left" vertical="center"/>
    </xf>
    <xf numFmtId="0" fontId="111" fillId="0" borderId="18" xfId="0" applyFont="1" applyBorder="1" applyAlignment="1">
      <alignment horizontal="center" vertical="center" wrapText="1"/>
    </xf>
    <xf numFmtId="0" fontId="117" fillId="0" borderId="18" xfId="0" applyFont="1" applyBorder="1" applyAlignment="1">
      <alignment horizontal="center" vertical="center" wrapText="1"/>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13" fillId="0" borderId="19"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64" xfId="0" applyFont="1" applyBorder="1" applyAlignment="1">
      <alignment horizontal="center" vertical="center" wrapText="1"/>
    </xf>
    <xf numFmtId="0" fontId="9" fillId="0" borderId="18" xfId="0" applyFont="1" applyBorder="1" applyAlignment="1">
      <alignment horizontal="center" vertical="center"/>
    </xf>
    <xf numFmtId="0" fontId="9" fillId="0" borderId="25" xfId="516" applyFont="1" applyBorder="1" applyAlignment="1">
      <alignment horizontal="left" vertical="center" wrapText="1"/>
    </xf>
    <xf numFmtId="0" fontId="9" fillId="0" borderId="26" xfId="516" applyFont="1" applyBorder="1" applyAlignment="1">
      <alignment horizontal="left" vertical="center" wrapText="1"/>
    </xf>
    <xf numFmtId="0" fontId="6" fillId="0" borderId="33" xfId="0" applyFont="1" applyBorder="1" applyAlignment="1">
      <alignment horizontal="center" vertical="center" wrapText="1" readingOrder="1"/>
    </xf>
    <xf numFmtId="49" fontId="122" fillId="0" borderId="70" xfId="0" applyNumberFormat="1" applyFont="1" applyBorder="1" applyAlignment="1">
      <alignment horizontal="center" vertical="center" wrapText="1" readingOrder="1"/>
    </xf>
    <xf numFmtId="49" fontId="122" fillId="0" borderId="69" xfId="0" applyNumberFormat="1" applyFont="1" applyBorder="1" applyAlignment="1">
      <alignment horizontal="center" vertical="center" wrapText="1" readingOrder="1"/>
    </xf>
    <xf numFmtId="49" fontId="122" fillId="0" borderId="36" xfId="0" applyNumberFormat="1" applyFont="1" applyBorder="1" applyAlignment="1">
      <alignment horizontal="center" vertical="center" wrapText="1" readingOrder="1"/>
    </xf>
    <xf numFmtId="49" fontId="122" fillId="0" borderId="71" xfId="0" applyNumberFormat="1" applyFont="1" applyBorder="1" applyAlignment="1">
      <alignment horizontal="center" vertical="center" wrapText="1" readingOrder="1"/>
    </xf>
    <xf numFmtId="49" fontId="122" fillId="0" borderId="32" xfId="0" applyNumberFormat="1" applyFont="1" applyBorder="1" applyAlignment="1">
      <alignment horizontal="center" vertical="center" wrapText="1" readingOrder="1"/>
    </xf>
    <xf numFmtId="49" fontId="6" fillId="0" borderId="28" xfId="0" applyNumberFormat="1" applyFont="1" applyBorder="1" applyAlignment="1">
      <alignment horizontal="center" vertical="center" wrapText="1" readingOrder="1"/>
    </xf>
    <xf numFmtId="49" fontId="6" fillId="0" borderId="34" xfId="0" applyNumberFormat="1" applyFont="1" applyBorder="1" applyAlignment="1">
      <alignment horizontal="center" vertical="center" wrapText="1" readingOrder="1"/>
    </xf>
    <xf numFmtId="49" fontId="6" fillId="0" borderId="29" xfId="0" applyNumberFormat="1" applyFont="1" applyBorder="1" applyAlignment="1">
      <alignment horizontal="center" vertical="center" wrapText="1" readingOrder="1"/>
    </xf>
    <xf numFmtId="0" fontId="6" fillId="0" borderId="20" xfId="0" applyFont="1" applyBorder="1" applyAlignment="1">
      <alignment horizontal="left" vertical="center" wrapText="1" readingOrder="1"/>
    </xf>
    <xf numFmtId="0" fontId="131" fillId="0" borderId="20" xfId="0" applyFont="1" applyBorder="1" applyAlignment="1">
      <alignment horizontal="left" vertical="center" wrapText="1" readingOrder="1"/>
    </xf>
    <xf numFmtId="0" fontId="122" fillId="0" borderId="20" xfId="0" applyFont="1" applyBorder="1" applyAlignment="1">
      <alignment horizontal="left" vertical="center" wrapText="1" readingOrder="1"/>
    </xf>
    <xf numFmtId="0" fontId="85" fillId="0" borderId="20" xfId="0" applyFont="1" applyBorder="1" applyAlignment="1">
      <alignment horizontal="left" vertical="center" wrapText="1" readingOrder="1"/>
    </xf>
    <xf numFmtId="49" fontId="6" fillId="0" borderId="70" xfId="0" applyNumberFormat="1" applyFont="1" applyBorder="1" applyAlignment="1">
      <alignment horizontal="center" vertical="center" wrapText="1" readingOrder="1"/>
    </xf>
    <xf numFmtId="49" fontId="6" fillId="0" borderId="69" xfId="0" applyNumberFormat="1" applyFont="1" applyBorder="1" applyAlignment="1">
      <alignment horizontal="center" vertical="center" wrapText="1" readingOrder="1"/>
    </xf>
    <xf numFmtId="49" fontId="6" fillId="0" borderId="36" xfId="0" applyNumberFormat="1" applyFont="1" applyBorder="1" applyAlignment="1">
      <alignment horizontal="center" vertical="center" wrapText="1" readingOrder="1"/>
    </xf>
    <xf numFmtId="49" fontId="6" fillId="0" borderId="71" xfId="0" applyNumberFormat="1" applyFont="1" applyBorder="1" applyAlignment="1">
      <alignment horizontal="center" vertical="center" wrapText="1" readingOrder="1"/>
    </xf>
    <xf numFmtId="49" fontId="6" fillId="0" borderId="32" xfId="0" applyNumberFormat="1" applyFont="1" applyBorder="1" applyAlignment="1">
      <alignment horizontal="center" vertical="center" wrapText="1" readingOrder="1"/>
    </xf>
    <xf numFmtId="49" fontId="122" fillId="0" borderId="28" xfId="0" applyNumberFormat="1" applyFont="1" applyBorder="1" applyAlignment="1">
      <alignment horizontal="center" vertical="center" wrapText="1" readingOrder="1"/>
    </xf>
    <xf numFmtId="49" fontId="122" fillId="0" borderId="34" xfId="0" applyNumberFormat="1" applyFont="1" applyBorder="1" applyAlignment="1">
      <alignment horizontal="center" vertical="center" wrapText="1" readingOrder="1"/>
    </xf>
    <xf numFmtId="49" fontId="122" fillId="0" borderId="29" xfId="0" applyNumberFormat="1" applyFont="1" applyBorder="1" applyAlignment="1">
      <alignment horizontal="center" vertical="center" wrapText="1" readingOrder="1"/>
    </xf>
    <xf numFmtId="0" fontId="6" fillId="0" borderId="28" xfId="0" applyFont="1" applyBorder="1" applyAlignment="1">
      <alignment horizontal="left" vertical="center" wrapText="1" readingOrder="1"/>
    </xf>
    <xf numFmtId="0" fontId="6" fillId="0" borderId="34" xfId="0" applyFont="1" applyBorder="1" applyAlignment="1">
      <alignment horizontal="left" vertical="center" wrapText="1" readingOrder="1"/>
    </xf>
    <xf numFmtId="0" fontId="6" fillId="0" borderId="29" xfId="0" applyFont="1" applyBorder="1" applyAlignment="1">
      <alignment horizontal="left" vertical="center" wrapText="1" readingOrder="1"/>
    </xf>
    <xf numFmtId="0" fontId="6" fillId="0" borderId="33" xfId="0" applyFont="1" applyBorder="1" applyAlignment="1">
      <alignment horizontal="left" vertical="center" wrapText="1" readingOrder="1"/>
    </xf>
    <xf numFmtId="0" fontId="6" fillId="0" borderId="70" xfId="0" applyFont="1" applyBorder="1" applyAlignment="1">
      <alignment horizontal="left" vertical="center" wrapText="1" readingOrder="1"/>
    </xf>
    <xf numFmtId="0" fontId="6" fillId="0" borderId="69" xfId="0" applyFont="1" applyBorder="1" applyAlignment="1">
      <alignment horizontal="left" vertical="center" wrapText="1" readingOrder="1"/>
    </xf>
    <xf numFmtId="0" fontId="6" fillId="0" borderId="36" xfId="0" applyFont="1" applyBorder="1" applyAlignment="1">
      <alignment horizontal="left" vertical="center" wrapText="1" readingOrder="1"/>
    </xf>
    <xf numFmtId="0" fontId="6" fillId="0" borderId="71" xfId="0" applyFont="1" applyBorder="1" applyAlignment="1">
      <alignment horizontal="left" vertical="center" wrapText="1" readingOrder="1"/>
    </xf>
    <xf numFmtId="0" fontId="6" fillId="0" borderId="32" xfId="0" applyFont="1" applyBorder="1" applyAlignment="1">
      <alignment horizontal="left" vertical="center" wrapText="1" readingOrder="1"/>
    </xf>
    <xf numFmtId="0" fontId="108" fillId="0" borderId="20" xfId="0" applyFont="1" applyBorder="1" applyAlignment="1">
      <alignment horizontal="left" vertical="center" wrapText="1" readingOrder="1"/>
    </xf>
    <xf numFmtId="0" fontId="6" fillId="0" borderId="20" xfId="0" quotePrefix="1" applyFont="1" applyBorder="1" applyAlignment="1">
      <alignment horizontal="left" vertical="center" wrapText="1" readingOrder="1"/>
    </xf>
    <xf numFmtId="0" fontId="12" fillId="0" borderId="20" xfId="0" quotePrefix="1" applyFont="1" applyBorder="1" applyAlignment="1">
      <alignment horizontal="left" vertical="center" wrapText="1" readingOrder="1"/>
    </xf>
    <xf numFmtId="0" fontId="0" fillId="0" borderId="20" xfId="0" applyBorder="1" applyAlignment="1">
      <alignment horizontal="left" vertical="center" wrapText="1" readingOrder="1"/>
    </xf>
    <xf numFmtId="0" fontId="12" fillId="0" borderId="20" xfId="0" applyFont="1" applyBorder="1" applyAlignment="1">
      <alignment horizontal="left" vertical="center" wrapText="1" readingOrder="1"/>
    </xf>
    <xf numFmtId="0" fontId="12" fillId="0" borderId="33" xfId="0" applyFont="1" applyBorder="1" applyAlignment="1">
      <alignment horizontal="center" vertical="center" wrapText="1" readingOrder="1"/>
    </xf>
    <xf numFmtId="49" fontId="12" fillId="0" borderId="70" xfId="0" applyNumberFormat="1" applyFont="1" applyBorder="1" applyAlignment="1">
      <alignment horizontal="center" vertical="center" wrapText="1" readingOrder="1"/>
    </xf>
    <xf numFmtId="49" fontId="12" fillId="0" borderId="69" xfId="0" applyNumberFormat="1" applyFont="1" applyBorder="1" applyAlignment="1">
      <alignment horizontal="center" vertical="center" wrapText="1" readingOrder="1"/>
    </xf>
    <xf numFmtId="49" fontId="12" fillId="0" borderId="36" xfId="0" applyNumberFormat="1" applyFont="1" applyBorder="1" applyAlignment="1">
      <alignment horizontal="center" vertical="center" wrapText="1" readingOrder="1"/>
    </xf>
    <xf numFmtId="49" fontId="12" fillId="0" borderId="71" xfId="0" applyNumberFormat="1" applyFont="1" applyBorder="1" applyAlignment="1">
      <alignment horizontal="center" vertical="center" wrapText="1" readingOrder="1"/>
    </xf>
    <xf numFmtId="49" fontId="12" fillId="0" borderId="32" xfId="0" applyNumberFormat="1" applyFont="1" applyBorder="1" applyAlignment="1">
      <alignment horizontal="center" vertical="center" wrapText="1" readingOrder="1"/>
    </xf>
    <xf numFmtId="0" fontId="6" fillId="33" borderId="28" xfId="0" quotePrefix="1" applyFont="1" applyFill="1" applyBorder="1" applyAlignment="1" applyProtection="1">
      <alignment horizontal="left" vertical="center" wrapText="1"/>
      <protection locked="0"/>
    </xf>
    <xf numFmtId="0" fontId="7" fillId="33" borderId="20" xfId="0" applyFont="1" applyFill="1" applyBorder="1" applyAlignment="1" applyProtection="1">
      <alignment horizontal="left" vertical="center" wrapText="1"/>
      <protection locked="0"/>
    </xf>
    <xf numFmtId="0" fontId="6" fillId="33" borderId="28" xfId="0" applyFont="1" applyFill="1" applyBorder="1" applyAlignment="1" applyProtection="1">
      <alignment horizontal="left" vertical="center" wrapText="1"/>
      <protection locked="0"/>
    </xf>
    <xf numFmtId="0" fontId="6" fillId="33" borderId="34" xfId="0" applyFont="1" applyFill="1" applyBorder="1" applyAlignment="1" applyProtection="1">
      <alignment horizontal="left" vertical="center" wrapText="1"/>
      <protection locked="0"/>
    </xf>
    <xf numFmtId="0" fontId="6" fillId="33" borderId="29" xfId="0" applyFont="1" applyFill="1" applyBorder="1" applyAlignment="1" applyProtection="1">
      <alignment horizontal="left" vertical="center" wrapText="1"/>
      <protection locked="0"/>
    </xf>
    <xf numFmtId="0" fontId="87" fillId="0" borderId="28" xfId="0" applyFont="1" applyBorder="1" applyAlignment="1">
      <alignment horizontal="center" vertical="center" wrapText="1" readingOrder="1"/>
    </xf>
    <xf numFmtId="0" fontId="87" fillId="0" borderId="34" xfId="0" applyFont="1" applyBorder="1" applyAlignment="1">
      <alignment horizontal="center" vertical="center" wrapText="1" readingOrder="1"/>
    </xf>
    <xf numFmtId="0" fontId="87" fillId="0" borderId="29" xfId="0" applyFont="1" applyBorder="1" applyAlignment="1">
      <alignment horizontal="center" vertical="center" wrapText="1" readingOrder="1"/>
    </xf>
    <xf numFmtId="0" fontId="87" fillId="0" borderId="33" xfId="0" applyFont="1" applyBorder="1" applyAlignment="1">
      <alignment horizontal="center" vertical="center" wrapText="1" readingOrder="1"/>
    </xf>
    <xf numFmtId="0" fontId="87" fillId="0" borderId="70" xfId="0" applyFont="1" applyBorder="1" applyAlignment="1">
      <alignment horizontal="center" vertical="center" wrapText="1" readingOrder="1"/>
    </xf>
    <xf numFmtId="0" fontId="87" fillId="0" borderId="69" xfId="0" applyFont="1" applyBorder="1" applyAlignment="1">
      <alignment horizontal="center" vertical="center" wrapText="1" readingOrder="1"/>
    </xf>
    <xf numFmtId="0" fontId="87" fillId="0" borderId="36" xfId="0" applyFont="1" applyBorder="1" applyAlignment="1">
      <alignment horizontal="center" vertical="center" wrapText="1" readingOrder="1"/>
    </xf>
    <xf numFmtId="0" fontId="87" fillId="0" borderId="71" xfId="0" applyFont="1" applyBorder="1" applyAlignment="1">
      <alignment horizontal="center" vertical="center" wrapText="1" readingOrder="1"/>
    </xf>
    <xf numFmtId="0" fontId="87" fillId="0" borderId="32" xfId="0" applyFont="1" applyBorder="1" applyAlignment="1">
      <alignment horizontal="center" vertical="center" wrapText="1" readingOrder="1"/>
    </xf>
    <xf numFmtId="0" fontId="130" fillId="0" borderId="28" xfId="0" applyFont="1" applyBorder="1" applyAlignment="1">
      <alignment horizontal="center" vertical="center" wrapText="1"/>
    </xf>
    <xf numFmtId="0" fontId="130" fillId="0" borderId="34" xfId="0" applyFont="1" applyBorder="1" applyAlignment="1">
      <alignment horizontal="center" vertical="center" wrapText="1"/>
    </xf>
    <xf numFmtId="0" fontId="130" fillId="0" borderId="29" xfId="0" applyFont="1" applyBorder="1" applyAlignment="1">
      <alignment horizontal="center" vertical="center" wrapText="1"/>
    </xf>
    <xf numFmtId="0" fontId="12" fillId="0" borderId="0" xfId="0" applyFont="1" applyAlignment="1">
      <alignment horizontal="justify" vertical="center" wrapText="1"/>
    </xf>
    <xf numFmtId="0" fontId="12" fillId="0" borderId="0" xfId="0" applyFont="1" applyAlignment="1">
      <alignment horizontal="justify" vertical="center"/>
    </xf>
    <xf numFmtId="49" fontId="70" fillId="0" borderId="28" xfId="0" applyNumberFormat="1" applyFont="1" applyBorder="1" applyAlignment="1">
      <alignment horizontal="center" vertical="center" wrapText="1" readingOrder="1"/>
    </xf>
    <xf numFmtId="49" fontId="70" fillId="0" borderId="34" xfId="0" applyNumberFormat="1" applyFont="1" applyBorder="1" applyAlignment="1">
      <alignment horizontal="center" vertical="center" wrapText="1" readingOrder="1"/>
    </xf>
    <xf numFmtId="49" fontId="70" fillId="0" borderId="29" xfId="0" applyNumberFormat="1" applyFont="1" applyBorder="1" applyAlignment="1">
      <alignment horizontal="center" vertical="center" wrapText="1" readingOrder="1"/>
    </xf>
    <xf numFmtId="0" fontId="70" fillId="0" borderId="33" xfId="0" applyFont="1" applyBorder="1" applyAlignment="1">
      <alignment horizontal="center" vertical="center" wrapText="1" readingOrder="1"/>
    </xf>
    <xf numFmtId="0" fontId="70" fillId="0" borderId="70" xfId="0" applyFont="1" applyBorder="1" applyAlignment="1">
      <alignment horizontal="center" vertical="center" wrapText="1" readingOrder="1"/>
    </xf>
    <xf numFmtId="0" fontId="70" fillId="0" borderId="69" xfId="0" applyFont="1" applyBorder="1" applyAlignment="1">
      <alignment horizontal="center" vertical="center" wrapText="1" readingOrder="1"/>
    </xf>
    <xf numFmtId="0" fontId="70" fillId="0" borderId="36" xfId="0" applyFont="1" applyBorder="1" applyAlignment="1">
      <alignment horizontal="center" vertical="center" wrapText="1" readingOrder="1"/>
    </xf>
    <xf numFmtId="0" fontId="70" fillId="0" borderId="71" xfId="0" applyFont="1" applyBorder="1" applyAlignment="1">
      <alignment horizontal="center" vertical="center" wrapText="1" readingOrder="1"/>
    </xf>
    <xf numFmtId="0" fontId="70" fillId="0" borderId="32" xfId="0" applyFont="1" applyBorder="1" applyAlignment="1">
      <alignment horizontal="center" vertical="center" wrapText="1" readingOrder="1"/>
    </xf>
    <xf numFmtId="0" fontId="70" fillId="0" borderId="28" xfId="0" applyFont="1" applyBorder="1" applyAlignment="1">
      <alignment horizontal="center" vertical="center" wrapText="1" readingOrder="1"/>
    </xf>
    <xf numFmtId="0" fontId="70" fillId="0" borderId="34" xfId="0" applyFont="1" applyBorder="1" applyAlignment="1">
      <alignment horizontal="center" vertical="center" wrapText="1" readingOrder="1"/>
    </xf>
    <xf numFmtId="0" fontId="70" fillId="0" borderId="29" xfId="0" applyFont="1" applyBorder="1" applyAlignment="1">
      <alignment horizontal="center" vertical="center" wrapText="1" readingOrder="1"/>
    </xf>
    <xf numFmtId="0" fontId="71" fillId="0" borderId="28" xfId="0" applyFont="1" applyBorder="1" applyAlignment="1">
      <alignment horizontal="center" vertical="center" wrapText="1" readingOrder="1"/>
    </xf>
    <xf numFmtId="0" fontId="71" fillId="0" borderId="34" xfId="0" applyFont="1" applyBorder="1" applyAlignment="1">
      <alignment horizontal="center" vertical="center" wrapText="1" readingOrder="1"/>
    </xf>
    <xf numFmtId="0" fontId="71" fillId="0" borderId="29" xfId="0" applyFont="1" applyBorder="1" applyAlignment="1">
      <alignment horizontal="center" vertical="center" wrapText="1" readingOrder="1"/>
    </xf>
    <xf numFmtId="0" fontId="23" fillId="31" borderId="28" xfId="0" applyFont="1" applyFill="1" applyBorder="1" applyAlignment="1">
      <alignment horizontal="center" vertical="center" wrapText="1"/>
    </xf>
    <xf numFmtId="0" fontId="23" fillId="31" borderId="34" xfId="0" applyFont="1" applyFill="1" applyBorder="1" applyAlignment="1">
      <alignment horizontal="center" vertical="center" wrapText="1"/>
    </xf>
    <xf numFmtId="0" fontId="23" fillId="31" borderId="29" xfId="0" applyFont="1" applyFill="1" applyBorder="1" applyAlignment="1">
      <alignment horizontal="center" vertical="center" wrapText="1"/>
    </xf>
    <xf numFmtId="49" fontId="6" fillId="0" borderId="33" xfId="0" applyNumberFormat="1" applyFont="1" applyBorder="1" applyAlignment="1">
      <alignment horizontal="center" vertical="center" wrapText="1" readingOrder="1"/>
    </xf>
    <xf numFmtId="49" fontId="87" fillId="0" borderId="28" xfId="0" applyNumberFormat="1" applyFont="1" applyBorder="1" applyAlignment="1">
      <alignment horizontal="center" vertical="center" wrapText="1" readingOrder="1"/>
    </xf>
    <xf numFmtId="49" fontId="87" fillId="0" borderId="34" xfId="0" applyNumberFormat="1" applyFont="1" applyBorder="1" applyAlignment="1">
      <alignment horizontal="center" vertical="center" wrapText="1" readingOrder="1"/>
    </xf>
    <xf numFmtId="49" fontId="87" fillId="0" borderId="29" xfId="0" applyNumberFormat="1" applyFont="1" applyBorder="1" applyAlignment="1">
      <alignment horizontal="center" vertical="center" wrapText="1" readingOrder="1"/>
    </xf>
    <xf numFmtId="0" fontId="12" fillId="0" borderId="28"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29" xfId="0" applyFont="1" applyBorder="1" applyAlignment="1">
      <alignment horizontal="center" vertical="center" wrapText="1"/>
    </xf>
    <xf numFmtId="1" fontId="24" fillId="33" borderId="28" xfId="0" applyNumberFormat="1" applyFont="1" applyFill="1" applyBorder="1" applyAlignment="1" applyProtection="1">
      <alignment horizontal="center" vertical="center"/>
      <protection locked="0"/>
    </xf>
    <xf numFmtId="1" fontId="24" fillId="33" borderId="34" xfId="0" applyNumberFormat="1" applyFont="1" applyFill="1" applyBorder="1" applyAlignment="1" applyProtection="1">
      <alignment horizontal="center" vertical="center"/>
      <protection locked="0"/>
    </xf>
    <xf numFmtId="1" fontId="24" fillId="33" borderId="29" xfId="0" applyNumberFormat="1" applyFont="1" applyFill="1" applyBorder="1" applyAlignment="1" applyProtection="1">
      <alignment horizontal="center" vertical="center"/>
      <protection locked="0"/>
    </xf>
    <xf numFmtId="0" fontId="70" fillId="0" borderId="20" xfId="0" applyFont="1" applyBorder="1" applyAlignment="1">
      <alignment horizontal="center" vertical="center" wrapText="1" readingOrder="1"/>
    </xf>
    <xf numFmtId="0" fontId="9" fillId="30" borderId="23" xfId="516" applyFont="1" applyFill="1" applyBorder="1" applyAlignment="1">
      <alignment vertical="center"/>
    </xf>
    <xf numFmtId="0" fontId="9" fillId="30" borderId="25" xfId="516" applyFont="1" applyFill="1" applyBorder="1" applyAlignment="1">
      <alignment vertical="center"/>
    </xf>
    <xf numFmtId="0" fontId="27" fillId="30" borderId="25" xfId="0" applyFont="1" applyFill="1" applyBorder="1"/>
    <xf numFmtId="0" fontId="0" fillId="0" borderId="26" xfId="0" applyBorder="1"/>
    <xf numFmtId="0" fontId="0" fillId="0" borderId="26" xfId="0" applyBorder="1" applyAlignment="1">
      <alignment vertical="center"/>
    </xf>
    <xf numFmtId="14" fontId="27" fillId="30" borderId="23" xfId="0" applyNumberFormat="1" applyFont="1" applyFill="1" applyBorder="1" applyAlignment="1">
      <alignment horizontal="center" vertical="center"/>
    </xf>
    <xf numFmtId="14" fontId="27" fillId="30" borderId="25" xfId="0" applyNumberFormat="1" applyFont="1" applyFill="1" applyBorder="1" applyAlignment="1">
      <alignment horizontal="center" vertical="center"/>
    </xf>
    <xf numFmtId="14" fontId="27" fillId="30" borderId="26" xfId="0" applyNumberFormat="1" applyFont="1" applyFill="1" applyBorder="1" applyAlignment="1">
      <alignment horizontal="center" vertical="center"/>
    </xf>
    <xf numFmtId="1" fontId="24" fillId="35" borderId="28" xfId="0" applyNumberFormat="1" applyFont="1" applyFill="1" applyBorder="1" applyAlignment="1">
      <alignment horizontal="center" vertical="center"/>
    </xf>
    <xf numFmtId="1" fontId="0" fillId="35" borderId="34" xfId="0" applyNumberFormat="1" applyFill="1" applyBorder="1" applyAlignment="1">
      <alignment horizontal="center" vertical="center"/>
    </xf>
    <xf numFmtId="1" fontId="0" fillId="35" borderId="29" xfId="0" applyNumberFormat="1" applyFill="1" applyBorder="1" applyAlignment="1">
      <alignment horizontal="center" vertical="center"/>
    </xf>
    <xf numFmtId="0" fontId="27" fillId="0" borderId="68" xfId="0" applyFont="1" applyBorder="1" applyAlignment="1">
      <alignment horizontal="center" vertical="center"/>
    </xf>
    <xf numFmtId="0" fontId="27" fillId="0" borderId="27" xfId="0" applyFont="1" applyBorder="1" applyAlignment="1">
      <alignment horizontal="center" vertical="center"/>
    </xf>
    <xf numFmtId="0" fontId="12" fillId="0" borderId="20" xfId="0" applyFont="1" applyBorder="1" applyAlignment="1">
      <alignment vertical="center" wrapText="1"/>
    </xf>
    <xf numFmtId="0" fontId="27"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7" fillId="0" borderId="29" xfId="0" applyFont="1" applyBorder="1" applyAlignment="1">
      <alignment horizontal="center" vertical="center" wrapText="1"/>
    </xf>
    <xf numFmtId="0" fontId="12" fillId="0" borderId="33" xfId="0" quotePrefix="1" applyFont="1" applyBorder="1" applyAlignment="1">
      <alignment horizontal="left" vertical="center" wrapText="1" readingOrder="1"/>
    </xf>
    <xf numFmtId="0" fontId="0" fillId="0" borderId="70" xfId="0" applyBorder="1" applyAlignment="1">
      <alignment horizontal="left" vertical="center" wrapText="1" readingOrder="1"/>
    </xf>
    <xf numFmtId="0" fontId="12" fillId="0" borderId="69" xfId="0" applyFont="1" applyBorder="1" applyAlignment="1">
      <alignment horizontal="left" vertical="center" wrapText="1" readingOrder="1"/>
    </xf>
    <xf numFmtId="0" fontId="0" fillId="0" borderId="36" xfId="0" applyBorder="1" applyAlignment="1">
      <alignment horizontal="left" vertical="center" wrapText="1" readingOrder="1"/>
    </xf>
    <xf numFmtId="0" fontId="12" fillId="0" borderId="71" xfId="0" applyFont="1" applyBorder="1" applyAlignment="1">
      <alignment horizontal="left" vertical="center" wrapText="1" readingOrder="1"/>
    </xf>
    <xf numFmtId="0" fontId="0" fillId="0" borderId="32" xfId="0" applyBorder="1" applyAlignment="1">
      <alignment horizontal="left" vertical="center" wrapText="1" readingOrder="1"/>
    </xf>
    <xf numFmtId="0" fontId="27" fillId="0" borderId="33"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32" xfId="0" applyFont="1" applyBorder="1" applyAlignment="1">
      <alignment horizontal="center" vertical="center" wrapText="1"/>
    </xf>
    <xf numFmtId="0" fontId="27" fillId="0" borderId="20" xfId="0" applyFont="1" applyBorder="1" applyAlignment="1">
      <alignment horizontal="center" vertical="center" wrapText="1"/>
    </xf>
    <xf numFmtId="0" fontId="123" fillId="0" borderId="20" xfId="0" applyFont="1" applyBorder="1" applyAlignment="1">
      <alignment horizontal="center" vertical="center" wrapText="1"/>
    </xf>
    <xf numFmtId="0" fontId="20" fillId="0" borderId="20" xfId="0" applyFont="1" applyBorder="1" applyAlignment="1">
      <alignment horizontal="center" vertical="center" wrapText="1"/>
    </xf>
    <xf numFmtId="0" fontId="27" fillId="0" borderId="70" xfId="0" applyFont="1" applyBorder="1" applyAlignment="1">
      <alignment horizontal="center" vertical="center" wrapText="1"/>
    </xf>
    <xf numFmtId="0" fontId="27" fillId="0" borderId="71" xfId="0" applyFont="1" applyBorder="1" applyAlignment="1">
      <alignment horizontal="center" vertical="center" wrapText="1"/>
    </xf>
    <xf numFmtId="0" fontId="27" fillId="0" borderId="32" xfId="0" applyFont="1" applyBorder="1" applyAlignment="1">
      <alignment horizontal="center" vertical="center" wrapText="1"/>
    </xf>
    <xf numFmtId="0" fontId="12" fillId="0" borderId="33" xfId="0" applyFont="1" applyBorder="1" applyAlignment="1">
      <alignment horizontal="left" vertical="center" wrapText="1" readingOrder="1"/>
    </xf>
    <xf numFmtId="0" fontId="12" fillId="0" borderId="70" xfId="0" applyFont="1" applyBorder="1" applyAlignment="1">
      <alignment horizontal="left" vertical="center" wrapText="1" readingOrder="1"/>
    </xf>
    <xf numFmtId="0" fontId="12" fillId="0" borderId="36" xfId="0" applyFont="1" applyBorder="1" applyAlignment="1">
      <alignment horizontal="left" vertical="center" wrapText="1" readingOrder="1"/>
    </xf>
    <xf numFmtId="0" fontId="12" fillId="0" borderId="32" xfId="0" applyFont="1" applyBorder="1" applyAlignment="1">
      <alignment horizontal="left" vertical="center" wrapText="1" readingOrder="1"/>
    </xf>
    <xf numFmtId="49" fontId="12" fillId="0" borderId="33" xfId="0" applyNumberFormat="1" applyFont="1" applyBorder="1" applyAlignment="1">
      <alignment horizontal="center" vertical="center" wrapText="1" readingOrder="1"/>
    </xf>
    <xf numFmtId="0" fontId="6" fillId="33" borderId="28" xfId="0" applyFont="1" applyFill="1" applyBorder="1" applyAlignment="1" applyProtection="1">
      <alignment horizontal="center" vertical="center" wrapText="1"/>
      <protection locked="0"/>
    </xf>
    <xf numFmtId="0" fontId="6" fillId="33" borderId="34" xfId="0" applyFont="1" applyFill="1" applyBorder="1" applyAlignment="1" applyProtection="1">
      <alignment horizontal="center" vertical="center" wrapText="1"/>
      <protection locked="0"/>
    </xf>
    <xf numFmtId="0" fontId="6" fillId="33" borderId="29" xfId="0" applyFont="1" applyFill="1" applyBorder="1" applyAlignment="1" applyProtection="1">
      <alignment horizontal="center" vertical="center" wrapText="1"/>
      <protection locked="0"/>
    </xf>
    <xf numFmtId="165" fontId="6" fillId="84" borderId="33" xfId="429" applyNumberFormat="1" applyFont="1" applyFill="1" applyBorder="1" applyAlignment="1" applyProtection="1">
      <alignment horizontal="left" vertical="center"/>
    </xf>
    <xf numFmtId="165" fontId="6" fillId="84" borderId="70" xfId="429" applyNumberFormat="1" applyFont="1" applyFill="1" applyBorder="1" applyAlignment="1" applyProtection="1">
      <alignment horizontal="left" vertical="center"/>
    </xf>
    <xf numFmtId="165" fontId="6" fillId="84" borderId="69" xfId="429" applyNumberFormat="1" applyFont="1" applyFill="1" applyBorder="1" applyAlignment="1" applyProtection="1">
      <alignment horizontal="left" vertical="center"/>
    </xf>
    <xf numFmtId="165" fontId="6" fillId="84" borderId="36" xfId="429" applyNumberFormat="1" applyFont="1" applyFill="1" applyBorder="1" applyAlignment="1" applyProtection="1">
      <alignment horizontal="left" vertical="center"/>
    </xf>
    <xf numFmtId="165" fontId="6" fillId="0" borderId="20" xfId="429" applyNumberFormat="1" applyFont="1" applyFill="1" applyBorder="1" applyAlignment="1" applyProtection="1">
      <alignment horizontal="center" vertical="center"/>
    </xf>
    <xf numFmtId="165" fontId="6" fillId="0" borderId="28" xfId="429" applyNumberFormat="1" applyFont="1" applyFill="1" applyBorder="1" applyAlignment="1" applyProtection="1">
      <alignment horizontal="center" wrapText="1"/>
    </xf>
    <xf numFmtId="165" fontId="6" fillId="0" borderId="34" xfId="429" applyNumberFormat="1" applyFont="1" applyFill="1" applyBorder="1" applyAlignment="1" applyProtection="1">
      <alignment horizontal="center" wrapText="1"/>
    </xf>
    <xf numFmtId="165" fontId="6" fillId="86" borderId="68" xfId="429" applyNumberFormat="1" applyFont="1" applyFill="1" applyBorder="1" applyAlignment="1" applyProtection="1">
      <alignment vertical="center" wrapText="1"/>
    </xf>
    <xf numFmtId="165" fontId="6" fillId="86" borderId="30" xfId="429" applyNumberFormat="1" applyFont="1" applyFill="1" applyBorder="1" applyAlignment="1" applyProtection="1">
      <alignment vertical="center" wrapText="1"/>
    </xf>
    <xf numFmtId="165" fontId="6" fillId="86" borderId="27" xfId="429" applyNumberFormat="1" applyFont="1" applyFill="1" applyBorder="1" applyAlignment="1" applyProtection="1">
      <alignment vertical="center" wrapText="1"/>
    </xf>
    <xf numFmtId="165" fontId="6" fillId="87" borderId="33" xfId="429" applyNumberFormat="1" applyFont="1" applyFill="1" applyBorder="1" applyAlignment="1" applyProtection="1">
      <alignment horizontal="left" vertical="center"/>
    </xf>
    <xf numFmtId="165" fontId="6" fillId="87" borderId="70" xfId="429" applyNumberFormat="1" applyFont="1" applyFill="1" applyBorder="1" applyAlignment="1" applyProtection="1">
      <alignment horizontal="left" vertical="center"/>
    </xf>
    <xf numFmtId="165" fontId="6" fillId="87" borderId="71" xfId="429" applyNumberFormat="1" applyFont="1" applyFill="1" applyBorder="1" applyAlignment="1" applyProtection="1">
      <alignment horizontal="left" vertical="center"/>
    </xf>
    <xf numFmtId="165" fontId="6" fillId="87" borderId="32" xfId="429" applyNumberFormat="1" applyFont="1" applyFill="1" applyBorder="1" applyAlignment="1" applyProtection="1">
      <alignment horizontal="left" vertical="center"/>
    </xf>
    <xf numFmtId="0" fontId="12" fillId="0" borderId="28" xfId="0" applyFont="1" applyBorder="1" applyAlignment="1">
      <alignment horizontal="left" vertical="center" wrapText="1"/>
    </xf>
    <xf numFmtId="0" fontId="12" fillId="0" borderId="34" xfId="0" applyFont="1" applyBorder="1" applyAlignment="1">
      <alignment horizontal="left" vertical="center" wrapText="1"/>
    </xf>
    <xf numFmtId="0" fontId="12" fillId="0" borderId="29" xfId="0" applyFont="1" applyBorder="1" applyAlignment="1">
      <alignment horizontal="left" vertical="center" wrapText="1"/>
    </xf>
    <xf numFmtId="9" fontId="70" fillId="0" borderId="29" xfId="0" applyNumberFormat="1" applyFont="1" applyBorder="1" applyAlignment="1">
      <alignment horizontal="center" vertical="center" wrapText="1" readingOrder="1"/>
    </xf>
    <xf numFmtId="9" fontId="87" fillId="0" borderId="20" xfId="0" applyNumberFormat="1" applyFont="1" applyBorder="1" applyAlignment="1">
      <alignment horizontal="center" vertical="center" wrapText="1" readingOrder="1"/>
    </xf>
    <xf numFmtId="0" fontId="87" fillId="0" borderId="20" xfId="0" applyFont="1" applyBorder="1" applyAlignment="1">
      <alignment horizontal="center" vertical="center" wrapText="1" readingOrder="1"/>
    </xf>
    <xf numFmtId="0" fontId="9" fillId="30" borderId="23" xfId="516" applyFont="1" applyFill="1" applyBorder="1" applyAlignment="1">
      <alignment horizontal="left" vertical="center"/>
    </xf>
    <xf numFmtId="0" fontId="9" fillId="30" borderId="25" xfId="516" applyFont="1" applyFill="1" applyBorder="1" applyAlignment="1">
      <alignment horizontal="left" vertical="center"/>
    </xf>
    <xf numFmtId="0" fontId="9" fillId="30" borderId="26" xfId="516" applyFont="1" applyFill="1" applyBorder="1" applyAlignment="1">
      <alignment horizontal="left" vertical="center"/>
    </xf>
    <xf numFmtId="0" fontId="83" fillId="0" borderId="22" xfId="0" applyFont="1" applyBorder="1" applyAlignment="1">
      <alignment horizontal="center" vertical="center" wrapText="1"/>
    </xf>
    <xf numFmtId="0" fontId="83" fillId="0" borderId="67" xfId="0" applyFont="1" applyBorder="1" applyAlignment="1">
      <alignment horizontal="center" vertical="center" wrapText="1"/>
    </xf>
    <xf numFmtId="0" fontId="83" fillId="0" borderId="23" xfId="0" applyFont="1" applyBorder="1" applyAlignment="1">
      <alignment horizontal="center" vertical="center" wrapText="1"/>
    </xf>
    <xf numFmtId="0" fontId="83" fillId="0" borderId="25" xfId="0" applyFont="1" applyBorder="1" applyAlignment="1">
      <alignment horizontal="center" vertical="center" wrapText="1"/>
    </xf>
    <xf numFmtId="0" fontId="83" fillId="0" borderId="26" xfId="0" applyFont="1" applyBorder="1" applyAlignment="1">
      <alignment horizontal="center" vertical="center" wrapText="1"/>
    </xf>
    <xf numFmtId="0" fontId="12" fillId="0" borderId="23" xfId="0" applyFont="1" applyBorder="1" applyAlignment="1">
      <alignment horizontal="center" vertical="center"/>
    </xf>
    <xf numFmtId="0" fontId="12" fillId="0" borderId="26" xfId="0" applyFont="1" applyBorder="1" applyAlignment="1">
      <alignment horizontal="center" vertical="center"/>
    </xf>
    <xf numFmtId="0" fontId="12" fillId="32" borderId="23" xfId="0" applyFont="1" applyFill="1" applyBorder="1" applyAlignment="1">
      <alignment horizontal="center" vertical="center" wrapText="1"/>
    </xf>
    <xf numFmtId="0" fontId="12" fillId="32" borderId="25" xfId="0" applyFont="1" applyFill="1" applyBorder="1" applyAlignment="1">
      <alignment horizontal="center" vertical="center" wrapText="1"/>
    </xf>
    <xf numFmtId="0" fontId="12" fillId="32" borderId="26" xfId="0" applyFont="1" applyFill="1" applyBorder="1" applyAlignment="1">
      <alignment horizontal="center" vertical="center" wrapText="1"/>
    </xf>
    <xf numFmtId="0" fontId="9" fillId="36" borderId="23" xfId="516" applyFont="1" applyFill="1" applyBorder="1" applyAlignment="1">
      <alignment vertical="center"/>
    </xf>
    <xf numFmtId="0" fontId="9" fillId="36" borderId="25" xfId="516" applyFont="1" applyFill="1" applyBorder="1" applyAlignment="1">
      <alignment vertical="center"/>
    </xf>
    <xf numFmtId="0" fontId="9" fillId="36" borderId="26" xfId="516" applyFont="1" applyFill="1" applyBorder="1" applyAlignment="1">
      <alignment vertical="center"/>
    </xf>
    <xf numFmtId="0" fontId="9" fillId="0" borderId="33" xfId="0" applyFont="1" applyBorder="1" applyAlignment="1">
      <alignment horizontal="center" textRotation="90" wrapText="1"/>
    </xf>
    <xf numFmtId="0" fontId="9" fillId="0" borderId="71" xfId="0" applyFont="1" applyBorder="1" applyAlignment="1">
      <alignment horizontal="center" textRotation="90" wrapText="1"/>
    </xf>
    <xf numFmtId="14" fontId="27" fillId="36" borderId="23" xfId="0" applyNumberFormat="1" applyFont="1" applyFill="1" applyBorder="1" applyAlignment="1">
      <alignment horizontal="center" vertical="center"/>
    </xf>
    <xf numFmtId="14" fontId="27" fillId="36" borderId="25" xfId="0" applyNumberFormat="1" applyFont="1" applyFill="1" applyBorder="1" applyAlignment="1">
      <alignment horizontal="center" vertical="center"/>
    </xf>
    <xf numFmtId="14" fontId="27" fillId="36" borderId="26" xfId="0" applyNumberFormat="1" applyFont="1" applyFill="1" applyBorder="1" applyAlignment="1">
      <alignment horizontal="center" vertical="center"/>
    </xf>
    <xf numFmtId="0" fontId="15" fillId="0" borderId="28" xfId="0" applyFont="1" applyBorder="1" applyAlignment="1">
      <alignment horizontal="center" textRotation="90" wrapText="1"/>
    </xf>
    <xf numFmtId="0" fontId="15" fillId="0" borderId="29" xfId="0" applyFont="1" applyBorder="1" applyAlignment="1">
      <alignment horizontal="center" textRotation="90" wrapText="1"/>
    </xf>
    <xf numFmtId="0" fontId="20" fillId="28" borderId="19" xfId="0" applyFont="1" applyFill="1" applyBorder="1" applyAlignment="1">
      <alignment horizontal="center" vertical="center"/>
    </xf>
    <xf numFmtId="0" fontId="20" fillId="28" borderId="75" xfId="0" applyFont="1" applyFill="1" applyBorder="1" applyAlignment="1">
      <alignment horizontal="center" vertical="center"/>
    </xf>
    <xf numFmtId="0" fontId="20" fillId="28" borderId="63" xfId="0" applyFont="1" applyFill="1" applyBorder="1" applyAlignment="1">
      <alignment horizontal="center" vertical="center"/>
    </xf>
    <xf numFmtId="0" fontId="20" fillId="32" borderId="19" xfId="0" applyFont="1" applyFill="1" applyBorder="1" applyAlignment="1">
      <alignment horizontal="center" vertical="center"/>
    </xf>
    <xf numFmtId="0" fontId="20" fillId="32" borderId="63" xfId="0" applyFont="1" applyFill="1" applyBorder="1" applyAlignment="1">
      <alignment horizontal="center" vertical="center"/>
    </xf>
    <xf numFmtId="0" fontId="15" fillId="0" borderId="82" xfId="0" applyFont="1" applyBorder="1" applyAlignment="1">
      <alignment horizontal="center" textRotation="90" wrapText="1"/>
    </xf>
    <xf numFmtId="0" fontId="15" fillId="0" borderId="83" xfId="0" applyFont="1" applyBorder="1" applyAlignment="1">
      <alignment horizontal="center" textRotation="90" wrapText="1"/>
    </xf>
    <xf numFmtId="0" fontId="20" fillId="32" borderId="21" xfId="0" applyFont="1" applyFill="1" applyBorder="1" applyAlignment="1">
      <alignment horizontal="center" vertical="center" wrapText="1"/>
    </xf>
    <xf numFmtId="0" fontId="20" fillId="32" borderId="64" xfId="0" applyFont="1" applyFill="1" applyBorder="1" applyAlignment="1">
      <alignment horizontal="center" vertical="center" wrapText="1"/>
    </xf>
    <xf numFmtId="0" fontId="15" fillId="34" borderId="38" xfId="0" applyFont="1" applyFill="1" applyBorder="1" applyAlignment="1">
      <alignment horizontal="center" vertical="center" wrapText="1"/>
    </xf>
    <xf numFmtId="0" fontId="15" fillId="34" borderId="34" xfId="0" applyFont="1" applyFill="1" applyBorder="1" applyAlignment="1">
      <alignment horizontal="center" vertical="center" wrapText="1"/>
    </xf>
    <xf numFmtId="0" fontId="9" fillId="36" borderId="23" xfId="516" applyFont="1" applyFill="1" applyBorder="1" applyAlignment="1">
      <alignment horizontal="left" vertical="center"/>
    </xf>
    <xf numFmtId="0" fontId="9" fillId="36" borderId="25" xfId="516" applyFont="1" applyFill="1" applyBorder="1" applyAlignment="1">
      <alignment horizontal="left" vertical="center"/>
    </xf>
    <xf numFmtId="0" fontId="9" fillId="36" borderId="26" xfId="516" applyFont="1" applyFill="1" applyBorder="1" applyAlignment="1">
      <alignment horizontal="left" vertical="center"/>
    </xf>
    <xf numFmtId="0" fontId="23" fillId="31" borderId="21" xfId="0" applyFont="1" applyFill="1" applyBorder="1" applyAlignment="1">
      <alignment horizontal="center" vertical="center" wrapText="1"/>
    </xf>
    <xf numFmtId="0" fontId="23" fillId="31" borderId="72" xfId="0" applyFont="1" applyFill="1" applyBorder="1" applyAlignment="1">
      <alignment horizontal="center" vertical="center" wrapText="1"/>
    </xf>
    <xf numFmtId="0" fontId="12" fillId="0" borderId="0" xfId="0" applyFont="1" applyAlignment="1">
      <alignment horizontal="left" vertical="center" wrapText="1"/>
    </xf>
    <xf numFmtId="0" fontId="24" fillId="0" borderId="23" xfId="0" applyFont="1" applyBorder="1" applyAlignment="1">
      <alignment horizontal="center" vertical="center"/>
    </xf>
    <xf numFmtId="0" fontId="24" fillId="0" borderId="26" xfId="0" applyFont="1" applyBorder="1" applyAlignment="1">
      <alignment horizontal="center" vertical="center"/>
    </xf>
    <xf numFmtId="3" fontId="6" fillId="74" borderId="18" xfId="0" applyNumberFormat="1" applyFont="1" applyFill="1" applyBorder="1" applyAlignment="1">
      <alignment horizontal="center" vertical="center" wrapText="1"/>
    </xf>
    <xf numFmtId="0" fontId="24" fillId="76" borderId="18" xfId="0" applyFont="1" applyFill="1" applyBorder="1" applyAlignment="1">
      <alignment horizontal="center" vertical="center" wrapText="1"/>
    </xf>
    <xf numFmtId="0" fontId="20" fillId="0" borderId="0" xfId="0" applyFont="1" applyAlignment="1">
      <alignment horizontal="center" vertical="center"/>
    </xf>
    <xf numFmtId="0" fontId="58" fillId="0" borderId="0" xfId="0" applyFont="1" applyAlignment="1">
      <alignment horizontal="justify" vertical="justify" wrapText="1"/>
    </xf>
    <xf numFmtId="0" fontId="24" fillId="0" borderId="18" xfId="0" applyFont="1" applyBorder="1" applyAlignment="1">
      <alignment horizontal="left" vertical="center" wrapText="1"/>
    </xf>
    <xf numFmtId="0" fontId="0" fillId="0" borderId="18" xfId="0" applyBorder="1" applyAlignment="1">
      <alignment horizontal="left" vertical="center" wrapText="1"/>
    </xf>
    <xf numFmtId="10" fontId="15" fillId="0" borderId="68" xfId="0" applyNumberFormat="1" applyFont="1" applyBorder="1" applyAlignment="1">
      <alignment horizontal="center" vertical="center"/>
    </xf>
    <xf numFmtId="10" fontId="15" fillId="0" borderId="30" xfId="0" applyNumberFormat="1" applyFont="1" applyBorder="1" applyAlignment="1">
      <alignment horizontal="center" vertical="center"/>
    </xf>
    <xf numFmtId="10" fontId="15" fillId="0" borderId="27" xfId="0" applyNumberFormat="1" applyFont="1" applyBorder="1" applyAlignment="1">
      <alignment horizontal="center" vertical="center"/>
    </xf>
    <xf numFmtId="10" fontId="15" fillId="0" borderId="46" xfId="0" applyNumberFormat="1" applyFont="1" applyBorder="1" applyAlignment="1">
      <alignment horizontal="center" vertical="center"/>
    </xf>
    <xf numFmtId="10" fontId="15" fillId="0" borderId="95" xfId="0" applyNumberFormat="1" applyFont="1" applyBorder="1" applyAlignment="1">
      <alignment horizontal="center" vertical="center"/>
    </xf>
    <xf numFmtId="10" fontId="15" fillId="0" borderId="96" xfId="0" applyNumberFormat="1" applyFont="1" applyBorder="1" applyAlignment="1">
      <alignment horizontal="center" vertical="center"/>
    </xf>
    <xf numFmtId="0" fontId="15" fillId="0" borderId="68" xfId="0" applyFont="1" applyBorder="1" applyAlignment="1">
      <alignment horizontal="center" vertical="center"/>
    </xf>
    <xf numFmtId="0" fontId="15" fillId="0" borderId="27" xfId="0" applyFont="1" applyBorder="1" applyAlignment="1">
      <alignment horizontal="center" vertical="center"/>
    </xf>
    <xf numFmtId="0" fontId="15" fillId="0" borderId="46" xfId="0" applyFont="1" applyBorder="1" applyAlignment="1">
      <alignment horizontal="center" vertical="center"/>
    </xf>
    <xf numFmtId="0" fontId="15" fillId="0" borderId="96" xfId="0" applyFont="1" applyBorder="1" applyAlignment="1">
      <alignment horizontal="center" vertical="center"/>
    </xf>
    <xf numFmtId="0" fontId="9" fillId="0" borderId="78"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80" xfId="0" applyFont="1" applyBorder="1" applyAlignment="1">
      <alignment horizontal="center" vertical="center" wrapText="1"/>
    </xf>
    <xf numFmtId="0" fontId="12" fillId="0" borderId="23" xfId="0" applyFont="1" applyBorder="1" applyAlignment="1">
      <alignment horizontal="justify" vertical="center"/>
    </xf>
    <xf numFmtId="0" fontId="12" fillId="0" borderId="25" xfId="0" applyFont="1" applyBorder="1" applyAlignment="1">
      <alignment horizontal="justify" vertical="center"/>
    </xf>
    <xf numFmtId="0" fontId="12" fillId="0" borderId="26" xfId="0" applyFont="1" applyBorder="1" applyAlignment="1">
      <alignment horizontal="justify" vertical="center"/>
    </xf>
    <xf numFmtId="0" fontId="24" fillId="0" borderId="25" xfId="0" applyFont="1" applyBorder="1" applyAlignment="1">
      <alignment horizontal="center" vertical="center"/>
    </xf>
    <xf numFmtId="0" fontId="12" fillId="0" borderId="18" xfId="0" applyFont="1" applyBorder="1" applyAlignment="1">
      <alignment horizontal="justify" vertical="center"/>
    </xf>
    <xf numFmtId="0" fontId="15" fillId="0" borderId="70" xfId="0" applyFont="1" applyBorder="1" applyAlignment="1">
      <alignment horizontal="center" textRotation="90" wrapText="1"/>
    </xf>
    <xf numFmtId="0" fontId="15" fillId="0" borderId="32" xfId="0" applyFont="1" applyBorder="1" applyAlignment="1">
      <alignment horizontal="center" textRotation="90" wrapText="1"/>
    </xf>
    <xf numFmtId="0" fontId="9" fillId="0" borderId="49" xfId="0" applyFont="1" applyBorder="1" applyAlignment="1">
      <alignment horizontal="center" textRotation="90" wrapText="1"/>
    </xf>
    <xf numFmtId="0" fontId="9" fillId="0" borderId="81" xfId="0" applyFont="1" applyBorder="1" applyAlignment="1">
      <alignment horizontal="center" textRotation="90" wrapText="1"/>
    </xf>
    <xf numFmtId="0" fontId="15" fillId="34" borderId="28" xfId="0" applyFont="1" applyFill="1" applyBorder="1" applyAlignment="1">
      <alignment horizontal="center" vertical="top" wrapText="1"/>
    </xf>
    <xf numFmtId="0" fontId="15" fillId="34" borderId="34" xfId="0" applyFont="1" applyFill="1" applyBorder="1" applyAlignment="1">
      <alignment horizontal="center" vertical="top" wrapText="1"/>
    </xf>
    <xf numFmtId="0" fontId="12" fillId="0" borderId="23" xfId="0" applyFont="1" applyBorder="1" applyAlignment="1">
      <alignment horizontal="justify" vertical="center" wrapText="1"/>
    </xf>
    <xf numFmtId="0" fontId="0" fillId="0" borderId="25" xfId="0" applyBorder="1" applyAlignment="1">
      <alignment horizontal="justify" vertical="center" wrapText="1"/>
    </xf>
    <xf numFmtId="0" fontId="0" fillId="0" borderId="26" xfId="0" applyBorder="1" applyAlignment="1">
      <alignment horizontal="justify" vertical="center" wrapText="1"/>
    </xf>
    <xf numFmtId="0" fontId="12" fillId="0" borderId="25" xfId="0" applyFont="1" applyBorder="1" applyAlignment="1">
      <alignment horizontal="justify" vertical="center" wrapText="1"/>
    </xf>
    <xf numFmtId="0" fontId="12" fillId="0" borderId="26" xfId="0" applyFont="1" applyBorder="1" applyAlignment="1">
      <alignment horizontal="justify" vertical="center" wrapText="1"/>
    </xf>
    <xf numFmtId="0" fontId="20" fillId="0" borderId="0" xfId="0" applyFont="1" applyAlignment="1">
      <alignment horizontal="left"/>
    </xf>
    <xf numFmtId="0" fontId="20" fillId="0" borderId="66" xfId="0" applyFont="1" applyBorder="1" applyAlignment="1">
      <alignment horizontal="left"/>
    </xf>
    <xf numFmtId="0" fontId="20" fillId="29" borderId="19" xfId="0" applyFont="1" applyFill="1" applyBorder="1" applyAlignment="1">
      <alignment horizontal="center" vertical="center"/>
    </xf>
    <xf numFmtId="0" fontId="20" fillId="29" borderId="75" xfId="0" applyFont="1" applyFill="1" applyBorder="1" applyAlignment="1">
      <alignment horizontal="center" vertical="center"/>
    </xf>
    <xf numFmtId="0" fontId="20" fillId="29" borderId="63" xfId="0" applyFont="1" applyFill="1" applyBorder="1" applyAlignment="1">
      <alignment horizontal="center" vertical="center"/>
    </xf>
    <xf numFmtId="0" fontId="20" fillId="32" borderId="75" xfId="0" applyFont="1" applyFill="1" applyBorder="1" applyAlignment="1">
      <alignment horizontal="center" vertical="center"/>
    </xf>
    <xf numFmtId="0" fontId="115" fillId="0" borderId="0" xfId="0" applyFont="1" applyAlignment="1">
      <alignment horizontal="left" vertical="center"/>
    </xf>
    <xf numFmtId="0" fontId="116" fillId="0" borderId="0" xfId="0" applyFont="1" applyAlignment="1">
      <alignment horizontal="left" vertical="center"/>
    </xf>
    <xf numFmtId="0" fontId="20" fillId="31" borderId="19" xfId="0" applyFont="1" applyFill="1" applyBorder="1" applyAlignment="1">
      <alignment horizontal="center" vertical="center"/>
    </xf>
    <xf numFmtId="0" fontId="20" fillId="31" borderId="75" xfId="0" applyFont="1" applyFill="1" applyBorder="1" applyAlignment="1">
      <alignment horizontal="center" vertical="center"/>
    </xf>
    <xf numFmtId="0" fontId="20" fillId="31" borderId="63" xfId="0" applyFont="1" applyFill="1" applyBorder="1" applyAlignment="1">
      <alignment horizontal="center" vertical="center"/>
    </xf>
    <xf numFmtId="0" fontId="20" fillId="28" borderId="21" xfId="0" applyFont="1" applyFill="1" applyBorder="1" applyAlignment="1">
      <alignment horizontal="center" vertical="center" wrapText="1"/>
    </xf>
    <xf numFmtId="0" fontId="20" fillId="28" borderId="72" xfId="0" applyFont="1" applyFill="1" applyBorder="1" applyAlignment="1">
      <alignment horizontal="center" vertical="center" wrapText="1"/>
    </xf>
    <xf numFmtId="0" fontId="20" fillId="28" borderId="64" xfId="0" applyFont="1" applyFill="1" applyBorder="1" applyAlignment="1">
      <alignment horizontal="center" vertical="center" wrapText="1"/>
    </xf>
    <xf numFmtId="0" fontId="15" fillId="0" borderId="76" xfId="0" applyFont="1" applyBorder="1" applyAlignment="1">
      <alignment horizontal="center" textRotation="90" wrapText="1"/>
    </xf>
    <xf numFmtId="0" fontId="15" fillId="0" borderId="77" xfId="0" applyFont="1" applyBorder="1" applyAlignment="1">
      <alignment horizontal="center" textRotation="90" wrapText="1"/>
    </xf>
    <xf numFmtId="0" fontId="20" fillId="29" borderId="21" xfId="0" applyFont="1" applyFill="1" applyBorder="1" applyAlignment="1">
      <alignment horizontal="center" vertical="center" wrapText="1"/>
    </xf>
    <xf numFmtId="0" fontId="20" fillId="29" borderId="72" xfId="0" applyFont="1" applyFill="1" applyBorder="1" applyAlignment="1">
      <alignment horizontal="center" vertical="center" wrapText="1"/>
    </xf>
    <xf numFmtId="0" fontId="20" fillId="29" borderId="64" xfId="0" applyFont="1" applyFill="1" applyBorder="1" applyAlignment="1">
      <alignment horizontal="center" vertical="center" wrapText="1"/>
    </xf>
    <xf numFmtId="0" fontId="15" fillId="0" borderId="33" xfId="0" applyFont="1" applyBorder="1" applyAlignment="1">
      <alignment horizontal="center" wrapText="1"/>
    </xf>
    <xf numFmtId="0" fontId="15" fillId="0" borderId="70" xfId="0" applyFont="1" applyBorder="1" applyAlignment="1">
      <alignment horizontal="center" wrapText="1"/>
    </xf>
    <xf numFmtId="0" fontId="15" fillId="0" borderId="68"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27" xfId="0" applyFont="1" applyBorder="1" applyAlignment="1">
      <alignment horizontal="center" vertical="center" wrapText="1"/>
    </xf>
    <xf numFmtId="0" fontId="20" fillId="32" borderId="72" xfId="0" applyFont="1" applyFill="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63" xfId="0" applyFont="1" applyBorder="1" applyAlignment="1">
      <alignment horizontal="center" vertical="center"/>
    </xf>
    <xf numFmtId="0" fontId="12" fillId="32" borderId="18" xfId="0" applyFont="1" applyFill="1" applyBorder="1" applyAlignment="1">
      <alignment horizontal="center" vertical="center" wrapText="1"/>
    </xf>
    <xf numFmtId="0" fontId="61" fillId="0" borderId="0" xfId="0" applyFont="1"/>
    <xf numFmtId="0" fontId="12" fillId="28" borderId="26" xfId="0" applyFont="1" applyFill="1" applyBorder="1" applyAlignment="1">
      <alignment horizontal="center" vertical="center" wrapText="1"/>
    </xf>
    <xf numFmtId="0" fontId="12" fillId="28" borderId="18" xfId="0" applyFont="1" applyFill="1" applyBorder="1" applyAlignment="1">
      <alignment horizontal="center" vertical="center" wrapText="1"/>
    </xf>
    <xf numFmtId="0" fontId="12" fillId="29" borderId="26" xfId="0" applyFont="1" applyFill="1" applyBorder="1" applyAlignment="1">
      <alignment horizontal="center" vertical="center" wrapText="1"/>
    </xf>
    <xf numFmtId="0" fontId="12" fillId="29" borderId="18" xfId="0" applyFont="1" applyFill="1" applyBorder="1" applyAlignment="1">
      <alignment horizontal="center" vertical="center" wrapText="1"/>
    </xf>
    <xf numFmtId="0" fontId="12" fillId="0" borderId="2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8" xfId="0" quotePrefix="1" applyFont="1" applyBorder="1" applyAlignment="1">
      <alignment horizontal="center" vertical="center"/>
    </xf>
    <xf numFmtId="0" fontId="12" fillId="0" borderId="18" xfId="0" applyFont="1" applyBorder="1" applyAlignment="1">
      <alignment horizontal="center" vertical="center"/>
    </xf>
    <xf numFmtId="0" fontId="27" fillId="0" borderId="18" xfId="0" applyFont="1" applyBorder="1" applyAlignment="1">
      <alignment horizontal="center" vertical="center"/>
    </xf>
    <xf numFmtId="0" fontId="11" fillId="0" borderId="18" xfId="0" applyFont="1" applyBorder="1" applyAlignment="1">
      <alignment horizontal="center" vertical="center"/>
    </xf>
    <xf numFmtId="0" fontId="27" fillId="0" borderId="19" xfId="0" applyFont="1" applyBorder="1" applyAlignment="1">
      <alignment horizontal="center" vertical="center" wrapText="1"/>
    </xf>
    <xf numFmtId="0" fontId="11" fillId="0" borderId="21" xfId="0" applyFont="1" applyBorder="1" applyAlignment="1">
      <alignment horizontal="center" vertical="center"/>
    </xf>
    <xf numFmtId="0" fontId="27" fillId="0" borderId="22"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8" xfId="0" applyFont="1" applyBorder="1" applyAlignment="1">
      <alignment horizontal="center" vertical="center" wrapText="1"/>
    </xf>
    <xf numFmtId="0" fontId="12" fillId="29" borderId="34" xfId="0" applyFont="1" applyFill="1" applyBorder="1" applyAlignment="1">
      <alignment horizontal="center" vertical="center" wrapText="1"/>
    </xf>
    <xf numFmtId="0" fontId="79" fillId="29" borderId="34" xfId="0" applyFont="1" applyFill="1" applyBorder="1" applyAlignment="1">
      <alignment horizontal="center" vertical="center" wrapText="1"/>
    </xf>
    <xf numFmtId="0" fontId="12" fillId="38" borderId="34" xfId="0" applyFont="1" applyFill="1" applyBorder="1" applyAlignment="1">
      <alignment horizontal="center" vertical="center" wrapText="1"/>
    </xf>
    <xf numFmtId="0" fontId="79" fillId="38" borderId="34" xfId="0" applyFont="1" applyFill="1" applyBorder="1" applyAlignment="1">
      <alignment horizontal="center" vertical="center" wrapText="1"/>
    </xf>
    <xf numFmtId="0" fontId="20" fillId="0" borderId="18" xfId="0" applyFont="1" applyBorder="1" applyAlignment="1" applyProtection="1">
      <alignment horizontal="left" vertical="center" wrapText="1"/>
      <protection locked="0"/>
    </xf>
    <xf numFmtId="0" fontId="65" fillId="0" borderId="18" xfId="0" applyFont="1" applyBorder="1" applyAlignment="1" applyProtection="1">
      <alignment horizontal="left" vertical="center"/>
      <protection locked="0"/>
    </xf>
    <xf numFmtId="0" fontId="27" fillId="0" borderId="19" xfId="0" applyFont="1" applyBorder="1" applyAlignment="1">
      <alignment horizontal="center" vertical="center"/>
    </xf>
    <xf numFmtId="0" fontId="27" fillId="0" borderId="18" xfId="0" applyFont="1" applyBorder="1" applyAlignment="1">
      <alignment horizontal="left" vertical="center" wrapText="1"/>
    </xf>
    <xf numFmtId="0" fontId="11" fillId="0" borderId="18" xfId="0" applyFont="1" applyBorder="1" applyAlignment="1">
      <alignment horizontal="left" vertical="center"/>
    </xf>
  </cellXfs>
  <cellStyles count="1243">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2 3" xfId="6" xr:uid="{00000000-0005-0000-0000-000005000000}"/>
    <cellStyle name="20 % - Akzent1 2 3 3" xfId="7" xr:uid="{00000000-0005-0000-0000-000006000000}"/>
    <cellStyle name="20 % - Akzent1 2 4" xfId="8" xr:uid="{00000000-0005-0000-0000-000007000000}"/>
    <cellStyle name="20 % - Akzent1 3" xfId="9" xr:uid="{00000000-0005-0000-0000-000008000000}"/>
    <cellStyle name="20 % - Akzent1 3 2" xfId="10" xr:uid="{00000000-0005-0000-0000-000009000000}"/>
    <cellStyle name="20 % - Akzent1 3 2 2" xfId="584" xr:uid="{00000000-0005-0000-0000-00000A000000}"/>
    <cellStyle name="20 % - Akzent1 3 2 3" xfId="585" xr:uid="{00000000-0005-0000-0000-00000B000000}"/>
    <cellStyle name="20 % - Akzent1 3 2 4" xfId="586" xr:uid="{00000000-0005-0000-0000-00000C000000}"/>
    <cellStyle name="20 % - Akzent1 3 3" xfId="11" xr:uid="{00000000-0005-0000-0000-00000D000000}"/>
    <cellStyle name="20 % - Akzent1 3 3 2" xfId="587" xr:uid="{00000000-0005-0000-0000-00000E000000}"/>
    <cellStyle name="20 % - Akzent1 3 4" xfId="588" xr:uid="{00000000-0005-0000-0000-00000F000000}"/>
    <cellStyle name="20 % - Akzent1 3 5" xfId="589" xr:uid="{00000000-0005-0000-0000-000010000000}"/>
    <cellStyle name="20 % - Akzent1 4" xfId="12" xr:uid="{00000000-0005-0000-0000-000011000000}"/>
    <cellStyle name="20 % - Akzent1 4 2" xfId="13" xr:uid="{00000000-0005-0000-0000-000012000000}"/>
    <cellStyle name="20 % - Akzent1 4 2 2" xfId="590" xr:uid="{00000000-0005-0000-0000-000013000000}"/>
    <cellStyle name="20 % - Akzent1 4 2 3" xfId="591" xr:uid="{00000000-0005-0000-0000-000014000000}"/>
    <cellStyle name="20 % - Akzent1 4 2 4" xfId="592" xr:uid="{00000000-0005-0000-0000-000015000000}"/>
    <cellStyle name="20 % - Akzent1 4 3" xfId="14" xr:uid="{00000000-0005-0000-0000-000016000000}"/>
    <cellStyle name="20 % - Akzent1 4 3 2" xfId="593" xr:uid="{00000000-0005-0000-0000-000017000000}"/>
    <cellStyle name="20 % - Akzent1 4 4" xfId="594" xr:uid="{00000000-0005-0000-0000-000018000000}"/>
    <cellStyle name="20 % - Akzent1 4 5" xfId="595" xr:uid="{00000000-0005-0000-0000-000019000000}"/>
    <cellStyle name="20 % - Akzent1 5" xfId="15" xr:uid="{00000000-0005-0000-0000-00001A000000}"/>
    <cellStyle name="20 % - Akzent1 5 2" xfId="596" xr:uid="{00000000-0005-0000-0000-00001B000000}"/>
    <cellStyle name="20 % - Akzent1 5 3" xfId="597" xr:uid="{00000000-0005-0000-0000-00001C000000}"/>
    <cellStyle name="20 % - Akzent1 5 4" xfId="598" xr:uid="{00000000-0005-0000-0000-00001D000000}"/>
    <cellStyle name="20 % - Akzent1 6" xfId="16" xr:uid="{00000000-0005-0000-0000-00001E000000}"/>
    <cellStyle name="20 % - Akzent1 6 2" xfId="599" xr:uid="{00000000-0005-0000-0000-00001F000000}"/>
    <cellStyle name="20 % - Akzent1 7" xfId="17" xr:uid="{00000000-0005-0000-0000-000020000000}"/>
    <cellStyle name="20 % - Akzent1 7 2" xfId="600" xr:uid="{00000000-0005-0000-0000-000021000000}"/>
    <cellStyle name="20 % - Akzent2 2" xfId="18" xr:uid="{00000000-0005-0000-0000-000022000000}"/>
    <cellStyle name="20 % - Akzent2 2 2" xfId="19" xr:uid="{00000000-0005-0000-0000-000023000000}"/>
    <cellStyle name="20 % - Akzent2 2 3" xfId="20" xr:uid="{00000000-0005-0000-0000-000024000000}"/>
    <cellStyle name="20 % - Akzent2 2 3 2" xfId="21" xr:uid="{00000000-0005-0000-0000-000025000000}"/>
    <cellStyle name="20 % - Akzent2 2 3 2 2" xfId="22" xr:uid="{00000000-0005-0000-0000-000026000000}"/>
    <cellStyle name="20 % - Akzent2 2 3 2 3" xfId="23" xr:uid="{00000000-0005-0000-0000-000027000000}"/>
    <cellStyle name="20 % - Akzent2 2 3 3" xfId="24" xr:uid="{00000000-0005-0000-0000-000028000000}"/>
    <cellStyle name="20 % - Akzent2 2 4" xfId="25" xr:uid="{00000000-0005-0000-0000-000029000000}"/>
    <cellStyle name="20 % - Akzent2 3" xfId="26" xr:uid="{00000000-0005-0000-0000-00002A000000}"/>
    <cellStyle name="20 % - Akzent2 3 2" xfId="27" xr:uid="{00000000-0005-0000-0000-00002B000000}"/>
    <cellStyle name="20 % - Akzent2 3 2 2" xfId="601" xr:uid="{00000000-0005-0000-0000-00002C000000}"/>
    <cellStyle name="20 % - Akzent2 3 2 3" xfId="602" xr:uid="{00000000-0005-0000-0000-00002D000000}"/>
    <cellStyle name="20 % - Akzent2 3 2 4" xfId="603" xr:uid="{00000000-0005-0000-0000-00002E000000}"/>
    <cellStyle name="20 % - Akzent2 3 3" xfId="28" xr:uid="{00000000-0005-0000-0000-00002F000000}"/>
    <cellStyle name="20 % - Akzent2 3 3 2" xfId="604" xr:uid="{00000000-0005-0000-0000-000030000000}"/>
    <cellStyle name="20 % - Akzent2 3 4" xfId="605" xr:uid="{00000000-0005-0000-0000-000031000000}"/>
    <cellStyle name="20 % - Akzent2 3 5" xfId="606" xr:uid="{00000000-0005-0000-0000-000032000000}"/>
    <cellStyle name="20 % - Akzent2 4" xfId="29" xr:uid="{00000000-0005-0000-0000-000033000000}"/>
    <cellStyle name="20 % - Akzent2 4 2" xfId="30" xr:uid="{00000000-0005-0000-0000-000034000000}"/>
    <cellStyle name="20 % - Akzent2 4 2 2" xfId="607" xr:uid="{00000000-0005-0000-0000-000035000000}"/>
    <cellStyle name="20 % - Akzent2 4 2 3" xfId="608" xr:uid="{00000000-0005-0000-0000-000036000000}"/>
    <cellStyle name="20 % - Akzent2 4 2 4" xfId="609" xr:uid="{00000000-0005-0000-0000-000037000000}"/>
    <cellStyle name="20 % - Akzent2 4 3" xfId="31" xr:uid="{00000000-0005-0000-0000-000038000000}"/>
    <cellStyle name="20 % - Akzent2 4 3 2" xfId="610" xr:uid="{00000000-0005-0000-0000-000039000000}"/>
    <cellStyle name="20 % - Akzent2 4 4" xfId="611" xr:uid="{00000000-0005-0000-0000-00003A000000}"/>
    <cellStyle name="20 % - Akzent2 4 5" xfId="612" xr:uid="{00000000-0005-0000-0000-00003B000000}"/>
    <cellStyle name="20 % - Akzent2 5" xfId="32" xr:uid="{00000000-0005-0000-0000-00003C000000}"/>
    <cellStyle name="20 % - Akzent2 5 2" xfId="613" xr:uid="{00000000-0005-0000-0000-00003D000000}"/>
    <cellStyle name="20 % - Akzent2 5 3" xfId="614" xr:uid="{00000000-0005-0000-0000-00003E000000}"/>
    <cellStyle name="20 % - Akzent2 5 4" xfId="615" xr:uid="{00000000-0005-0000-0000-00003F000000}"/>
    <cellStyle name="20 % - Akzent2 6" xfId="33" xr:uid="{00000000-0005-0000-0000-000040000000}"/>
    <cellStyle name="20 % - Akzent2 6 2" xfId="616" xr:uid="{00000000-0005-0000-0000-000041000000}"/>
    <cellStyle name="20 % - Akzent2 7" xfId="34" xr:uid="{00000000-0005-0000-0000-000042000000}"/>
    <cellStyle name="20 % - Akzent2 7 2" xfId="617" xr:uid="{00000000-0005-0000-0000-000043000000}"/>
    <cellStyle name="20 % - Akzent3 2" xfId="35" xr:uid="{00000000-0005-0000-0000-000044000000}"/>
    <cellStyle name="20 % - Akzent3 2 2" xfId="36" xr:uid="{00000000-0005-0000-0000-000045000000}"/>
    <cellStyle name="20 % - Akzent3 2 3" xfId="37" xr:uid="{00000000-0005-0000-0000-000046000000}"/>
    <cellStyle name="20 % - Akzent3 2 3 2" xfId="38" xr:uid="{00000000-0005-0000-0000-000047000000}"/>
    <cellStyle name="20 % - Akzent3 2 3 2 2" xfId="39" xr:uid="{00000000-0005-0000-0000-000048000000}"/>
    <cellStyle name="20 % - Akzent3 2 3 2 3" xfId="40" xr:uid="{00000000-0005-0000-0000-000049000000}"/>
    <cellStyle name="20 % - Akzent3 2 3 3" xfId="41" xr:uid="{00000000-0005-0000-0000-00004A000000}"/>
    <cellStyle name="20 % - Akzent3 2 4" xfId="42" xr:uid="{00000000-0005-0000-0000-00004B000000}"/>
    <cellStyle name="20 % - Akzent3 3" xfId="43" xr:uid="{00000000-0005-0000-0000-00004C000000}"/>
    <cellStyle name="20 % - Akzent3 3 2" xfId="44" xr:uid="{00000000-0005-0000-0000-00004D000000}"/>
    <cellStyle name="20 % - Akzent3 3 2 2" xfId="618" xr:uid="{00000000-0005-0000-0000-00004E000000}"/>
    <cellStyle name="20 % - Akzent3 3 2 3" xfId="619" xr:uid="{00000000-0005-0000-0000-00004F000000}"/>
    <cellStyle name="20 % - Akzent3 3 2 4" xfId="620" xr:uid="{00000000-0005-0000-0000-000050000000}"/>
    <cellStyle name="20 % - Akzent3 3 3" xfId="45" xr:uid="{00000000-0005-0000-0000-000051000000}"/>
    <cellStyle name="20 % - Akzent3 3 3 2" xfId="621" xr:uid="{00000000-0005-0000-0000-000052000000}"/>
    <cellStyle name="20 % - Akzent3 3 4" xfId="622" xr:uid="{00000000-0005-0000-0000-000053000000}"/>
    <cellStyle name="20 % - Akzent3 3 5" xfId="623" xr:uid="{00000000-0005-0000-0000-000054000000}"/>
    <cellStyle name="20 % - Akzent3 4" xfId="46" xr:uid="{00000000-0005-0000-0000-000055000000}"/>
    <cellStyle name="20 % - Akzent3 4 2" xfId="47" xr:uid="{00000000-0005-0000-0000-000056000000}"/>
    <cellStyle name="20 % - Akzent3 4 2 2" xfId="624" xr:uid="{00000000-0005-0000-0000-000057000000}"/>
    <cellStyle name="20 % - Akzent3 4 2 3" xfId="625" xr:uid="{00000000-0005-0000-0000-000058000000}"/>
    <cellStyle name="20 % - Akzent3 4 2 4" xfId="626" xr:uid="{00000000-0005-0000-0000-000059000000}"/>
    <cellStyle name="20 % - Akzent3 4 3" xfId="48" xr:uid="{00000000-0005-0000-0000-00005A000000}"/>
    <cellStyle name="20 % - Akzent3 4 3 2" xfId="627" xr:uid="{00000000-0005-0000-0000-00005B000000}"/>
    <cellStyle name="20 % - Akzent3 4 4" xfId="628" xr:uid="{00000000-0005-0000-0000-00005C000000}"/>
    <cellStyle name="20 % - Akzent3 4 5" xfId="629" xr:uid="{00000000-0005-0000-0000-00005D000000}"/>
    <cellStyle name="20 % - Akzent3 5" xfId="49" xr:uid="{00000000-0005-0000-0000-00005E000000}"/>
    <cellStyle name="20 % - Akzent3 5 2" xfId="630" xr:uid="{00000000-0005-0000-0000-00005F000000}"/>
    <cellStyle name="20 % - Akzent3 5 3" xfId="631" xr:uid="{00000000-0005-0000-0000-000060000000}"/>
    <cellStyle name="20 % - Akzent3 5 4" xfId="632" xr:uid="{00000000-0005-0000-0000-000061000000}"/>
    <cellStyle name="20 % - Akzent3 6" xfId="50" xr:uid="{00000000-0005-0000-0000-000062000000}"/>
    <cellStyle name="20 % - Akzent3 6 2" xfId="633" xr:uid="{00000000-0005-0000-0000-000063000000}"/>
    <cellStyle name="20 % - Akzent3 7" xfId="51" xr:uid="{00000000-0005-0000-0000-000064000000}"/>
    <cellStyle name="20 % - Akzent3 7 2" xfId="634" xr:uid="{00000000-0005-0000-0000-000065000000}"/>
    <cellStyle name="20 % - Akzent4 2" xfId="52" xr:uid="{00000000-0005-0000-0000-000066000000}"/>
    <cellStyle name="20 % - Akzent4 2 2" xfId="53" xr:uid="{00000000-0005-0000-0000-000067000000}"/>
    <cellStyle name="20 % - Akzent4 2 3" xfId="54" xr:uid="{00000000-0005-0000-0000-000068000000}"/>
    <cellStyle name="20 % - Akzent4 2 3 2" xfId="55" xr:uid="{00000000-0005-0000-0000-000069000000}"/>
    <cellStyle name="20 % - Akzent4 2 3 2 2" xfId="56" xr:uid="{00000000-0005-0000-0000-00006A000000}"/>
    <cellStyle name="20 % - Akzent4 2 3 2 3" xfId="57" xr:uid="{00000000-0005-0000-0000-00006B000000}"/>
    <cellStyle name="20 % - Akzent4 2 3 3" xfId="58" xr:uid="{00000000-0005-0000-0000-00006C000000}"/>
    <cellStyle name="20 % - Akzent4 2 4" xfId="59" xr:uid="{00000000-0005-0000-0000-00006D000000}"/>
    <cellStyle name="20 % - Akzent4 3" xfId="60" xr:uid="{00000000-0005-0000-0000-00006E000000}"/>
    <cellStyle name="20 % - Akzent4 3 2" xfId="61" xr:uid="{00000000-0005-0000-0000-00006F000000}"/>
    <cellStyle name="20 % - Akzent4 3 2 2" xfId="635" xr:uid="{00000000-0005-0000-0000-000070000000}"/>
    <cellStyle name="20 % - Akzent4 3 2 3" xfId="636" xr:uid="{00000000-0005-0000-0000-000071000000}"/>
    <cellStyle name="20 % - Akzent4 3 2 4" xfId="637" xr:uid="{00000000-0005-0000-0000-000072000000}"/>
    <cellStyle name="20 % - Akzent4 3 3" xfId="62" xr:uid="{00000000-0005-0000-0000-000073000000}"/>
    <cellStyle name="20 % - Akzent4 3 3 2" xfId="638" xr:uid="{00000000-0005-0000-0000-000074000000}"/>
    <cellStyle name="20 % - Akzent4 3 4" xfId="639" xr:uid="{00000000-0005-0000-0000-000075000000}"/>
    <cellStyle name="20 % - Akzent4 3 5" xfId="640" xr:uid="{00000000-0005-0000-0000-000076000000}"/>
    <cellStyle name="20 % - Akzent4 4" xfId="63" xr:uid="{00000000-0005-0000-0000-000077000000}"/>
    <cellStyle name="20 % - Akzent4 4 2" xfId="64" xr:uid="{00000000-0005-0000-0000-000078000000}"/>
    <cellStyle name="20 % - Akzent4 4 2 2" xfId="641" xr:uid="{00000000-0005-0000-0000-000079000000}"/>
    <cellStyle name="20 % - Akzent4 4 2 3" xfId="642" xr:uid="{00000000-0005-0000-0000-00007A000000}"/>
    <cellStyle name="20 % - Akzent4 4 2 4" xfId="643" xr:uid="{00000000-0005-0000-0000-00007B000000}"/>
    <cellStyle name="20 % - Akzent4 4 3" xfId="65" xr:uid="{00000000-0005-0000-0000-00007C000000}"/>
    <cellStyle name="20 % - Akzent4 4 3 2" xfId="644" xr:uid="{00000000-0005-0000-0000-00007D000000}"/>
    <cellStyle name="20 % - Akzent4 4 4" xfId="645" xr:uid="{00000000-0005-0000-0000-00007E000000}"/>
    <cellStyle name="20 % - Akzent4 4 5" xfId="646" xr:uid="{00000000-0005-0000-0000-00007F000000}"/>
    <cellStyle name="20 % - Akzent4 5" xfId="66" xr:uid="{00000000-0005-0000-0000-000080000000}"/>
    <cellStyle name="20 % - Akzent4 5 2" xfId="647" xr:uid="{00000000-0005-0000-0000-000081000000}"/>
    <cellStyle name="20 % - Akzent4 5 3" xfId="648" xr:uid="{00000000-0005-0000-0000-000082000000}"/>
    <cellStyle name="20 % - Akzent4 5 4" xfId="649" xr:uid="{00000000-0005-0000-0000-000083000000}"/>
    <cellStyle name="20 % - Akzent4 6" xfId="67" xr:uid="{00000000-0005-0000-0000-000084000000}"/>
    <cellStyle name="20 % - Akzent4 6 2" xfId="650" xr:uid="{00000000-0005-0000-0000-000085000000}"/>
    <cellStyle name="20 % - Akzent4 7" xfId="68" xr:uid="{00000000-0005-0000-0000-000086000000}"/>
    <cellStyle name="20 % - Akzent4 7 2" xfId="651" xr:uid="{00000000-0005-0000-0000-000087000000}"/>
    <cellStyle name="20 % - Akzent5 2" xfId="69" xr:uid="{00000000-0005-0000-0000-000088000000}"/>
    <cellStyle name="20 % - Akzent5 2 2" xfId="70" xr:uid="{00000000-0005-0000-0000-000089000000}"/>
    <cellStyle name="20 % - Akzent5 2 2 2" xfId="71" xr:uid="{00000000-0005-0000-0000-00008A000000}"/>
    <cellStyle name="20 % - Akzent5 2 2 3" xfId="72" xr:uid="{00000000-0005-0000-0000-00008B000000}"/>
    <cellStyle name="20 % - Akzent5 2 3" xfId="73" xr:uid="{00000000-0005-0000-0000-00008C000000}"/>
    <cellStyle name="20 % - Akzent5 3" xfId="74" xr:uid="{00000000-0005-0000-0000-00008D000000}"/>
    <cellStyle name="20 % - Akzent5 3 2" xfId="75" xr:uid="{00000000-0005-0000-0000-00008E000000}"/>
    <cellStyle name="20 % - Akzent5 3 2 2" xfId="652" xr:uid="{00000000-0005-0000-0000-00008F000000}"/>
    <cellStyle name="20 % - Akzent5 3 2 3" xfId="653" xr:uid="{00000000-0005-0000-0000-000090000000}"/>
    <cellStyle name="20 % - Akzent5 3 2 4" xfId="654" xr:uid="{00000000-0005-0000-0000-000091000000}"/>
    <cellStyle name="20 % - Akzent5 3 3" xfId="76" xr:uid="{00000000-0005-0000-0000-000092000000}"/>
    <cellStyle name="20 % - Akzent5 3 3 2" xfId="655" xr:uid="{00000000-0005-0000-0000-000093000000}"/>
    <cellStyle name="20 % - Akzent5 3 4" xfId="656" xr:uid="{00000000-0005-0000-0000-000094000000}"/>
    <cellStyle name="20 % - Akzent5 3 5" xfId="657" xr:uid="{00000000-0005-0000-0000-000095000000}"/>
    <cellStyle name="20 % - Akzent5 4" xfId="77" xr:uid="{00000000-0005-0000-0000-000096000000}"/>
    <cellStyle name="20 % - Akzent5 4 2" xfId="78" xr:uid="{00000000-0005-0000-0000-000097000000}"/>
    <cellStyle name="20 % - Akzent5 4 2 2" xfId="658" xr:uid="{00000000-0005-0000-0000-000098000000}"/>
    <cellStyle name="20 % - Akzent5 4 2 3" xfId="659" xr:uid="{00000000-0005-0000-0000-000099000000}"/>
    <cellStyle name="20 % - Akzent5 4 2 4" xfId="660" xr:uid="{00000000-0005-0000-0000-00009A000000}"/>
    <cellStyle name="20 % - Akzent5 4 3" xfId="79" xr:uid="{00000000-0005-0000-0000-00009B000000}"/>
    <cellStyle name="20 % - Akzent5 4 3 2" xfId="661" xr:uid="{00000000-0005-0000-0000-00009C000000}"/>
    <cellStyle name="20 % - Akzent5 4 4" xfId="662" xr:uid="{00000000-0005-0000-0000-00009D000000}"/>
    <cellStyle name="20 % - Akzent5 4 5" xfId="663" xr:uid="{00000000-0005-0000-0000-00009E000000}"/>
    <cellStyle name="20 % - Akzent5 5" xfId="80" xr:uid="{00000000-0005-0000-0000-00009F000000}"/>
    <cellStyle name="20 % - Akzent5 5 2" xfId="664" xr:uid="{00000000-0005-0000-0000-0000A0000000}"/>
    <cellStyle name="20 % - Akzent5 5 3" xfId="665" xr:uid="{00000000-0005-0000-0000-0000A1000000}"/>
    <cellStyle name="20 % - Akzent5 5 4" xfId="666" xr:uid="{00000000-0005-0000-0000-0000A2000000}"/>
    <cellStyle name="20 % - Akzent5 6" xfId="81" xr:uid="{00000000-0005-0000-0000-0000A3000000}"/>
    <cellStyle name="20 % - Akzent5 6 2" xfId="667" xr:uid="{00000000-0005-0000-0000-0000A4000000}"/>
    <cellStyle name="20 % - Akzent5 7" xfId="82" xr:uid="{00000000-0005-0000-0000-0000A5000000}"/>
    <cellStyle name="20 % - Akzent5 7 2" xfId="668" xr:uid="{00000000-0005-0000-0000-0000A6000000}"/>
    <cellStyle name="20 % - Akzent6 2" xfId="83" xr:uid="{00000000-0005-0000-0000-0000A7000000}"/>
    <cellStyle name="20 % - Akzent6 3" xfId="84" xr:uid="{00000000-0005-0000-0000-0000A8000000}"/>
    <cellStyle name="20 % - Akzent6 3 2" xfId="85" xr:uid="{00000000-0005-0000-0000-0000A9000000}"/>
    <cellStyle name="20 % - Akzent6 3 2 2" xfId="669" xr:uid="{00000000-0005-0000-0000-0000AA000000}"/>
    <cellStyle name="20 % - Akzent6 3 2 3" xfId="670" xr:uid="{00000000-0005-0000-0000-0000AB000000}"/>
    <cellStyle name="20 % - Akzent6 3 2 4" xfId="671" xr:uid="{00000000-0005-0000-0000-0000AC000000}"/>
    <cellStyle name="20 % - Akzent6 3 3" xfId="86" xr:uid="{00000000-0005-0000-0000-0000AD000000}"/>
    <cellStyle name="20 % - Akzent6 3 3 2" xfId="672" xr:uid="{00000000-0005-0000-0000-0000AE000000}"/>
    <cellStyle name="20 % - Akzent6 3 4" xfId="673" xr:uid="{00000000-0005-0000-0000-0000AF000000}"/>
    <cellStyle name="20 % - Akzent6 3 5" xfId="674" xr:uid="{00000000-0005-0000-0000-0000B0000000}"/>
    <cellStyle name="20 % - Akzent6 4" xfId="87" xr:uid="{00000000-0005-0000-0000-0000B1000000}"/>
    <cellStyle name="20 % - Akzent6 4 2" xfId="88" xr:uid="{00000000-0005-0000-0000-0000B2000000}"/>
    <cellStyle name="20 % - Akzent6 4 2 2" xfId="675" xr:uid="{00000000-0005-0000-0000-0000B3000000}"/>
    <cellStyle name="20 % - Akzent6 4 2 3" xfId="676" xr:uid="{00000000-0005-0000-0000-0000B4000000}"/>
    <cellStyle name="20 % - Akzent6 4 2 4" xfId="677" xr:uid="{00000000-0005-0000-0000-0000B5000000}"/>
    <cellStyle name="20 % - Akzent6 4 3" xfId="89" xr:uid="{00000000-0005-0000-0000-0000B6000000}"/>
    <cellStyle name="20 % - Akzent6 4 3 2" xfId="678" xr:uid="{00000000-0005-0000-0000-0000B7000000}"/>
    <cellStyle name="20 % - Akzent6 4 4" xfId="679" xr:uid="{00000000-0005-0000-0000-0000B8000000}"/>
    <cellStyle name="20 % - Akzent6 4 5" xfId="680" xr:uid="{00000000-0005-0000-0000-0000B9000000}"/>
    <cellStyle name="20 % - Akzent6 5" xfId="90" xr:uid="{00000000-0005-0000-0000-0000BA000000}"/>
    <cellStyle name="20 % - Akzent6 5 2" xfId="681" xr:uid="{00000000-0005-0000-0000-0000BB000000}"/>
    <cellStyle name="20 % - Akzent6 5 3" xfId="682" xr:uid="{00000000-0005-0000-0000-0000BC000000}"/>
    <cellStyle name="20 % - Akzent6 5 4" xfId="683" xr:uid="{00000000-0005-0000-0000-0000BD000000}"/>
    <cellStyle name="20 % - Akzent6 6" xfId="91" xr:uid="{00000000-0005-0000-0000-0000BE000000}"/>
    <cellStyle name="20 % - Akzent6 6 2" xfId="684" xr:uid="{00000000-0005-0000-0000-0000BF000000}"/>
    <cellStyle name="20 % - Akzent6 7" xfId="92" xr:uid="{00000000-0005-0000-0000-0000C0000000}"/>
    <cellStyle name="20 % - Akzent6 7 2" xfId="685" xr:uid="{00000000-0005-0000-0000-0000C1000000}"/>
    <cellStyle name="40 % - Akzent1 2" xfId="93" xr:uid="{00000000-0005-0000-0000-0000C2000000}"/>
    <cellStyle name="40 % - Akzent1 2 2" xfId="94" xr:uid="{00000000-0005-0000-0000-0000C3000000}"/>
    <cellStyle name="40 % - Akzent1 2 3" xfId="95" xr:uid="{00000000-0005-0000-0000-0000C4000000}"/>
    <cellStyle name="40 % - Akzent1 3" xfId="96" xr:uid="{00000000-0005-0000-0000-0000C5000000}"/>
    <cellStyle name="40 % - Akzent1 3 2" xfId="97" xr:uid="{00000000-0005-0000-0000-0000C6000000}"/>
    <cellStyle name="40 % - Akzent1 3 2 2" xfId="686" xr:uid="{00000000-0005-0000-0000-0000C7000000}"/>
    <cellStyle name="40 % - Akzent1 3 2 3" xfId="687" xr:uid="{00000000-0005-0000-0000-0000C8000000}"/>
    <cellStyle name="40 % - Akzent1 3 2 4" xfId="688" xr:uid="{00000000-0005-0000-0000-0000C9000000}"/>
    <cellStyle name="40 % - Akzent1 3 3" xfId="98" xr:uid="{00000000-0005-0000-0000-0000CA000000}"/>
    <cellStyle name="40 % - Akzent1 3 3 2" xfId="689" xr:uid="{00000000-0005-0000-0000-0000CB000000}"/>
    <cellStyle name="40 % - Akzent1 3 4" xfId="690" xr:uid="{00000000-0005-0000-0000-0000CC000000}"/>
    <cellStyle name="40 % - Akzent1 3 5" xfId="691" xr:uid="{00000000-0005-0000-0000-0000CD000000}"/>
    <cellStyle name="40 % - Akzent1 4" xfId="99" xr:uid="{00000000-0005-0000-0000-0000CE000000}"/>
    <cellStyle name="40 % - Akzent1 4 2" xfId="100" xr:uid="{00000000-0005-0000-0000-0000CF000000}"/>
    <cellStyle name="40 % - Akzent1 4 2 2" xfId="692" xr:uid="{00000000-0005-0000-0000-0000D0000000}"/>
    <cellStyle name="40 % - Akzent1 4 2 3" xfId="693" xr:uid="{00000000-0005-0000-0000-0000D1000000}"/>
    <cellStyle name="40 % - Akzent1 4 2 4" xfId="694" xr:uid="{00000000-0005-0000-0000-0000D2000000}"/>
    <cellStyle name="40 % - Akzent1 4 3" xfId="101" xr:uid="{00000000-0005-0000-0000-0000D3000000}"/>
    <cellStyle name="40 % - Akzent1 4 3 2" xfId="695" xr:uid="{00000000-0005-0000-0000-0000D4000000}"/>
    <cellStyle name="40 % - Akzent1 4 4" xfId="696" xr:uid="{00000000-0005-0000-0000-0000D5000000}"/>
    <cellStyle name="40 % - Akzent1 4 5" xfId="697" xr:uid="{00000000-0005-0000-0000-0000D6000000}"/>
    <cellStyle name="40 % - Akzent1 5" xfId="102" xr:uid="{00000000-0005-0000-0000-0000D7000000}"/>
    <cellStyle name="40 % - Akzent1 5 2" xfId="698" xr:uid="{00000000-0005-0000-0000-0000D8000000}"/>
    <cellStyle name="40 % - Akzent1 5 3" xfId="699" xr:uid="{00000000-0005-0000-0000-0000D9000000}"/>
    <cellStyle name="40 % - Akzent1 5 4" xfId="700" xr:uid="{00000000-0005-0000-0000-0000DA000000}"/>
    <cellStyle name="40 % - Akzent1 6" xfId="103" xr:uid="{00000000-0005-0000-0000-0000DB000000}"/>
    <cellStyle name="40 % - Akzent1 6 2" xfId="701" xr:uid="{00000000-0005-0000-0000-0000DC000000}"/>
    <cellStyle name="40 % - Akzent1 7" xfId="104" xr:uid="{00000000-0005-0000-0000-0000DD000000}"/>
    <cellStyle name="40 % - Akzent1 7 2" xfId="702" xr:uid="{00000000-0005-0000-0000-0000DE000000}"/>
    <cellStyle name="40 % - Akzent2 2" xfId="105" xr:uid="{00000000-0005-0000-0000-0000DF000000}"/>
    <cellStyle name="40 % - Akzent2 3" xfId="106" xr:uid="{00000000-0005-0000-0000-0000E0000000}"/>
    <cellStyle name="40 % - Akzent2 3 2" xfId="107" xr:uid="{00000000-0005-0000-0000-0000E1000000}"/>
    <cellStyle name="40 % - Akzent2 3 2 2" xfId="703" xr:uid="{00000000-0005-0000-0000-0000E2000000}"/>
    <cellStyle name="40 % - Akzent2 3 2 3" xfId="704" xr:uid="{00000000-0005-0000-0000-0000E3000000}"/>
    <cellStyle name="40 % - Akzent2 3 2 4" xfId="705" xr:uid="{00000000-0005-0000-0000-0000E4000000}"/>
    <cellStyle name="40 % - Akzent2 3 3" xfId="108" xr:uid="{00000000-0005-0000-0000-0000E5000000}"/>
    <cellStyle name="40 % - Akzent2 3 3 2" xfId="706" xr:uid="{00000000-0005-0000-0000-0000E6000000}"/>
    <cellStyle name="40 % - Akzent2 3 4" xfId="707" xr:uid="{00000000-0005-0000-0000-0000E7000000}"/>
    <cellStyle name="40 % - Akzent2 3 5" xfId="708" xr:uid="{00000000-0005-0000-0000-0000E8000000}"/>
    <cellStyle name="40 % - Akzent2 4" xfId="109" xr:uid="{00000000-0005-0000-0000-0000E9000000}"/>
    <cellStyle name="40 % - Akzent2 4 2" xfId="110" xr:uid="{00000000-0005-0000-0000-0000EA000000}"/>
    <cellStyle name="40 % - Akzent2 4 2 2" xfId="709" xr:uid="{00000000-0005-0000-0000-0000EB000000}"/>
    <cellStyle name="40 % - Akzent2 4 2 3" xfId="710" xr:uid="{00000000-0005-0000-0000-0000EC000000}"/>
    <cellStyle name="40 % - Akzent2 4 2 4" xfId="711" xr:uid="{00000000-0005-0000-0000-0000ED000000}"/>
    <cellStyle name="40 % - Akzent2 4 3" xfId="111" xr:uid="{00000000-0005-0000-0000-0000EE000000}"/>
    <cellStyle name="40 % - Akzent2 4 3 2" xfId="712" xr:uid="{00000000-0005-0000-0000-0000EF000000}"/>
    <cellStyle name="40 % - Akzent2 4 4" xfId="713" xr:uid="{00000000-0005-0000-0000-0000F0000000}"/>
    <cellStyle name="40 % - Akzent2 4 5" xfId="714" xr:uid="{00000000-0005-0000-0000-0000F1000000}"/>
    <cellStyle name="40 % - Akzent2 5" xfId="112" xr:uid="{00000000-0005-0000-0000-0000F2000000}"/>
    <cellStyle name="40 % - Akzent2 5 2" xfId="715" xr:uid="{00000000-0005-0000-0000-0000F3000000}"/>
    <cellStyle name="40 % - Akzent2 5 3" xfId="716" xr:uid="{00000000-0005-0000-0000-0000F4000000}"/>
    <cellStyle name="40 % - Akzent2 5 4" xfId="717" xr:uid="{00000000-0005-0000-0000-0000F5000000}"/>
    <cellStyle name="40 % - Akzent2 6" xfId="113" xr:uid="{00000000-0005-0000-0000-0000F6000000}"/>
    <cellStyle name="40 % - Akzent2 6 2" xfId="718" xr:uid="{00000000-0005-0000-0000-0000F7000000}"/>
    <cellStyle name="40 % - Akzent2 7" xfId="114" xr:uid="{00000000-0005-0000-0000-0000F8000000}"/>
    <cellStyle name="40 % - Akzent2 7 2" xfId="719" xr:uid="{00000000-0005-0000-0000-0000F9000000}"/>
    <cellStyle name="40 % - Akzent3 2" xfId="115" xr:uid="{00000000-0005-0000-0000-0000FA000000}"/>
    <cellStyle name="40 % - Akzent3 2 2" xfId="116" xr:uid="{00000000-0005-0000-0000-0000FB000000}"/>
    <cellStyle name="40 % - Akzent3 2 3" xfId="117" xr:uid="{00000000-0005-0000-0000-0000FC000000}"/>
    <cellStyle name="40 % - Akzent3 2 3 2" xfId="118" xr:uid="{00000000-0005-0000-0000-0000FD000000}"/>
    <cellStyle name="40 % - Akzent3 2 3 2 2" xfId="119" xr:uid="{00000000-0005-0000-0000-0000FE000000}"/>
    <cellStyle name="40 % - Akzent3 2 3 2 3" xfId="120" xr:uid="{00000000-0005-0000-0000-0000FF000000}"/>
    <cellStyle name="40 % - Akzent3 2 3 3" xfId="121" xr:uid="{00000000-0005-0000-0000-000000010000}"/>
    <cellStyle name="40 % - Akzent3 2 4" xfId="122" xr:uid="{00000000-0005-0000-0000-000001010000}"/>
    <cellStyle name="40 % - Akzent3 3" xfId="123" xr:uid="{00000000-0005-0000-0000-000002010000}"/>
    <cellStyle name="40 % - Akzent3 3 2" xfId="124" xr:uid="{00000000-0005-0000-0000-000003010000}"/>
    <cellStyle name="40 % - Akzent3 3 2 2" xfId="720" xr:uid="{00000000-0005-0000-0000-000004010000}"/>
    <cellStyle name="40 % - Akzent3 3 2 3" xfId="721" xr:uid="{00000000-0005-0000-0000-000005010000}"/>
    <cellStyle name="40 % - Akzent3 3 2 4" xfId="722" xr:uid="{00000000-0005-0000-0000-000006010000}"/>
    <cellStyle name="40 % - Akzent3 3 3" xfId="125" xr:uid="{00000000-0005-0000-0000-000007010000}"/>
    <cellStyle name="40 % - Akzent3 3 3 2" xfId="723" xr:uid="{00000000-0005-0000-0000-000008010000}"/>
    <cellStyle name="40 % - Akzent3 3 4" xfId="724" xr:uid="{00000000-0005-0000-0000-000009010000}"/>
    <cellStyle name="40 % - Akzent3 3 5" xfId="725" xr:uid="{00000000-0005-0000-0000-00000A010000}"/>
    <cellStyle name="40 % - Akzent3 4" xfId="126" xr:uid="{00000000-0005-0000-0000-00000B010000}"/>
    <cellStyle name="40 % - Akzent3 4 2" xfId="127" xr:uid="{00000000-0005-0000-0000-00000C010000}"/>
    <cellStyle name="40 % - Akzent3 4 2 2" xfId="726" xr:uid="{00000000-0005-0000-0000-00000D010000}"/>
    <cellStyle name="40 % - Akzent3 4 2 3" xfId="727" xr:uid="{00000000-0005-0000-0000-00000E010000}"/>
    <cellStyle name="40 % - Akzent3 4 2 4" xfId="728" xr:uid="{00000000-0005-0000-0000-00000F010000}"/>
    <cellStyle name="40 % - Akzent3 4 3" xfId="128" xr:uid="{00000000-0005-0000-0000-000010010000}"/>
    <cellStyle name="40 % - Akzent3 4 3 2" xfId="729" xr:uid="{00000000-0005-0000-0000-000011010000}"/>
    <cellStyle name="40 % - Akzent3 4 4" xfId="730" xr:uid="{00000000-0005-0000-0000-000012010000}"/>
    <cellStyle name="40 % - Akzent3 4 5" xfId="731" xr:uid="{00000000-0005-0000-0000-000013010000}"/>
    <cellStyle name="40 % - Akzent3 5" xfId="129" xr:uid="{00000000-0005-0000-0000-000014010000}"/>
    <cellStyle name="40 % - Akzent3 5 2" xfId="732" xr:uid="{00000000-0005-0000-0000-000015010000}"/>
    <cellStyle name="40 % - Akzent3 5 3" xfId="733" xr:uid="{00000000-0005-0000-0000-000016010000}"/>
    <cellStyle name="40 % - Akzent3 5 4" xfId="734" xr:uid="{00000000-0005-0000-0000-000017010000}"/>
    <cellStyle name="40 % - Akzent3 6" xfId="130" xr:uid="{00000000-0005-0000-0000-000018010000}"/>
    <cellStyle name="40 % - Akzent3 6 2" xfId="735" xr:uid="{00000000-0005-0000-0000-000019010000}"/>
    <cellStyle name="40 % - Akzent3 7" xfId="131" xr:uid="{00000000-0005-0000-0000-00001A010000}"/>
    <cellStyle name="40 % - Akzent3 7 2" xfId="736" xr:uid="{00000000-0005-0000-0000-00001B010000}"/>
    <cellStyle name="40 % - Akzent4 2" xfId="132" xr:uid="{00000000-0005-0000-0000-00001C010000}"/>
    <cellStyle name="40 % - Akzent4 2 2" xfId="133" xr:uid="{00000000-0005-0000-0000-00001D010000}"/>
    <cellStyle name="40 % - Akzent4 2 2 2" xfId="134" xr:uid="{00000000-0005-0000-0000-00001E010000}"/>
    <cellStyle name="40 % - Akzent4 2 2 3" xfId="135" xr:uid="{00000000-0005-0000-0000-00001F010000}"/>
    <cellStyle name="40 % - Akzent4 2 3" xfId="136" xr:uid="{00000000-0005-0000-0000-000020010000}"/>
    <cellStyle name="40 % - Akzent4 3" xfId="137" xr:uid="{00000000-0005-0000-0000-000021010000}"/>
    <cellStyle name="40 % - Akzent4 3 2" xfId="138" xr:uid="{00000000-0005-0000-0000-000022010000}"/>
    <cellStyle name="40 % - Akzent4 3 2 2" xfId="737" xr:uid="{00000000-0005-0000-0000-000023010000}"/>
    <cellStyle name="40 % - Akzent4 3 2 3" xfId="738" xr:uid="{00000000-0005-0000-0000-000024010000}"/>
    <cellStyle name="40 % - Akzent4 3 2 4" xfId="739" xr:uid="{00000000-0005-0000-0000-000025010000}"/>
    <cellStyle name="40 % - Akzent4 3 3" xfId="139" xr:uid="{00000000-0005-0000-0000-000026010000}"/>
    <cellStyle name="40 % - Akzent4 3 3 2" xfId="740" xr:uid="{00000000-0005-0000-0000-000027010000}"/>
    <cellStyle name="40 % - Akzent4 3 4" xfId="741" xr:uid="{00000000-0005-0000-0000-000028010000}"/>
    <cellStyle name="40 % - Akzent4 3 5" xfId="742" xr:uid="{00000000-0005-0000-0000-000029010000}"/>
    <cellStyle name="40 % - Akzent4 4" xfId="140" xr:uid="{00000000-0005-0000-0000-00002A010000}"/>
    <cellStyle name="40 % - Akzent4 4 2" xfId="141" xr:uid="{00000000-0005-0000-0000-00002B010000}"/>
    <cellStyle name="40 % - Akzent4 4 2 2" xfId="743" xr:uid="{00000000-0005-0000-0000-00002C010000}"/>
    <cellStyle name="40 % - Akzent4 4 2 3" xfId="744" xr:uid="{00000000-0005-0000-0000-00002D010000}"/>
    <cellStyle name="40 % - Akzent4 4 2 4" xfId="745" xr:uid="{00000000-0005-0000-0000-00002E010000}"/>
    <cellStyle name="40 % - Akzent4 4 3" xfId="142" xr:uid="{00000000-0005-0000-0000-00002F010000}"/>
    <cellStyle name="40 % - Akzent4 4 3 2" xfId="746" xr:uid="{00000000-0005-0000-0000-000030010000}"/>
    <cellStyle name="40 % - Akzent4 4 4" xfId="747" xr:uid="{00000000-0005-0000-0000-000031010000}"/>
    <cellStyle name="40 % - Akzent4 4 5" xfId="748" xr:uid="{00000000-0005-0000-0000-000032010000}"/>
    <cellStyle name="40 % - Akzent4 5" xfId="143" xr:uid="{00000000-0005-0000-0000-000033010000}"/>
    <cellStyle name="40 % - Akzent4 5 2" xfId="749" xr:uid="{00000000-0005-0000-0000-000034010000}"/>
    <cellStyle name="40 % - Akzent4 5 3" xfId="750" xr:uid="{00000000-0005-0000-0000-000035010000}"/>
    <cellStyle name="40 % - Akzent4 5 4" xfId="751" xr:uid="{00000000-0005-0000-0000-000036010000}"/>
    <cellStyle name="40 % - Akzent4 6" xfId="144" xr:uid="{00000000-0005-0000-0000-000037010000}"/>
    <cellStyle name="40 % - Akzent4 6 2" xfId="752" xr:uid="{00000000-0005-0000-0000-000038010000}"/>
    <cellStyle name="40 % - Akzent4 7" xfId="145" xr:uid="{00000000-0005-0000-0000-000039010000}"/>
    <cellStyle name="40 % - Akzent4 7 2" xfId="753" xr:uid="{00000000-0005-0000-0000-00003A010000}"/>
    <cellStyle name="40 % - Akzent5 2" xfId="146" xr:uid="{00000000-0005-0000-0000-00003B010000}"/>
    <cellStyle name="40 % - Akzent5 2 2" xfId="147" xr:uid="{00000000-0005-0000-0000-00003C010000}"/>
    <cellStyle name="40 % - Akzent5 2 3" xfId="148" xr:uid="{00000000-0005-0000-0000-00003D010000}"/>
    <cellStyle name="40 % - Akzent5 3" xfId="149" xr:uid="{00000000-0005-0000-0000-00003E010000}"/>
    <cellStyle name="40 % - Akzent5 3 2" xfId="150" xr:uid="{00000000-0005-0000-0000-00003F010000}"/>
    <cellStyle name="40 % - Akzent5 3 2 2" xfId="754" xr:uid="{00000000-0005-0000-0000-000040010000}"/>
    <cellStyle name="40 % - Akzent5 3 2 3" xfId="755" xr:uid="{00000000-0005-0000-0000-000041010000}"/>
    <cellStyle name="40 % - Akzent5 3 2 4" xfId="756" xr:uid="{00000000-0005-0000-0000-000042010000}"/>
    <cellStyle name="40 % - Akzent5 3 3" xfId="151" xr:uid="{00000000-0005-0000-0000-000043010000}"/>
    <cellStyle name="40 % - Akzent5 3 3 2" xfId="757" xr:uid="{00000000-0005-0000-0000-000044010000}"/>
    <cellStyle name="40 % - Akzent5 3 4" xfId="758" xr:uid="{00000000-0005-0000-0000-000045010000}"/>
    <cellStyle name="40 % - Akzent5 3 5" xfId="759" xr:uid="{00000000-0005-0000-0000-000046010000}"/>
    <cellStyle name="40 % - Akzent5 4" xfId="152" xr:uid="{00000000-0005-0000-0000-000047010000}"/>
    <cellStyle name="40 % - Akzent5 4 2" xfId="153" xr:uid="{00000000-0005-0000-0000-000048010000}"/>
    <cellStyle name="40 % - Akzent5 4 2 2" xfId="760" xr:uid="{00000000-0005-0000-0000-000049010000}"/>
    <cellStyle name="40 % - Akzent5 4 2 3" xfId="761" xr:uid="{00000000-0005-0000-0000-00004A010000}"/>
    <cellStyle name="40 % - Akzent5 4 2 4" xfId="762" xr:uid="{00000000-0005-0000-0000-00004B010000}"/>
    <cellStyle name="40 % - Akzent5 4 3" xfId="154" xr:uid="{00000000-0005-0000-0000-00004C010000}"/>
    <cellStyle name="40 % - Akzent5 4 3 2" xfId="763" xr:uid="{00000000-0005-0000-0000-00004D010000}"/>
    <cellStyle name="40 % - Akzent5 4 4" xfId="764" xr:uid="{00000000-0005-0000-0000-00004E010000}"/>
    <cellStyle name="40 % - Akzent5 4 5" xfId="765" xr:uid="{00000000-0005-0000-0000-00004F010000}"/>
    <cellStyle name="40 % - Akzent5 5" xfId="155" xr:uid="{00000000-0005-0000-0000-000050010000}"/>
    <cellStyle name="40 % - Akzent5 5 2" xfId="766" xr:uid="{00000000-0005-0000-0000-000051010000}"/>
    <cellStyle name="40 % - Akzent5 5 3" xfId="767" xr:uid="{00000000-0005-0000-0000-000052010000}"/>
    <cellStyle name="40 % - Akzent5 5 4" xfId="768" xr:uid="{00000000-0005-0000-0000-000053010000}"/>
    <cellStyle name="40 % - Akzent5 6" xfId="156" xr:uid="{00000000-0005-0000-0000-000054010000}"/>
    <cellStyle name="40 % - Akzent5 6 2" xfId="769" xr:uid="{00000000-0005-0000-0000-000055010000}"/>
    <cellStyle name="40 % - Akzent5 7" xfId="157" xr:uid="{00000000-0005-0000-0000-000056010000}"/>
    <cellStyle name="40 % - Akzent5 7 2" xfId="770" xr:uid="{00000000-0005-0000-0000-000057010000}"/>
    <cellStyle name="40 % - Akzent6 2" xfId="158" xr:uid="{00000000-0005-0000-0000-000058010000}"/>
    <cellStyle name="40 % - Akzent6 2 2" xfId="159" xr:uid="{00000000-0005-0000-0000-000059010000}"/>
    <cellStyle name="40 % - Akzent6 2 2 2" xfId="160" xr:uid="{00000000-0005-0000-0000-00005A010000}"/>
    <cellStyle name="40 % - Akzent6 2 2 3" xfId="161" xr:uid="{00000000-0005-0000-0000-00005B010000}"/>
    <cellStyle name="40 % - Akzent6 2 3" xfId="162" xr:uid="{00000000-0005-0000-0000-00005C010000}"/>
    <cellStyle name="40 % - Akzent6 3" xfId="163" xr:uid="{00000000-0005-0000-0000-00005D010000}"/>
    <cellStyle name="40 % - Akzent6 3 2" xfId="164" xr:uid="{00000000-0005-0000-0000-00005E010000}"/>
    <cellStyle name="40 % - Akzent6 3 2 2" xfId="771" xr:uid="{00000000-0005-0000-0000-00005F010000}"/>
    <cellStyle name="40 % - Akzent6 3 2 3" xfId="772" xr:uid="{00000000-0005-0000-0000-000060010000}"/>
    <cellStyle name="40 % - Akzent6 3 2 4" xfId="773" xr:uid="{00000000-0005-0000-0000-000061010000}"/>
    <cellStyle name="40 % - Akzent6 3 3" xfId="165" xr:uid="{00000000-0005-0000-0000-000062010000}"/>
    <cellStyle name="40 % - Akzent6 3 3 2" xfId="774" xr:uid="{00000000-0005-0000-0000-000063010000}"/>
    <cellStyle name="40 % - Akzent6 3 4" xfId="775" xr:uid="{00000000-0005-0000-0000-000064010000}"/>
    <cellStyle name="40 % - Akzent6 3 5" xfId="776" xr:uid="{00000000-0005-0000-0000-000065010000}"/>
    <cellStyle name="40 % - Akzent6 4" xfId="166" xr:uid="{00000000-0005-0000-0000-000066010000}"/>
    <cellStyle name="40 % - Akzent6 4 2" xfId="167" xr:uid="{00000000-0005-0000-0000-000067010000}"/>
    <cellStyle name="40 % - Akzent6 4 2 2" xfId="777" xr:uid="{00000000-0005-0000-0000-000068010000}"/>
    <cellStyle name="40 % - Akzent6 4 2 3" xfId="778" xr:uid="{00000000-0005-0000-0000-000069010000}"/>
    <cellStyle name="40 % - Akzent6 4 2 4" xfId="779" xr:uid="{00000000-0005-0000-0000-00006A010000}"/>
    <cellStyle name="40 % - Akzent6 4 3" xfId="168" xr:uid="{00000000-0005-0000-0000-00006B010000}"/>
    <cellStyle name="40 % - Akzent6 4 3 2" xfId="780" xr:uid="{00000000-0005-0000-0000-00006C010000}"/>
    <cellStyle name="40 % - Akzent6 4 4" xfId="781" xr:uid="{00000000-0005-0000-0000-00006D010000}"/>
    <cellStyle name="40 % - Akzent6 4 5" xfId="782" xr:uid="{00000000-0005-0000-0000-00006E010000}"/>
    <cellStyle name="40 % - Akzent6 5" xfId="169" xr:uid="{00000000-0005-0000-0000-00006F010000}"/>
    <cellStyle name="40 % - Akzent6 5 2" xfId="783" xr:uid="{00000000-0005-0000-0000-000070010000}"/>
    <cellStyle name="40 % - Akzent6 5 3" xfId="784" xr:uid="{00000000-0005-0000-0000-000071010000}"/>
    <cellStyle name="40 % - Akzent6 5 4" xfId="785" xr:uid="{00000000-0005-0000-0000-000072010000}"/>
    <cellStyle name="40 % - Akzent6 6" xfId="170" xr:uid="{00000000-0005-0000-0000-000073010000}"/>
    <cellStyle name="40 % - Akzent6 6 2" xfId="786" xr:uid="{00000000-0005-0000-0000-000074010000}"/>
    <cellStyle name="40 % - Akzent6 7" xfId="171" xr:uid="{00000000-0005-0000-0000-000075010000}"/>
    <cellStyle name="40 % - Akzent6 7 2" xfId="787" xr:uid="{00000000-0005-0000-0000-000076010000}"/>
    <cellStyle name="60 % - Akzent1 2" xfId="172" xr:uid="{00000000-0005-0000-0000-000077010000}"/>
    <cellStyle name="60 % - Akzent1 2 2" xfId="173" xr:uid="{00000000-0005-0000-0000-000078010000}"/>
    <cellStyle name="60 % - Akzent1 2 2 2" xfId="174" xr:uid="{00000000-0005-0000-0000-000079010000}"/>
    <cellStyle name="60 % - Akzent1 2 2 3" xfId="175" xr:uid="{00000000-0005-0000-0000-00007A010000}"/>
    <cellStyle name="60 % - Akzent1 2 3" xfId="176" xr:uid="{00000000-0005-0000-0000-00007B010000}"/>
    <cellStyle name="60 % - Akzent1 3" xfId="177" xr:uid="{00000000-0005-0000-0000-00007C010000}"/>
    <cellStyle name="60 % - Akzent1 4" xfId="178" xr:uid="{00000000-0005-0000-0000-00007D010000}"/>
    <cellStyle name="60 % - Akzent1 5" xfId="179" xr:uid="{00000000-0005-0000-0000-00007E010000}"/>
    <cellStyle name="60 % - Akzent1 6" xfId="180" xr:uid="{00000000-0005-0000-0000-00007F010000}"/>
    <cellStyle name="60 % - Akzent2 2" xfId="181" xr:uid="{00000000-0005-0000-0000-000080010000}"/>
    <cellStyle name="60 % - Akzent2 3" xfId="182" xr:uid="{00000000-0005-0000-0000-000081010000}"/>
    <cellStyle name="60 % - Akzent2 4" xfId="183" xr:uid="{00000000-0005-0000-0000-000082010000}"/>
    <cellStyle name="60 % - Akzent2 5" xfId="184" xr:uid="{00000000-0005-0000-0000-000083010000}"/>
    <cellStyle name="60 % - Akzent2 6" xfId="185" xr:uid="{00000000-0005-0000-0000-000084010000}"/>
    <cellStyle name="60 % - Akzent3 2" xfId="186" xr:uid="{00000000-0005-0000-0000-000085010000}"/>
    <cellStyle name="60 % - Akzent3 3" xfId="187" xr:uid="{00000000-0005-0000-0000-000086010000}"/>
    <cellStyle name="60 % - Akzent3 4" xfId="188" xr:uid="{00000000-0005-0000-0000-000087010000}"/>
    <cellStyle name="60 % - Akzent3 5" xfId="189" xr:uid="{00000000-0005-0000-0000-000088010000}"/>
    <cellStyle name="60 % - Akzent3 6" xfId="190" xr:uid="{00000000-0005-0000-0000-000089010000}"/>
    <cellStyle name="60 % - Akzent4 2" xfId="191" xr:uid="{00000000-0005-0000-0000-00008A010000}"/>
    <cellStyle name="60 % - Akzent4 2 2" xfId="192" xr:uid="{00000000-0005-0000-0000-00008B010000}"/>
    <cellStyle name="60 % - Akzent4 2 3" xfId="193" xr:uid="{00000000-0005-0000-0000-00008C010000}"/>
    <cellStyle name="60 % - Akzent4 2 3 2" xfId="194" xr:uid="{00000000-0005-0000-0000-00008D010000}"/>
    <cellStyle name="60 % - Akzent4 2 3 2 2" xfId="195" xr:uid="{00000000-0005-0000-0000-00008E010000}"/>
    <cellStyle name="60 % - Akzent4 2 3 2 3" xfId="196" xr:uid="{00000000-0005-0000-0000-00008F010000}"/>
    <cellStyle name="60 % - Akzent4 2 3 3" xfId="197" xr:uid="{00000000-0005-0000-0000-000090010000}"/>
    <cellStyle name="60 % - Akzent4 2 4" xfId="198" xr:uid="{00000000-0005-0000-0000-000091010000}"/>
    <cellStyle name="60 % - Akzent4 3" xfId="199" xr:uid="{00000000-0005-0000-0000-000092010000}"/>
    <cellStyle name="60 % - Akzent4 4" xfId="200" xr:uid="{00000000-0005-0000-0000-000093010000}"/>
    <cellStyle name="60 % - Akzent4 5" xfId="201" xr:uid="{00000000-0005-0000-0000-000094010000}"/>
    <cellStyle name="60 % - Akzent4 6" xfId="202" xr:uid="{00000000-0005-0000-0000-000095010000}"/>
    <cellStyle name="60 % - Akzent5 2" xfId="203" xr:uid="{00000000-0005-0000-0000-000096010000}"/>
    <cellStyle name="60 % - Akzent5 2 2" xfId="204" xr:uid="{00000000-0005-0000-0000-000097010000}"/>
    <cellStyle name="60 % - Akzent5 2 2 2" xfId="205" xr:uid="{00000000-0005-0000-0000-000098010000}"/>
    <cellStyle name="60 % - Akzent5 2 2 3" xfId="206" xr:uid="{00000000-0005-0000-0000-000099010000}"/>
    <cellStyle name="60 % - Akzent5 2 3" xfId="207" xr:uid="{00000000-0005-0000-0000-00009A010000}"/>
    <cellStyle name="60 % - Akzent5 3" xfId="208" xr:uid="{00000000-0005-0000-0000-00009B010000}"/>
    <cellStyle name="60 % - Akzent5 4" xfId="209" xr:uid="{00000000-0005-0000-0000-00009C010000}"/>
    <cellStyle name="60 % - Akzent5 5" xfId="210" xr:uid="{00000000-0005-0000-0000-00009D010000}"/>
    <cellStyle name="60 % - Akzent5 6" xfId="211" xr:uid="{00000000-0005-0000-0000-00009E010000}"/>
    <cellStyle name="60 % - Akzent6 2" xfId="212" xr:uid="{00000000-0005-0000-0000-00009F010000}"/>
    <cellStyle name="60 % - Akzent6 2 2" xfId="213" xr:uid="{00000000-0005-0000-0000-0000A0010000}"/>
    <cellStyle name="60 % - Akzent6 2 3" xfId="214" xr:uid="{00000000-0005-0000-0000-0000A1010000}"/>
    <cellStyle name="60 % - Akzent6 2 3 2" xfId="215" xr:uid="{00000000-0005-0000-0000-0000A2010000}"/>
    <cellStyle name="60 % - Akzent6 2 3 2 2" xfId="216" xr:uid="{00000000-0005-0000-0000-0000A3010000}"/>
    <cellStyle name="60 % - Akzent6 2 3 2 3" xfId="217" xr:uid="{00000000-0005-0000-0000-0000A4010000}"/>
    <cellStyle name="60 % - Akzent6 2 3 3" xfId="218" xr:uid="{00000000-0005-0000-0000-0000A5010000}"/>
    <cellStyle name="60 % - Akzent6 2 4" xfId="219" xr:uid="{00000000-0005-0000-0000-0000A6010000}"/>
    <cellStyle name="60 % - Akzent6 3" xfId="220" xr:uid="{00000000-0005-0000-0000-0000A7010000}"/>
    <cellStyle name="60 % - Akzent6 4" xfId="221" xr:uid="{00000000-0005-0000-0000-0000A8010000}"/>
    <cellStyle name="60 % - Akzent6 5" xfId="222" xr:uid="{00000000-0005-0000-0000-0000A9010000}"/>
    <cellStyle name="60 % - Akzent6 6" xfId="223" xr:uid="{00000000-0005-0000-0000-0000AA010000}"/>
    <cellStyle name="Accent1" xfId="224" xr:uid="{00000000-0005-0000-0000-0000AB010000}"/>
    <cellStyle name="Accent1 2" xfId="225" xr:uid="{00000000-0005-0000-0000-0000AC010000}"/>
    <cellStyle name="Accent1 3" xfId="226" xr:uid="{00000000-0005-0000-0000-0000AD010000}"/>
    <cellStyle name="Accent1 3 2" xfId="227" xr:uid="{00000000-0005-0000-0000-0000AE010000}"/>
    <cellStyle name="Accent1 3 3" xfId="228" xr:uid="{00000000-0005-0000-0000-0000AF010000}"/>
    <cellStyle name="Accent1 4" xfId="229" xr:uid="{00000000-0005-0000-0000-0000B0010000}"/>
    <cellStyle name="Accent1 4 2" xfId="789" xr:uid="{00000000-0005-0000-0000-0000B1010000}"/>
    <cellStyle name="Accent1 4 3" xfId="788" xr:uid="{00000000-0005-0000-0000-0000B2010000}"/>
    <cellStyle name="Accent1 5" xfId="230" xr:uid="{00000000-0005-0000-0000-0000B3010000}"/>
    <cellStyle name="Accent2" xfId="231" xr:uid="{00000000-0005-0000-0000-0000B4010000}"/>
    <cellStyle name="Accent2 2" xfId="232" xr:uid="{00000000-0005-0000-0000-0000B5010000}"/>
    <cellStyle name="Accent2 3" xfId="233" xr:uid="{00000000-0005-0000-0000-0000B6010000}"/>
    <cellStyle name="Accent2 4" xfId="234" xr:uid="{00000000-0005-0000-0000-0000B7010000}"/>
    <cellStyle name="Accent3" xfId="252" xr:uid="{00000000-0005-0000-0000-0000B8010000}"/>
    <cellStyle name="Accent3 2" xfId="235" xr:uid="{00000000-0005-0000-0000-0000B9010000}"/>
    <cellStyle name="Accent3 3" xfId="236" xr:uid="{00000000-0005-0000-0000-0000BA010000}"/>
    <cellStyle name="Accent4" xfId="237" xr:uid="{00000000-0005-0000-0000-0000BB010000}"/>
    <cellStyle name="Accent4 2" xfId="238" xr:uid="{00000000-0005-0000-0000-0000BC010000}"/>
    <cellStyle name="Accent4 3" xfId="239" xr:uid="{00000000-0005-0000-0000-0000BD010000}"/>
    <cellStyle name="Accent4 3 2" xfId="240" xr:uid="{00000000-0005-0000-0000-0000BE010000}"/>
    <cellStyle name="Accent4 3 3" xfId="241" xr:uid="{00000000-0005-0000-0000-0000BF010000}"/>
    <cellStyle name="Accent4 4" xfId="242" xr:uid="{00000000-0005-0000-0000-0000C0010000}"/>
    <cellStyle name="Accent4 4 2" xfId="791" xr:uid="{00000000-0005-0000-0000-0000C1010000}"/>
    <cellStyle name="Accent4 4 3" xfId="790" xr:uid="{00000000-0005-0000-0000-0000C2010000}"/>
    <cellStyle name="Accent4 5" xfId="243" xr:uid="{00000000-0005-0000-0000-0000C3010000}"/>
    <cellStyle name="Accent5" xfId="257" xr:uid="{00000000-0005-0000-0000-0000C4010000}"/>
    <cellStyle name="Accent5 2" xfId="244" xr:uid="{00000000-0005-0000-0000-0000C5010000}"/>
    <cellStyle name="Accent5 3" xfId="245" xr:uid="{00000000-0005-0000-0000-0000C6010000}"/>
    <cellStyle name="Accent6" xfId="260" xr:uid="{00000000-0005-0000-0000-0000C7010000}"/>
    <cellStyle name="Accent6 2" xfId="246" xr:uid="{00000000-0005-0000-0000-0000C8010000}"/>
    <cellStyle name="Accent6 3" xfId="247" xr:uid="{00000000-0005-0000-0000-0000C9010000}"/>
    <cellStyle name="Akzent1 2" xfId="248" xr:uid="{00000000-0005-0000-0000-0000CA010000}"/>
    <cellStyle name="Akzent1 3" xfId="249" xr:uid="{00000000-0005-0000-0000-0000CB010000}"/>
    <cellStyle name="Akzent1 4" xfId="792" xr:uid="{00000000-0005-0000-0000-0000CC010000}"/>
    <cellStyle name="Akzent1 5" xfId="793" xr:uid="{00000000-0005-0000-0000-0000CD010000}"/>
    <cellStyle name="Akzent2 2" xfId="250" xr:uid="{00000000-0005-0000-0000-0000CE010000}"/>
    <cellStyle name="Akzent2 3" xfId="251" xr:uid="{00000000-0005-0000-0000-0000CF010000}"/>
    <cellStyle name="Akzent2 4" xfId="794" xr:uid="{00000000-0005-0000-0000-0000D0010000}"/>
    <cellStyle name="Akzent2 5" xfId="795" xr:uid="{00000000-0005-0000-0000-0000D1010000}"/>
    <cellStyle name="Akzent3 2" xfId="253" xr:uid="{00000000-0005-0000-0000-0000D2010000}"/>
    <cellStyle name="Akzent3 3" xfId="254" xr:uid="{00000000-0005-0000-0000-0000D3010000}"/>
    <cellStyle name="Akzent3 4" xfId="796" xr:uid="{00000000-0005-0000-0000-0000D4010000}"/>
    <cellStyle name="Akzent4 2" xfId="255" xr:uid="{00000000-0005-0000-0000-0000D5010000}"/>
    <cellStyle name="Akzent4 3" xfId="256" xr:uid="{00000000-0005-0000-0000-0000D6010000}"/>
    <cellStyle name="Akzent4 4" xfId="797" xr:uid="{00000000-0005-0000-0000-0000D7010000}"/>
    <cellStyle name="Akzent4 5" xfId="798" xr:uid="{00000000-0005-0000-0000-0000D8010000}"/>
    <cellStyle name="Akzent5 2" xfId="258" xr:uid="{00000000-0005-0000-0000-0000D9010000}"/>
    <cellStyle name="Akzent5 3" xfId="259" xr:uid="{00000000-0005-0000-0000-0000DA010000}"/>
    <cellStyle name="Akzent5 4" xfId="799" xr:uid="{00000000-0005-0000-0000-0000DB010000}"/>
    <cellStyle name="Akzent6 2" xfId="261" xr:uid="{00000000-0005-0000-0000-0000DC010000}"/>
    <cellStyle name="Akzent6 3" xfId="262" xr:uid="{00000000-0005-0000-0000-0000DD010000}"/>
    <cellStyle name="Akzent6 4" xfId="800" xr:uid="{00000000-0005-0000-0000-0000DE010000}"/>
    <cellStyle name="Ausgabe 2" xfId="263" xr:uid="{00000000-0005-0000-0000-0000DF010000}"/>
    <cellStyle name="Ausgabe 2 2" xfId="264" xr:uid="{00000000-0005-0000-0000-0000E0010000}"/>
    <cellStyle name="Ausgabe 2 2 2" xfId="265" xr:uid="{00000000-0005-0000-0000-0000E1010000}"/>
    <cellStyle name="Ausgabe 2 2 3" xfId="266" xr:uid="{00000000-0005-0000-0000-0000E2010000}"/>
    <cellStyle name="Ausgabe 2 2 3 2" xfId="804" xr:uid="{00000000-0005-0000-0000-0000E3010000}"/>
    <cellStyle name="Ausgabe 2 2 3 3" xfId="805" xr:uid="{00000000-0005-0000-0000-0000E4010000}"/>
    <cellStyle name="Ausgabe 2 2 3 4" xfId="803" xr:uid="{00000000-0005-0000-0000-0000E5010000}"/>
    <cellStyle name="Ausgabe 2 2 4" xfId="802" xr:uid="{00000000-0005-0000-0000-0000E6010000}"/>
    <cellStyle name="Ausgabe 2 3" xfId="267" xr:uid="{00000000-0005-0000-0000-0000E7010000}"/>
    <cellStyle name="Ausgabe 2 3 2" xfId="268" xr:uid="{00000000-0005-0000-0000-0000E8010000}"/>
    <cellStyle name="Ausgabe 2 3 2 2" xfId="269" xr:uid="{00000000-0005-0000-0000-0000E9010000}"/>
    <cellStyle name="Ausgabe 2 3 2 3" xfId="270" xr:uid="{00000000-0005-0000-0000-0000EA010000}"/>
    <cellStyle name="Ausgabe 2 3 3" xfId="271" xr:uid="{00000000-0005-0000-0000-0000EB010000}"/>
    <cellStyle name="Ausgabe 2 3 3 2" xfId="807" xr:uid="{00000000-0005-0000-0000-0000EC010000}"/>
    <cellStyle name="Ausgabe 2 3 3 3" xfId="808" xr:uid="{00000000-0005-0000-0000-0000ED010000}"/>
    <cellStyle name="Ausgabe 2 3 3 4" xfId="806" xr:uid="{00000000-0005-0000-0000-0000EE010000}"/>
    <cellStyle name="Ausgabe 2 4" xfId="272" xr:uid="{00000000-0005-0000-0000-0000EF010000}"/>
    <cellStyle name="Ausgabe 2 5" xfId="273" xr:uid="{00000000-0005-0000-0000-0000F0010000}"/>
    <cellStyle name="Ausgabe 2 5 2" xfId="810" xr:uid="{00000000-0005-0000-0000-0000F1010000}"/>
    <cellStyle name="Ausgabe 2 5 3" xfId="811" xr:uid="{00000000-0005-0000-0000-0000F2010000}"/>
    <cellStyle name="Ausgabe 2 5 4" xfId="809" xr:uid="{00000000-0005-0000-0000-0000F3010000}"/>
    <cellStyle name="Ausgabe 2 6" xfId="801" xr:uid="{00000000-0005-0000-0000-0000F4010000}"/>
    <cellStyle name="Ausgabe 3" xfId="274" xr:uid="{00000000-0005-0000-0000-0000F5010000}"/>
    <cellStyle name="Ausgabe 3 2" xfId="275" xr:uid="{00000000-0005-0000-0000-0000F6010000}"/>
    <cellStyle name="Ausgabe 3 3" xfId="276" xr:uid="{00000000-0005-0000-0000-0000F7010000}"/>
    <cellStyle name="Ausgabe 3 3 2" xfId="814" xr:uid="{00000000-0005-0000-0000-0000F8010000}"/>
    <cellStyle name="Ausgabe 3 3 3" xfId="815" xr:uid="{00000000-0005-0000-0000-0000F9010000}"/>
    <cellStyle name="Ausgabe 3 3 4" xfId="813" xr:uid="{00000000-0005-0000-0000-0000FA010000}"/>
    <cellStyle name="Ausgabe 3 4" xfId="812" xr:uid="{00000000-0005-0000-0000-0000FB010000}"/>
    <cellStyle name="Ausgabe 4" xfId="277" xr:uid="{00000000-0005-0000-0000-0000FC010000}"/>
    <cellStyle name="Ausgabe 5" xfId="278" xr:uid="{00000000-0005-0000-0000-0000FD010000}"/>
    <cellStyle name="Ausgabe 6" xfId="279" xr:uid="{00000000-0005-0000-0000-0000FE010000}"/>
    <cellStyle name="Ausgabe 7" xfId="280" xr:uid="{00000000-0005-0000-0000-0000FF010000}"/>
    <cellStyle name="Ausgabe 7 2" xfId="281" xr:uid="{00000000-0005-0000-0000-000000020000}"/>
    <cellStyle name="Ausgabe 7 3" xfId="282" xr:uid="{00000000-0005-0000-0000-000001020000}"/>
    <cellStyle name="Ausgabe 7 3 2" xfId="283" xr:uid="{00000000-0005-0000-0000-000002020000}"/>
    <cellStyle name="Ausgabe 7 3 3" xfId="284" xr:uid="{00000000-0005-0000-0000-000003020000}"/>
    <cellStyle name="Ausgabe 7 3 4" xfId="817" xr:uid="{00000000-0005-0000-0000-000004020000}"/>
    <cellStyle name="Ausgabe 7 3 5" xfId="816" xr:uid="{00000000-0005-0000-0000-000005020000}"/>
    <cellStyle name="Ausgabe 7 4" xfId="285" xr:uid="{00000000-0005-0000-0000-000006020000}"/>
    <cellStyle name="Ausgabe 8" xfId="286" xr:uid="{00000000-0005-0000-0000-000007020000}"/>
    <cellStyle name="Ausgabe 8 2" xfId="287" xr:uid="{00000000-0005-0000-0000-000008020000}"/>
    <cellStyle name="Ausgabe 8 3" xfId="288" xr:uid="{00000000-0005-0000-0000-000009020000}"/>
    <cellStyle name="Bad" xfId="513" xr:uid="{00000000-0005-0000-0000-00000A020000}"/>
    <cellStyle name="Bad 2" xfId="289" xr:uid="{00000000-0005-0000-0000-00000B020000}"/>
    <cellStyle name="Bad 2 2" xfId="818" xr:uid="{00000000-0005-0000-0000-00000C020000}"/>
    <cellStyle name="Bad 3" xfId="290" xr:uid="{00000000-0005-0000-0000-00000D020000}"/>
    <cellStyle name="Berechnung 2" xfId="291" xr:uid="{00000000-0005-0000-0000-00000E020000}"/>
    <cellStyle name="Berechnung 2 2" xfId="292" xr:uid="{00000000-0005-0000-0000-00000F020000}"/>
    <cellStyle name="Berechnung 2 3" xfId="293" xr:uid="{00000000-0005-0000-0000-000010020000}"/>
    <cellStyle name="Berechnung 2 3 2" xfId="294" xr:uid="{00000000-0005-0000-0000-000011020000}"/>
    <cellStyle name="Berechnung 2 3 2 2" xfId="295" xr:uid="{00000000-0005-0000-0000-000012020000}"/>
    <cellStyle name="Berechnung 2 3 2 3" xfId="296" xr:uid="{00000000-0005-0000-0000-000013020000}"/>
    <cellStyle name="Berechnung 2 3 3" xfId="297" xr:uid="{00000000-0005-0000-0000-000014020000}"/>
    <cellStyle name="Berechnung 2 4" xfId="298" xr:uid="{00000000-0005-0000-0000-000015020000}"/>
    <cellStyle name="Berechnung 3" xfId="299" xr:uid="{00000000-0005-0000-0000-000016020000}"/>
    <cellStyle name="Berechnung 4" xfId="300" xr:uid="{00000000-0005-0000-0000-000017020000}"/>
    <cellStyle name="Berechnung 5" xfId="301" xr:uid="{00000000-0005-0000-0000-000018020000}"/>
    <cellStyle name="Berechnung 6" xfId="302" xr:uid="{00000000-0005-0000-0000-000019020000}"/>
    <cellStyle name="Berechnung 7" xfId="303" xr:uid="{00000000-0005-0000-0000-00001A020000}"/>
    <cellStyle name="Berechnung 7 2" xfId="304" xr:uid="{00000000-0005-0000-0000-00001B020000}"/>
    <cellStyle name="Berechnung 7 3" xfId="305" xr:uid="{00000000-0005-0000-0000-00001C020000}"/>
    <cellStyle name="Berechnung 8" xfId="306" xr:uid="{00000000-0005-0000-0000-00001D020000}"/>
    <cellStyle name="Calculation 2" xfId="307" xr:uid="{00000000-0005-0000-0000-00001E020000}"/>
    <cellStyle name="Check Cell" xfId="577" xr:uid="{00000000-0005-0000-0000-00001F020000}"/>
    <cellStyle name="Check Cell 2" xfId="308" xr:uid="{00000000-0005-0000-0000-000020020000}"/>
    <cellStyle name="Check Cell 2 2" xfId="819" xr:uid="{00000000-0005-0000-0000-000021020000}"/>
    <cellStyle name="Check Cell 3" xfId="309" xr:uid="{00000000-0005-0000-0000-000022020000}"/>
    <cellStyle name="Check Cell 3 2" xfId="821" xr:uid="{00000000-0005-0000-0000-000023020000}"/>
    <cellStyle name="Check Cell 3 3" xfId="820" xr:uid="{00000000-0005-0000-0000-000024020000}"/>
    <cellStyle name="Check Cell 4" xfId="310" xr:uid="{00000000-0005-0000-0000-000025020000}"/>
    <cellStyle name="Check Cell 4 2" xfId="823" xr:uid="{00000000-0005-0000-0000-000026020000}"/>
    <cellStyle name="Check Cell 4 3" xfId="822" xr:uid="{00000000-0005-0000-0000-000027020000}"/>
    <cellStyle name="Check Cell 5" xfId="824" xr:uid="{00000000-0005-0000-0000-000028020000}"/>
    <cellStyle name="Eingabe 2" xfId="311" xr:uid="{00000000-0005-0000-0000-000029020000}"/>
    <cellStyle name="Eingabe 3" xfId="312" xr:uid="{00000000-0005-0000-0000-00002A020000}"/>
    <cellStyle name="Eingabe 4" xfId="313" xr:uid="{00000000-0005-0000-0000-00002B020000}"/>
    <cellStyle name="Eingabe 5" xfId="314" xr:uid="{00000000-0005-0000-0000-00002C020000}"/>
    <cellStyle name="Eingabe 6" xfId="315" xr:uid="{00000000-0005-0000-0000-00002D020000}"/>
    <cellStyle name="Eingabe 7" xfId="316" xr:uid="{00000000-0005-0000-0000-00002E020000}"/>
    <cellStyle name="Ergebnis 2" xfId="317" xr:uid="{00000000-0005-0000-0000-00002F020000}"/>
    <cellStyle name="Ergebnis 2 2" xfId="318" xr:uid="{00000000-0005-0000-0000-000030020000}"/>
    <cellStyle name="Ergebnis 2 2 2" xfId="319" xr:uid="{00000000-0005-0000-0000-000031020000}"/>
    <cellStyle name="Ergebnis 2 3" xfId="320" xr:uid="{00000000-0005-0000-0000-000032020000}"/>
    <cellStyle name="Ergebnis 2 4" xfId="321" xr:uid="{00000000-0005-0000-0000-000033020000}"/>
    <cellStyle name="Ergebnis 2 4 2" xfId="322" xr:uid="{00000000-0005-0000-0000-000034020000}"/>
    <cellStyle name="Ergebnis 2 4 2 2" xfId="323" xr:uid="{00000000-0005-0000-0000-000035020000}"/>
    <cellStyle name="Ergebnis 2 4 2 3" xfId="324" xr:uid="{00000000-0005-0000-0000-000036020000}"/>
    <cellStyle name="Ergebnis 2 4 3" xfId="325" xr:uid="{00000000-0005-0000-0000-000037020000}"/>
    <cellStyle name="Ergebnis 2 5" xfId="326" xr:uid="{00000000-0005-0000-0000-000038020000}"/>
    <cellStyle name="Ergebnis 3" xfId="327" xr:uid="{00000000-0005-0000-0000-000039020000}"/>
    <cellStyle name="Ergebnis 3 2" xfId="328" xr:uid="{00000000-0005-0000-0000-00003A020000}"/>
    <cellStyle name="Ergebnis 4" xfId="329" xr:uid="{00000000-0005-0000-0000-00003B020000}"/>
    <cellStyle name="Ergebnis 4 2" xfId="330" xr:uid="{00000000-0005-0000-0000-00003C020000}"/>
    <cellStyle name="Ergebnis 5" xfId="331" xr:uid="{00000000-0005-0000-0000-00003D020000}"/>
    <cellStyle name="Ergebnis 6" xfId="332" xr:uid="{00000000-0005-0000-0000-00003E020000}"/>
    <cellStyle name="Ergebnis 7" xfId="333" xr:uid="{00000000-0005-0000-0000-00003F020000}"/>
    <cellStyle name="Ergebnis 8" xfId="334" xr:uid="{00000000-0005-0000-0000-000040020000}"/>
    <cellStyle name="Ergebnis 8 2" xfId="335" xr:uid="{00000000-0005-0000-0000-000041020000}"/>
    <cellStyle name="Ergebnis 8 3" xfId="336" xr:uid="{00000000-0005-0000-0000-000042020000}"/>
    <cellStyle name="Ergebnis 9" xfId="337" xr:uid="{00000000-0005-0000-0000-000043020000}"/>
    <cellStyle name="Erklärender Text 2" xfId="338" xr:uid="{00000000-0005-0000-0000-000044020000}"/>
    <cellStyle name="Erklärender Text 3" xfId="339" xr:uid="{00000000-0005-0000-0000-000045020000}"/>
    <cellStyle name="Erklärender Text 4" xfId="340" xr:uid="{00000000-0005-0000-0000-000046020000}"/>
    <cellStyle name="Erklärender Text 5" xfId="341" xr:uid="{00000000-0005-0000-0000-000047020000}"/>
    <cellStyle name="Erklärender Text 6" xfId="342" xr:uid="{00000000-0005-0000-0000-000048020000}"/>
    <cellStyle name="Good" xfId="345" xr:uid="{00000000-0005-0000-0000-000049020000}"/>
    <cellStyle name="Good 2" xfId="343" xr:uid="{00000000-0005-0000-0000-00004A020000}"/>
    <cellStyle name="Good 2 2" xfId="825" xr:uid="{00000000-0005-0000-0000-00004B020000}"/>
    <cellStyle name="Good 3" xfId="344" xr:uid="{00000000-0005-0000-0000-00004C020000}"/>
    <cellStyle name="Gut 2" xfId="346" xr:uid="{00000000-0005-0000-0000-00004D020000}"/>
    <cellStyle name="Gut 3" xfId="347" xr:uid="{00000000-0005-0000-0000-00004E020000}"/>
    <cellStyle name="Gut 4" xfId="826" xr:uid="{00000000-0005-0000-0000-00004F020000}"/>
    <cellStyle name="Heading 1" xfId="348" xr:uid="{00000000-0005-0000-0000-000050020000}"/>
    <cellStyle name="Heading 1 2" xfId="349" xr:uid="{00000000-0005-0000-0000-000051020000}"/>
    <cellStyle name="Heading 1 2 2" xfId="350" xr:uid="{00000000-0005-0000-0000-000052020000}"/>
    <cellStyle name="Heading 1 2 2 2" xfId="829" xr:uid="{00000000-0005-0000-0000-000053020000}"/>
    <cellStyle name="Heading 1 2 2 3" xfId="828" xr:uid="{00000000-0005-0000-0000-000054020000}"/>
    <cellStyle name="Heading 1 2 3" xfId="351" xr:uid="{00000000-0005-0000-0000-000055020000}"/>
    <cellStyle name="Heading 1 2 4" xfId="827" xr:uid="{00000000-0005-0000-0000-000056020000}"/>
    <cellStyle name="Heading 1 3" xfId="352" xr:uid="{00000000-0005-0000-0000-000057020000}"/>
    <cellStyle name="Heading 1 3 2" xfId="831" xr:uid="{00000000-0005-0000-0000-000058020000}"/>
    <cellStyle name="Heading 1 3 3" xfId="830" xr:uid="{00000000-0005-0000-0000-000059020000}"/>
    <cellStyle name="Heading 1 4" xfId="353" xr:uid="{00000000-0005-0000-0000-00005A020000}"/>
    <cellStyle name="Heading 2" xfId="354" xr:uid="{00000000-0005-0000-0000-00005B020000}"/>
    <cellStyle name="Heading 2 2" xfId="355" xr:uid="{00000000-0005-0000-0000-00005C020000}"/>
    <cellStyle name="Heading 2 2 2" xfId="356" xr:uid="{00000000-0005-0000-0000-00005D020000}"/>
    <cellStyle name="Heading 2 2 2 2" xfId="834" xr:uid="{00000000-0005-0000-0000-00005E020000}"/>
    <cellStyle name="Heading 2 2 2 3" xfId="833" xr:uid="{00000000-0005-0000-0000-00005F020000}"/>
    <cellStyle name="Heading 2 2 3" xfId="357" xr:uid="{00000000-0005-0000-0000-000060020000}"/>
    <cellStyle name="Heading 2 2 4" xfId="1232" xr:uid="{00000000-0005-0000-0000-000061020000}"/>
    <cellStyle name="Heading 2 2 5" xfId="832" xr:uid="{00000000-0005-0000-0000-000062020000}"/>
    <cellStyle name="Heading 2 3" xfId="358" xr:uid="{00000000-0005-0000-0000-000063020000}"/>
    <cellStyle name="Heading 2 3 2" xfId="836" xr:uid="{00000000-0005-0000-0000-000064020000}"/>
    <cellStyle name="Heading 2 3 3" xfId="835" xr:uid="{00000000-0005-0000-0000-000065020000}"/>
    <cellStyle name="Heading 2 4" xfId="359" xr:uid="{00000000-0005-0000-0000-000066020000}"/>
    <cellStyle name="Heading 3" xfId="360" xr:uid="{00000000-0005-0000-0000-000067020000}"/>
    <cellStyle name="Heading 3 2" xfId="361" xr:uid="{00000000-0005-0000-0000-000068020000}"/>
    <cellStyle name="Heading 3 2 2" xfId="362" xr:uid="{00000000-0005-0000-0000-000069020000}"/>
    <cellStyle name="Heading 3 2 2 2" xfId="839" xr:uid="{00000000-0005-0000-0000-00006A020000}"/>
    <cellStyle name="Heading 3 2 2 3" xfId="838" xr:uid="{00000000-0005-0000-0000-00006B020000}"/>
    <cellStyle name="Heading 3 2 3" xfId="363" xr:uid="{00000000-0005-0000-0000-00006C020000}"/>
    <cellStyle name="Heading 3 2 4" xfId="1233" xr:uid="{00000000-0005-0000-0000-00006D020000}"/>
    <cellStyle name="Heading 3 2 5" xfId="837" xr:uid="{00000000-0005-0000-0000-00006E020000}"/>
    <cellStyle name="Heading 3 3" xfId="364" xr:uid="{00000000-0005-0000-0000-00006F020000}"/>
    <cellStyle name="Heading 3 3 2" xfId="841" xr:uid="{00000000-0005-0000-0000-000070020000}"/>
    <cellStyle name="Heading 3 3 3" xfId="840" xr:uid="{00000000-0005-0000-0000-000071020000}"/>
    <cellStyle name="Heading 3 4" xfId="365" xr:uid="{00000000-0005-0000-0000-000072020000}"/>
    <cellStyle name="Heading 4" xfId="366" xr:uid="{00000000-0005-0000-0000-000073020000}"/>
    <cellStyle name="Heading 4 2" xfId="367" xr:uid="{00000000-0005-0000-0000-000074020000}"/>
    <cellStyle name="Heading 4 2 2" xfId="368" xr:uid="{00000000-0005-0000-0000-000075020000}"/>
    <cellStyle name="Heading 4 2 2 2" xfId="844" xr:uid="{00000000-0005-0000-0000-000076020000}"/>
    <cellStyle name="Heading 4 2 2 3" xfId="843" xr:uid="{00000000-0005-0000-0000-000077020000}"/>
    <cellStyle name="Heading 4 2 3" xfId="369" xr:uid="{00000000-0005-0000-0000-000078020000}"/>
    <cellStyle name="Heading 4 2 4" xfId="842" xr:uid="{00000000-0005-0000-0000-000079020000}"/>
    <cellStyle name="Heading 4 3" xfId="370" xr:uid="{00000000-0005-0000-0000-00007A020000}"/>
    <cellStyle name="Heading 4 3 2" xfId="846" xr:uid="{00000000-0005-0000-0000-00007B020000}"/>
    <cellStyle name="Heading 4 3 3" xfId="845" xr:uid="{00000000-0005-0000-0000-00007C020000}"/>
    <cellStyle name="Heading 4 4" xfId="371" xr:uid="{00000000-0005-0000-0000-00007D020000}"/>
    <cellStyle name="Input 2" xfId="372" xr:uid="{00000000-0005-0000-0000-00007F020000}"/>
    <cellStyle name="Komma 2" xfId="1234" xr:uid="{00000000-0005-0000-0000-000080020000}"/>
    <cellStyle name="Komma 2 2" xfId="1242" xr:uid="{00000000-0005-0000-0000-000081020000}"/>
    <cellStyle name="Link" xfId="583" builtinId="8"/>
    <cellStyle name="Linked Cell" xfId="566" xr:uid="{00000000-0005-0000-0000-000082020000}"/>
    <cellStyle name="Linked Cell 2" xfId="373" xr:uid="{00000000-0005-0000-0000-000083020000}"/>
    <cellStyle name="Linked Cell 2 2" xfId="847" xr:uid="{00000000-0005-0000-0000-000084020000}"/>
    <cellStyle name="Linked Cell 3" xfId="374" xr:uid="{00000000-0005-0000-0000-000085020000}"/>
    <cellStyle name="Neutral" xfId="375" builtinId="28" customBuiltin="1"/>
    <cellStyle name="Normal 2" xfId="376" xr:uid="{00000000-0005-0000-0000-000087020000}"/>
    <cellStyle name="Note" xfId="377" xr:uid="{00000000-0005-0000-0000-000088020000}"/>
    <cellStyle name="Note 2" xfId="378" xr:uid="{00000000-0005-0000-0000-000089020000}"/>
    <cellStyle name="Note 2 2" xfId="379" xr:uid="{00000000-0005-0000-0000-00008A020000}"/>
    <cellStyle name="Note 3" xfId="380" xr:uid="{00000000-0005-0000-0000-00008B020000}"/>
    <cellStyle name="Note 3 2" xfId="848" xr:uid="{00000000-0005-0000-0000-00008C020000}"/>
    <cellStyle name="Note 4" xfId="381" xr:uid="{00000000-0005-0000-0000-00008D020000}"/>
    <cellStyle name="Note 4 2" xfId="850" xr:uid="{00000000-0005-0000-0000-00008E020000}"/>
    <cellStyle name="Note 4 3" xfId="849" xr:uid="{00000000-0005-0000-0000-00008F020000}"/>
    <cellStyle name="Note 5" xfId="382" xr:uid="{00000000-0005-0000-0000-000090020000}"/>
    <cellStyle name="Note 5 2" xfId="851" xr:uid="{00000000-0005-0000-0000-000091020000}"/>
    <cellStyle name="Note 5 2 2" xfId="852" xr:uid="{00000000-0005-0000-0000-000092020000}"/>
    <cellStyle name="Note 6" xfId="853" xr:uid="{00000000-0005-0000-0000-000093020000}"/>
    <cellStyle name="Notiz 10" xfId="854" xr:uid="{00000000-0005-0000-0000-000094020000}"/>
    <cellStyle name="Notiz 2" xfId="383" xr:uid="{00000000-0005-0000-0000-000095020000}"/>
    <cellStyle name="Notiz 2 2" xfId="384" xr:uid="{00000000-0005-0000-0000-000096020000}"/>
    <cellStyle name="Notiz 2 2 2" xfId="385" xr:uid="{00000000-0005-0000-0000-000097020000}"/>
    <cellStyle name="Notiz 2 2 2 2" xfId="386" xr:uid="{00000000-0005-0000-0000-000098020000}"/>
    <cellStyle name="Notiz 2 2 2 2 2" xfId="387" xr:uid="{00000000-0005-0000-0000-000099020000}"/>
    <cellStyle name="Notiz 2 2 2 2 2 2" xfId="855" xr:uid="{00000000-0005-0000-0000-00009A020000}"/>
    <cellStyle name="Notiz 2 2 2 2 2 3" xfId="856" xr:uid="{00000000-0005-0000-0000-00009B020000}"/>
    <cellStyle name="Notiz 2 2 2 2 2 4" xfId="857" xr:uid="{00000000-0005-0000-0000-00009C020000}"/>
    <cellStyle name="Notiz 2 2 2 2 3" xfId="858" xr:uid="{00000000-0005-0000-0000-00009D020000}"/>
    <cellStyle name="Notiz 2 2 2 2 4" xfId="859" xr:uid="{00000000-0005-0000-0000-00009E020000}"/>
    <cellStyle name="Notiz 2 2 2 2 5" xfId="860" xr:uid="{00000000-0005-0000-0000-00009F020000}"/>
    <cellStyle name="Notiz 2 2 2 3" xfId="388" xr:uid="{00000000-0005-0000-0000-0000A0020000}"/>
    <cellStyle name="Notiz 2 2 2 3 2" xfId="861" xr:uid="{00000000-0005-0000-0000-0000A1020000}"/>
    <cellStyle name="Notiz 2 2 2 3 3" xfId="862" xr:uid="{00000000-0005-0000-0000-0000A2020000}"/>
    <cellStyle name="Notiz 2 2 2 3 4" xfId="863" xr:uid="{00000000-0005-0000-0000-0000A3020000}"/>
    <cellStyle name="Notiz 2 2 2 4" xfId="864" xr:uid="{00000000-0005-0000-0000-0000A4020000}"/>
    <cellStyle name="Notiz 2 2 2 5" xfId="865" xr:uid="{00000000-0005-0000-0000-0000A5020000}"/>
    <cellStyle name="Notiz 2 2 2 6" xfId="866" xr:uid="{00000000-0005-0000-0000-0000A6020000}"/>
    <cellStyle name="Notiz 2 2 3" xfId="389" xr:uid="{00000000-0005-0000-0000-0000A7020000}"/>
    <cellStyle name="Notiz 2 2 3 2" xfId="390" xr:uid="{00000000-0005-0000-0000-0000A8020000}"/>
    <cellStyle name="Notiz 2 2 3 2 2" xfId="867" xr:uid="{00000000-0005-0000-0000-0000A9020000}"/>
    <cellStyle name="Notiz 2 2 3 2 3" xfId="868" xr:uid="{00000000-0005-0000-0000-0000AA020000}"/>
    <cellStyle name="Notiz 2 2 3 2 4" xfId="869" xr:uid="{00000000-0005-0000-0000-0000AB020000}"/>
    <cellStyle name="Notiz 2 2 3 3" xfId="870" xr:uid="{00000000-0005-0000-0000-0000AC020000}"/>
    <cellStyle name="Notiz 2 2 3 4" xfId="871" xr:uid="{00000000-0005-0000-0000-0000AD020000}"/>
    <cellStyle name="Notiz 2 2 3 5" xfId="872" xr:uid="{00000000-0005-0000-0000-0000AE020000}"/>
    <cellStyle name="Notiz 2 2 4" xfId="391" xr:uid="{00000000-0005-0000-0000-0000AF020000}"/>
    <cellStyle name="Notiz 2 2 4 2" xfId="392" xr:uid="{00000000-0005-0000-0000-0000B0020000}"/>
    <cellStyle name="Notiz 2 2 4 2 2" xfId="873" xr:uid="{00000000-0005-0000-0000-0000B1020000}"/>
    <cellStyle name="Notiz 2 2 4 3" xfId="393" xr:uid="{00000000-0005-0000-0000-0000B2020000}"/>
    <cellStyle name="Notiz 2 2 4 3 2" xfId="394" xr:uid="{00000000-0005-0000-0000-0000B3020000}"/>
    <cellStyle name="Notiz 2 2 4 3 2 2" xfId="875" xr:uid="{00000000-0005-0000-0000-0000B4020000}"/>
    <cellStyle name="Notiz 2 2 4 3 3" xfId="876" xr:uid="{00000000-0005-0000-0000-0000B5020000}"/>
    <cellStyle name="Notiz 2 2 4 3 3 2" xfId="877" xr:uid="{00000000-0005-0000-0000-0000B6020000}"/>
    <cellStyle name="Notiz 2 2 4 3 4" xfId="878" xr:uid="{00000000-0005-0000-0000-0000B7020000}"/>
    <cellStyle name="Notiz 2 2 4 3 5" xfId="874" xr:uid="{00000000-0005-0000-0000-0000B8020000}"/>
    <cellStyle name="Notiz 2 2 4 4" xfId="395" xr:uid="{00000000-0005-0000-0000-0000B9020000}"/>
    <cellStyle name="Notiz 2 2 4 4 2" xfId="879" xr:uid="{00000000-0005-0000-0000-0000BA020000}"/>
    <cellStyle name="Notiz 2 2 4 4 2 2" xfId="880" xr:uid="{00000000-0005-0000-0000-0000BB020000}"/>
    <cellStyle name="Notiz 2 2 4 5" xfId="881" xr:uid="{00000000-0005-0000-0000-0000BC020000}"/>
    <cellStyle name="Notiz 2 2 5" xfId="396" xr:uid="{00000000-0005-0000-0000-0000BD020000}"/>
    <cellStyle name="Notiz 2 2 5 2" xfId="397" xr:uid="{00000000-0005-0000-0000-0000BE020000}"/>
    <cellStyle name="Notiz 2 2 5 2 2" xfId="883" xr:uid="{00000000-0005-0000-0000-0000BF020000}"/>
    <cellStyle name="Notiz 2 2 5 3" xfId="398" xr:uid="{00000000-0005-0000-0000-0000C0020000}"/>
    <cellStyle name="Notiz 2 2 5 3 2" xfId="884" xr:uid="{00000000-0005-0000-0000-0000C1020000}"/>
    <cellStyle name="Notiz 2 2 5 4" xfId="399" xr:uid="{00000000-0005-0000-0000-0000C2020000}"/>
    <cellStyle name="Notiz 2 2 5 4 2" xfId="886" xr:uid="{00000000-0005-0000-0000-0000C3020000}"/>
    <cellStyle name="Notiz 2 2 5 4 3" xfId="887" xr:uid="{00000000-0005-0000-0000-0000C4020000}"/>
    <cellStyle name="Notiz 2 2 5 4 4" xfId="885" xr:uid="{00000000-0005-0000-0000-0000C5020000}"/>
    <cellStyle name="Notiz 2 2 5 5" xfId="888" xr:uid="{00000000-0005-0000-0000-0000C6020000}"/>
    <cellStyle name="Notiz 2 2 5 6" xfId="882" xr:uid="{00000000-0005-0000-0000-0000C7020000}"/>
    <cellStyle name="Notiz 2 2 6" xfId="889" xr:uid="{00000000-0005-0000-0000-0000C8020000}"/>
    <cellStyle name="Notiz 2 3" xfId="400" xr:uid="{00000000-0005-0000-0000-0000C9020000}"/>
    <cellStyle name="Notiz 2 3 2" xfId="401" xr:uid="{00000000-0005-0000-0000-0000CA020000}"/>
    <cellStyle name="Notiz 2 3 2 2" xfId="402" xr:uid="{00000000-0005-0000-0000-0000CB020000}"/>
    <cellStyle name="Notiz 2 3 2 2 2" xfId="890" xr:uid="{00000000-0005-0000-0000-0000CC020000}"/>
    <cellStyle name="Notiz 2 3 2 2 3" xfId="891" xr:uid="{00000000-0005-0000-0000-0000CD020000}"/>
    <cellStyle name="Notiz 2 3 2 2 4" xfId="892" xr:uid="{00000000-0005-0000-0000-0000CE020000}"/>
    <cellStyle name="Notiz 2 3 2 3" xfId="893" xr:uid="{00000000-0005-0000-0000-0000CF020000}"/>
    <cellStyle name="Notiz 2 3 2 4" xfId="894" xr:uid="{00000000-0005-0000-0000-0000D0020000}"/>
    <cellStyle name="Notiz 2 3 2 5" xfId="895" xr:uid="{00000000-0005-0000-0000-0000D1020000}"/>
    <cellStyle name="Notiz 2 3 3" xfId="403" xr:uid="{00000000-0005-0000-0000-0000D2020000}"/>
    <cellStyle name="Notiz 2 3 3 2" xfId="896" xr:uid="{00000000-0005-0000-0000-0000D3020000}"/>
    <cellStyle name="Notiz 2 3 3 3" xfId="897" xr:uid="{00000000-0005-0000-0000-0000D4020000}"/>
    <cellStyle name="Notiz 2 3 3 4" xfId="898" xr:uid="{00000000-0005-0000-0000-0000D5020000}"/>
    <cellStyle name="Notiz 2 3 4" xfId="899" xr:uid="{00000000-0005-0000-0000-0000D6020000}"/>
    <cellStyle name="Notiz 2 3 5" xfId="900" xr:uid="{00000000-0005-0000-0000-0000D7020000}"/>
    <cellStyle name="Notiz 2 3 6" xfId="901" xr:uid="{00000000-0005-0000-0000-0000D8020000}"/>
    <cellStyle name="Notiz 2 4" xfId="404" xr:uid="{00000000-0005-0000-0000-0000D9020000}"/>
    <cellStyle name="Notiz 2 4 2" xfId="405" xr:uid="{00000000-0005-0000-0000-0000DA020000}"/>
    <cellStyle name="Notiz 2 4 2 2" xfId="902" xr:uid="{00000000-0005-0000-0000-0000DB020000}"/>
    <cellStyle name="Notiz 2 4 2 3" xfId="903" xr:uid="{00000000-0005-0000-0000-0000DC020000}"/>
    <cellStyle name="Notiz 2 4 2 4" xfId="904" xr:uid="{00000000-0005-0000-0000-0000DD020000}"/>
    <cellStyle name="Notiz 2 4 3" xfId="905" xr:uid="{00000000-0005-0000-0000-0000DE020000}"/>
    <cellStyle name="Notiz 2 4 4" xfId="906" xr:uid="{00000000-0005-0000-0000-0000DF020000}"/>
    <cellStyle name="Notiz 2 4 5" xfId="907" xr:uid="{00000000-0005-0000-0000-0000E0020000}"/>
    <cellStyle name="Notiz 2 5" xfId="406" xr:uid="{00000000-0005-0000-0000-0000E1020000}"/>
    <cellStyle name="Notiz 2 5 2" xfId="908" xr:uid="{00000000-0005-0000-0000-0000E2020000}"/>
    <cellStyle name="Notiz 2 5 3" xfId="909" xr:uid="{00000000-0005-0000-0000-0000E3020000}"/>
    <cellStyle name="Notiz 2 5 4" xfId="910" xr:uid="{00000000-0005-0000-0000-0000E4020000}"/>
    <cellStyle name="Notiz 2 6" xfId="911" xr:uid="{00000000-0005-0000-0000-0000E5020000}"/>
    <cellStyle name="Notiz 2 7" xfId="912" xr:uid="{00000000-0005-0000-0000-0000E6020000}"/>
    <cellStyle name="Notiz 2 8" xfId="913" xr:uid="{00000000-0005-0000-0000-0000E7020000}"/>
    <cellStyle name="Notiz 3" xfId="407" xr:uid="{00000000-0005-0000-0000-0000E8020000}"/>
    <cellStyle name="Notiz 3 2" xfId="408" xr:uid="{00000000-0005-0000-0000-0000E9020000}"/>
    <cellStyle name="Notiz 3 2 2" xfId="409" xr:uid="{00000000-0005-0000-0000-0000EA020000}"/>
    <cellStyle name="Notiz 3 2 2 2" xfId="410" xr:uid="{00000000-0005-0000-0000-0000EB020000}"/>
    <cellStyle name="Notiz 3 2 2 2 2" xfId="914" xr:uid="{00000000-0005-0000-0000-0000EC020000}"/>
    <cellStyle name="Notiz 3 2 2 2 3" xfId="915" xr:uid="{00000000-0005-0000-0000-0000ED020000}"/>
    <cellStyle name="Notiz 3 2 2 2 4" xfId="916" xr:uid="{00000000-0005-0000-0000-0000EE020000}"/>
    <cellStyle name="Notiz 3 2 2 3" xfId="917" xr:uid="{00000000-0005-0000-0000-0000EF020000}"/>
    <cellStyle name="Notiz 3 2 2 4" xfId="918" xr:uid="{00000000-0005-0000-0000-0000F0020000}"/>
    <cellStyle name="Notiz 3 2 2 5" xfId="919" xr:uid="{00000000-0005-0000-0000-0000F1020000}"/>
    <cellStyle name="Notiz 3 2 3" xfId="411" xr:uid="{00000000-0005-0000-0000-0000F2020000}"/>
    <cellStyle name="Notiz 3 2 3 2" xfId="920" xr:uid="{00000000-0005-0000-0000-0000F3020000}"/>
    <cellStyle name="Notiz 3 2 3 3" xfId="921" xr:uid="{00000000-0005-0000-0000-0000F4020000}"/>
    <cellStyle name="Notiz 3 2 3 4" xfId="922" xr:uid="{00000000-0005-0000-0000-0000F5020000}"/>
    <cellStyle name="Notiz 3 2 4" xfId="923" xr:uid="{00000000-0005-0000-0000-0000F6020000}"/>
    <cellStyle name="Notiz 3 2 5" xfId="924" xr:uid="{00000000-0005-0000-0000-0000F7020000}"/>
    <cellStyle name="Notiz 3 2 6" xfId="925" xr:uid="{00000000-0005-0000-0000-0000F8020000}"/>
    <cellStyle name="Notiz 3 3" xfId="412" xr:uid="{00000000-0005-0000-0000-0000F9020000}"/>
    <cellStyle name="Notiz 3 3 2" xfId="413" xr:uid="{00000000-0005-0000-0000-0000FA020000}"/>
    <cellStyle name="Notiz 3 3 2 2" xfId="926" xr:uid="{00000000-0005-0000-0000-0000FB020000}"/>
    <cellStyle name="Notiz 3 3 2 3" xfId="927" xr:uid="{00000000-0005-0000-0000-0000FC020000}"/>
    <cellStyle name="Notiz 3 3 2 4" xfId="928" xr:uid="{00000000-0005-0000-0000-0000FD020000}"/>
    <cellStyle name="Notiz 3 3 3" xfId="929" xr:uid="{00000000-0005-0000-0000-0000FE020000}"/>
    <cellStyle name="Notiz 3 3 4" xfId="930" xr:uid="{00000000-0005-0000-0000-0000FF020000}"/>
    <cellStyle name="Notiz 3 3 5" xfId="931" xr:uid="{00000000-0005-0000-0000-000000030000}"/>
    <cellStyle name="Notiz 3 4" xfId="414" xr:uid="{00000000-0005-0000-0000-000001030000}"/>
    <cellStyle name="Notiz 3 4 2" xfId="932" xr:uid="{00000000-0005-0000-0000-000002030000}"/>
    <cellStyle name="Notiz 3 4 3" xfId="933" xr:uid="{00000000-0005-0000-0000-000003030000}"/>
    <cellStyle name="Notiz 3 4 4" xfId="934" xr:uid="{00000000-0005-0000-0000-000004030000}"/>
    <cellStyle name="Notiz 3 5" xfId="935" xr:uid="{00000000-0005-0000-0000-000005030000}"/>
    <cellStyle name="Notiz 3 6" xfId="936" xr:uid="{00000000-0005-0000-0000-000006030000}"/>
    <cellStyle name="Notiz 3 7" xfId="937" xr:uid="{00000000-0005-0000-0000-000007030000}"/>
    <cellStyle name="Notiz 4" xfId="415" xr:uid="{00000000-0005-0000-0000-000008030000}"/>
    <cellStyle name="Notiz 4 2" xfId="416" xr:uid="{00000000-0005-0000-0000-000009030000}"/>
    <cellStyle name="Notiz 4 2 2" xfId="417" xr:uid="{00000000-0005-0000-0000-00000A030000}"/>
    <cellStyle name="Notiz 4 2 2 2" xfId="938" xr:uid="{00000000-0005-0000-0000-00000B030000}"/>
    <cellStyle name="Notiz 4 2 2 3" xfId="939" xr:uid="{00000000-0005-0000-0000-00000C030000}"/>
    <cellStyle name="Notiz 4 2 2 4" xfId="940" xr:uid="{00000000-0005-0000-0000-00000D030000}"/>
    <cellStyle name="Notiz 4 2 3" xfId="941" xr:uid="{00000000-0005-0000-0000-00000E030000}"/>
    <cellStyle name="Notiz 4 2 4" xfId="942" xr:uid="{00000000-0005-0000-0000-00000F030000}"/>
    <cellStyle name="Notiz 4 2 5" xfId="943" xr:uid="{00000000-0005-0000-0000-000010030000}"/>
    <cellStyle name="Notiz 4 3" xfId="418" xr:uid="{00000000-0005-0000-0000-000011030000}"/>
    <cellStyle name="Notiz 4 3 2" xfId="944" xr:uid="{00000000-0005-0000-0000-000012030000}"/>
    <cellStyle name="Notiz 4 3 3" xfId="945" xr:uid="{00000000-0005-0000-0000-000013030000}"/>
    <cellStyle name="Notiz 4 3 4" xfId="946" xr:uid="{00000000-0005-0000-0000-000014030000}"/>
    <cellStyle name="Notiz 4 4" xfId="947" xr:uid="{00000000-0005-0000-0000-000015030000}"/>
    <cellStyle name="Notiz 4 5" xfId="948" xr:uid="{00000000-0005-0000-0000-000016030000}"/>
    <cellStyle name="Notiz 4 6" xfId="949" xr:uid="{00000000-0005-0000-0000-000017030000}"/>
    <cellStyle name="Notiz 5" xfId="419" xr:uid="{00000000-0005-0000-0000-000018030000}"/>
    <cellStyle name="Notiz 5 2" xfId="420" xr:uid="{00000000-0005-0000-0000-000019030000}"/>
    <cellStyle name="Notiz 5 2 2" xfId="421" xr:uid="{00000000-0005-0000-0000-00001A030000}"/>
    <cellStyle name="Notiz 5 2 2 2" xfId="950" xr:uid="{00000000-0005-0000-0000-00001B030000}"/>
    <cellStyle name="Notiz 5 2 2 3" xfId="951" xr:uid="{00000000-0005-0000-0000-00001C030000}"/>
    <cellStyle name="Notiz 5 2 2 4" xfId="952" xr:uid="{00000000-0005-0000-0000-00001D030000}"/>
    <cellStyle name="Notiz 5 2 3" xfId="953" xr:uid="{00000000-0005-0000-0000-00001E030000}"/>
    <cellStyle name="Notiz 5 2 4" xfId="954" xr:uid="{00000000-0005-0000-0000-00001F030000}"/>
    <cellStyle name="Notiz 5 2 5" xfId="955" xr:uid="{00000000-0005-0000-0000-000020030000}"/>
    <cellStyle name="Notiz 5 3" xfId="422" xr:uid="{00000000-0005-0000-0000-000021030000}"/>
    <cellStyle name="Notiz 5 3 2" xfId="956" xr:uid="{00000000-0005-0000-0000-000022030000}"/>
    <cellStyle name="Notiz 5 3 3" xfId="957" xr:uid="{00000000-0005-0000-0000-000023030000}"/>
    <cellStyle name="Notiz 5 3 4" xfId="958" xr:uid="{00000000-0005-0000-0000-000024030000}"/>
    <cellStyle name="Notiz 5 4" xfId="959" xr:uid="{00000000-0005-0000-0000-000025030000}"/>
    <cellStyle name="Notiz 5 5" xfId="960" xr:uid="{00000000-0005-0000-0000-000026030000}"/>
    <cellStyle name="Notiz 5 6" xfId="961" xr:uid="{00000000-0005-0000-0000-000027030000}"/>
    <cellStyle name="Notiz 6" xfId="423" xr:uid="{00000000-0005-0000-0000-000028030000}"/>
    <cellStyle name="Notiz 6 2" xfId="424" xr:uid="{00000000-0005-0000-0000-000029030000}"/>
    <cellStyle name="Notiz 6 2 2" xfId="962" xr:uid="{00000000-0005-0000-0000-00002A030000}"/>
    <cellStyle name="Notiz 6 2 3" xfId="963" xr:uid="{00000000-0005-0000-0000-00002B030000}"/>
    <cellStyle name="Notiz 6 2 4" xfId="964" xr:uid="{00000000-0005-0000-0000-00002C030000}"/>
    <cellStyle name="Notiz 6 3" xfId="965" xr:uid="{00000000-0005-0000-0000-00002D030000}"/>
    <cellStyle name="Notiz 6 4" xfId="966" xr:uid="{00000000-0005-0000-0000-00002E030000}"/>
    <cellStyle name="Notiz 6 5" xfId="967" xr:uid="{00000000-0005-0000-0000-00002F030000}"/>
    <cellStyle name="Notiz 7" xfId="425" xr:uid="{00000000-0005-0000-0000-000030030000}"/>
    <cellStyle name="Notiz 7 2" xfId="968" xr:uid="{00000000-0005-0000-0000-000031030000}"/>
    <cellStyle name="Notiz 7 3" xfId="969" xr:uid="{00000000-0005-0000-0000-000032030000}"/>
    <cellStyle name="Notiz 7 4" xfId="970" xr:uid="{00000000-0005-0000-0000-000033030000}"/>
    <cellStyle name="Notiz 8" xfId="426" xr:uid="{00000000-0005-0000-0000-000034030000}"/>
    <cellStyle name="Notiz 8 2" xfId="971" xr:uid="{00000000-0005-0000-0000-000035030000}"/>
    <cellStyle name="Notiz 9" xfId="972" xr:uid="{00000000-0005-0000-0000-000036030000}"/>
    <cellStyle name="Output 2" xfId="427" xr:uid="{00000000-0005-0000-0000-000037030000}"/>
    <cellStyle name="Percent 2" xfId="429" xr:uid="{00000000-0005-0000-0000-000038030000}"/>
    <cellStyle name="Prozent" xfId="428" builtinId="5"/>
    <cellStyle name="Prozent 10" xfId="430" xr:uid="{00000000-0005-0000-0000-00003A030000}"/>
    <cellStyle name="Prozent 10 2" xfId="431" xr:uid="{00000000-0005-0000-0000-00003B030000}"/>
    <cellStyle name="Prozent 10 2 2" xfId="973" xr:uid="{00000000-0005-0000-0000-00003C030000}"/>
    <cellStyle name="Prozent 10 3" xfId="432" xr:uid="{00000000-0005-0000-0000-00003D030000}"/>
    <cellStyle name="Prozent 10 3 2" xfId="975" xr:uid="{00000000-0005-0000-0000-00003E030000}"/>
    <cellStyle name="Prozent 10 3 3" xfId="974" xr:uid="{00000000-0005-0000-0000-00003F030000}"/>
    <cellStyle name="Prozent 10 4" xfId="433" xr:uid="{00000000-0005-0000-0000-000040030000}"/>
    <cellStyle name="Prozent 10 4 2" xfId="977" xr:uid="{00000000-0005-0000-0000-000041030000}"/>
    <cellStyle name="Prozent 10 4 3" xfId="978" xr:uid="{00000000-0005-0000-0000-000042030000}"/>
    <cellStyle name="Prozent 10 4 4" xfId="976" xr:uid="{00000000-0005-0000-0000-000043030000}"/>
    <cellStyle name="Prozent 10 5" xfId="979" xr:uid="{00000000-0005-0000-0000-000044030000}"/>
    <cellStyle name="Prozent 11" xfId="434" xr:uid="{00000000-0005-0000-0000-000045030000}"/>
    <cellStyle name="Prozent 11 2" xfId="980" xr:uid="{00000000-0005-0000-0000-000046030000}"/>
    <cellStyle name="Prozent 12" xfId="435" xr:uid="{00000000-0005-0000-0000-000047030000}"/>
    <cellStyle name="Prozent 12 2" xfId="981" xr:uid="{00000000-0005-0000-0000-000048030000}"/>
    <cellStyle name="Prozent 13" xfId="982" xr:uid="{00000000-0005-0000-0000-000049030000}"/>
    <cellStyle name="Prozent 14" xfId="983" xr:uid="{00000000-0005-0000-0000-00004A030000}"/>
    <cellStyle name="Prozent 15" xfId="1231" xr:uid="{00000000-0005-0000-0000-00004B030000}"/>
    <cellStyle name="Prozent 2" xfId="436" xr:uid="{00000000-0005-0000-0000-00004C030000}"/>
    <cellStyle name="Prozent 3" xfId="437" xr:uid="{00000000-0005-0000-0000-00004D030000}"/>
    <cellStyle name="Prozent 3 2" xfId="438" xr:uid="{00000000-0005-0000-0000-00004E030000}"/>
    <cellStyle name="Prozent 3 2 2" xfId="439" xr:uid="{00000000-0005-0000-0000-00004F030000}"/>
    <cellStyle name="Prozent 3 2 2 2" xfId="440" xr:uid="{00000000-0005-0000-0000-000050030000}"/>
    <cellStyle name="Prozent 3 2 2 2 2" xfId="441" xr:uid="{00000000-0005-0000-0000-000051030000}"/>
    <cellStyle name="Prozent 3 2 2 2 2 2" xfId="984" xr:uid="{00000000-0005-0000-0000-000052030000}"/>
    <cellStyle name="Prozent 3 2 2 2 2 3" xfId="985" xr:uid="{00000000-0005-0000-0000-000053030000}"/>
    <cellStyle name="Prozent 3 2 2 2 2 4" xfId="986" xr:uid="{00000000-0005-0000-0000-000054030000}"/>
    <cellStyle name="Prozent 3 2 2 2 3" xfId="987" xr:uid="{00000000-0005-0000-0000-000055030000}"/>
    <cellStyle name="Prozent 3 2 2 2 4" xfId="988" xr:uid="{00000000-0005-0000-0000-000056030000}"/>
    <cellStyle name="Prozent 3 2 2 2 5" xfId="989" xr:uid="{00000000-0005-0000-0000-000057030000}"/>
    <cellStyle name="Prozent 3 2 2 3" xfId="442" xr:uid="{00000000-0005-0000-0000-000058030000}"/>
    <cellStyle name="Prozent 3 2 2 3 2" xfId="990" xr:uid="{00000000-0005-0000-0000-000059030000}"/>
    <cellStyle name="Prozent 3 2 2 3 3" xfId="991" xr:uid="{00000000-0005-0000-0000-00005A030000}"/>
    <cellStyle name="Prozent 3 2 2 3 4" xfId="992" xr:uid="{00000000-0005-0000-0000-00005B030000}"/>
    <cellStyle name="Prozent 3 2 2 4" xfId="993" xr:uid="{00000000-0005-0000-0000-00005C030000}"/>
    <cellStyle name="Prozent 3 2 2 5" xfId="994" xr:uid="{00000000-0005-0000-0000-00005D030000}"/>
    <cellStyle name="Prozent 3 2 2 6" xfId="995" xr:uid="{00000000-0005-0000-0000-00005E030000}"/>
    <cellStyle name="Prozent 3 2 3" xfId="443" xr:uid="{00000000-0005-0000-0000-00005F030000}"/>
    <cellStyle name="Prozent 3 2 3 2" xfId="444" xr:uid="{00000000-0005-0000-0000-000060030000}"/>
    <cellStyle name="Prozent 3 2 3 2 2" xfId="996" xr:uid="{00000000-0005-0000-0000-000061030000}"/>
    <cellStyle name="Prozent 3 2 3 2 3" xfId="997" xr:uid="{00000000-0005-0000-0000-000062030000}"/>
    <cellStyle name="Prozent 3 2 3 2 4" xfId="998" xr:uid="{00000000-0005-0000-0000-000063030000}"/>
    <cellStyle name="Prozent 3 2 3 3" xfId="999" xr:uid="{00000000-0005-0000-0000-000064030000}"/>
    <cellStyle name="Prozent 3 2 3 4" xfId="1000" xr:uid="{00000000-0005-0000-0000-000065030000}"/>
    <cellStyle name="Prozent 3 2 3 5" xfId="1001" xr:uid="{00000000-0005-0000-0000-000066030000}"/>
    <cellStyle name="Prozent 3 2 4" xfId="445" xr:uid="{00000000-0005-0000-0000-000067030000}"/>
    <cellStyle name="Prozent 3 2 4 2" xfId="446" xr:uid="{00000000-0005-0000-0000-000068030000}"/>
    <cellStyle name="Prozent 3 2 4 2 2" xfId="1002" xr:uid="{00000000-0005-0000-0000-000069030000}"/>
    <cellStyle name="Prozent 3 2 4 3" xfId="447" xr:uid="{00000000-0005-0000-0000-00006A030000}"/>
    <cellStyle name="Prozent 3 2 4 4" xfId="1003" xr:uid="{00000000-0005-0000-0000-00006B030000}"/>
    <cellStyle name="Prozent 3 2 4 5" xfId="1004" xr:uid="{00000000-0005-0000-0000-00006C030000}"/>
    <cellStyle name="Prozent 3 2 5" xfId="448" xr:uid="{00000000-0005-0000-0000-00006D030000}"/>
    <cellStyle name="Prozent 3 2 6" xfId="1005" xr:uid="{00000000-0005-0000-0000-00006E030000}"/>
    <cellStyle name="Prozent 3 3" xfId="449" xr:uid="{00000000-0005-0000-0000-00006F030000}"/>
    <cellStyle name="Prozent 3 3 2" xfId="450" xr:uid="{00000000-0005-0000-0000-000070030000}"/>
    <cellStyle name="Prozent 3 3 2 2" xfId="451" xr:uid="{00000000-0005-0000-0000-000071030000}"/>
    <cellStyle name="Prozent 3 3 2 2 2" xfId="1006" xr:uid="{00000000-0005-0000-0000-000072030000}"/>
    <cellStyle name="Prozent 3 3 2 2 3" xfId="1007" xr:uid="{00000000-0005-0000-0000-000073030000}"/>
    <cellStyle name="Prozent 3 3 2 2 4" xfId="1008" xr:uid="{00000000-0005-0000-0000-000074030000}"/>
    <cellStyle name="Prozent 3 3 2 3" xfId="1009" xr:uid="{00000000-0005-0000-0000-000075030000}"/>
    <cellStyle name="Prozent 3 3 2 4" xfId="1010" xr:uid="{00000000-0005-0000-0000-000076030000}"/>
    <cellStyle name="Prozent 3 3 2 5" xfId="1011" xr:uid="{00000000-0005-0000-0000-000077030000}"/>
    <cellStyle name="Prozent 3 3 3" xfId="452" xr:uid="{00000000-0005-0000-0000-000078030000}"/>
    <cellStyle name="Prozent 3 3 3 2" xfId="1012" xr:uid="{00000000-0005-0000-0000-000079030000}"/>
    <cellStyle name="Prozent 3 3 3 3" xfId="1013" xr:uid="{00000000-0005-0000-0000-00007A030000}"/>
    <cellStyle name="Prozent 3 3 3 4" xfId="1014" xr:uid="{00000000-0005-0000-0000-00007B030000}"/>
    <cellStyle name="Prozent 3 3 4" xfId="1015" xr:uid="{00000000-0005-0000-0000-00007C030000}"/>
    <cellStyle name="Prozent 3 3 5" xfId="1016" xr:uid="{00000000-0005-0000-0000-00007D030000}"/>
    <cellStyle name="Prozent 3 3 6" xfId="1017" xr:uid="{00000000-0005-0000-0000-00007E030000}"/>
    <cellStyle name="Prozent 3 4" xfId="453" xr:uid="{00000000-0005-0000-0000-00007F030000}"/>
    <cellStyle name="Prozent 3 4 2" xfId="454" xr:uid="{00000000-0005-0000-0000-000080030000}"/>
    <cellStyle name="Prozent 3 4 2 2" xfId="1018" xr:uid="{00000000-0005-0000-0000-000081030000}"/>
    <cellStyle name="Prozent 3 4 2 3" xfId="1019" xr:uid="{00000000-0005-0000-0000-000082030000}"/>
    <cellStyle name="Prozent 3 4 2 4" xfId="1020" xr:uid="{00000000-0005-0000-0000-000083030000}"/>
    <cellStyle name="Prozent 3 4 3" xfId="1021" xr:uid="{00000000-0005-0000-0000-000084030000}"/>
    <cellStyle name="Prozent 3 4 4" xfId="1022" xr:uid="{00000000-0005-0000-0000-000085030000}"/>
    <cellStyle name="Prozent 3 4 5" xfId="1023" xr:uid="{00000000-0005-0000-0000-000086030000}"/>
    <cellStyle name="Prozent 3 5" xfId="455" xr:uid="{00000000-0005-0000-0000-000087030000}"/>
    <cellStyle name="Prozent 3 5 2" xfId="1024" xr:uid="{00000000-0005-0000-0000-000088030000}"/>
    <cellStyle name="Prozent 3 5 3" xfId="1025" xr:uid="{00000000-0005-0000-0000-000089030000}"/>
    <cellStyle name="Prozent 3 5 4" xfId="1026" xr:uid="{00000000-0005-0000-0000-00008A030000}"/>
    <cellStyle name="Prozent 3 6" xfId="1027" xr:uid="{00000000-0005-0000-0000-00008B030000}"/>
    <cellStyle name="Prozent 3 7" xfId="1028" xr:uid="{00000000-0005-0000-0000-00008C030000}"/>
    <cellStyle name="Prozent 3 8" xfId="1029" xr:uid="{00000000-0005-0000-0000-00008D030000}"/>
    <cellStyle name="Prozent 4" xfId="456" xr:uid="{00000000-0005-0000-0000-00008E030000}"/>
    <cellStyle name="Prozent 4 2" xfId="457" xr:uid="{00000000-0005-0000-0000-00008F030000}"/>
    <cellStyle name="Prozent 4 2 2" xfId="458" xr:uid="{00000000-0005-0000-0000-000090030000}"/>
    <cellStyle name="Prozent 4 2 2 2" xfId="459" xr:uid="{00000000-0005-0000-0000-000091030000}"/>
    <cellStyle name="Prozent 4 2 2 2 2" xfId="460" xr:uid="{00000000-0005-0000-0000-000092030000}"/>
    <cellStyle name="Prozent 4 2 2 2 2 2" xfId="1030" xr:uid="{00000000-0005-0000-0000-000093030000}"/>
    <cellStyle name="Prozent 4 2 2 2 2 3" xfId="1031" xr:uid="{00000000-0005-0000-0000-000094030000}"/>
    <cellStyle name="Prozent 4 2 2 2 2 4" xfId="1032" xr:uid="{00000000-0005-0000-0000-000095030000}"/>
    <cellStyle name="Prozent 4 2 2 2 3" xfId="1033" xr:uid="{00000000-0005-0000-0000-000096030000}"/>
    <cellStyle name="Prozent 4 2 2 2 4" xfId="1034" xr:uid="{00000000-0005-0000-0000-000097030000}"/>
    <cellStyle name="Prozent 4 2 2 2 5" xfId="1035" xr:uid="{00000000-0005-0000-0000-000098030000}"/>
    <cellStyle name="Prozent 4 2 2 3" xfId="461" xr:uid="{00000000-0005-0000-0000-000099030000}"/>
    <cellStyle name="Prozent 4 2 2 3 2" xfId="1036" xr:uid="{00000000-0005-0000-0000-00009A030000}"/>
    <cellStyle name="Prozent 4 2 2 3 3" xfId="1037" xr:uid="{00000000-0005-0000-0000-00009B030000}"/>
    <cellStyle name="Prozent 4 2 2 3 4" xfId="1038" xr:uid="{00000000-0005-0000-0000-00009C030000}"/>
    <cellStyle name="Prozent 4 2 2 4" xfId="1039" xr:uid="{00000000-0005-0000-0000-00009D030000}"/>
    <cellStyle name="Prozent 4 2 2 5" xfId="1040" xr:uid="{00000000-0005-0000-0000-00009E030000}"/>
    <cellStyle name="Prozent 4 2 2 6" xfId="1041" xr:uid="{00000000-0005-0000-0000-00009F030000}"/>
    <cellStyle name="Prozent 4 2 3" xfId="462" xr:uid="{00000000-0005-0000-0000-0000A0030000}"/>
    <cellStyle name="Prozent 4 2 3 2" xfId="463" xr:uid="{00000000-0005-0000-0000-0000A1030000}"/>
    <cellStyle name="Prozent 4 2 3 2 2" xfId="1042" xr:uid="{00000000-0005-0000-0000-0000A2030000}"/>
    <cellStyle name="Prozent 4 2 3 2 3" xfId="1043" xr:uid="{00000000-0005-0000-0000-0000A3030000}"/>
    <cellStyle name="Prozent 4 2 3 2 4" xfId="1044" xr:uid="{00000000-0005-0000-0000-0000A4030000}"/>
    <cellStyle name="Prozent 4 2 3 3" xfId="1045" xr:uid="{00000000-0005-0000-0000-0000A5030000}"/>
    <cellStyle name="Prozent 4 2 3 4" xfId="1046" xr:uid="{00000000-0005-0000-0000-0000A6030000}"/>
    <cellStyle name="Prozent 4 2 3 5" xfId="1047" xr:uid="{00000000-0005-0000-0000-0000A7030000}"/>
    <cellStyle name="Prozent 4 2 4" xfId="464" xr:uid="{00000000-0005-0000-0000-0000A8030000}"/>
    <cellStyle name="Prozent 4 2 4 2" xfId="1048" xr:uid="{00000000-0005-0000-0000-0000A9030000}"/>
    <cellStyle name="Prozent 4 2 4 3" xfId="1049" xr:uid="{00000000-0005-0000-0000-0000AA030000}"/>
    <cellStyle name="Prozent 4 2 4 4" xfId="1050" xr:uid="{00000000-0005-0000-0000-0000AB030000}"/>
    <cellStyle name="Prozent 4 2 5" xfId="1051" xr:uid="{00000000-0005-0000-0000-0000AC030000}"/>
    <cellStyle name="Prozent 4 2 6" xfId="1052" xr:uid="{00000000-0005-0000-0000-0000AD030000}"/>
    <cellStyle name="Prozent 4 2 7" xfId="1053" xr:uid="{00000000-0005-0000-0000-0000AE030000}"/>
    <cellStyle name="Prozent 4 3" xfId="465" xr:uid="{00000000-0005-0000-0000-0000AF030000}"/>
    <cellStyle name="Prozent 4 3 2" xfId="466" xr:uid="{00000000-0005-0000-0000-0000B0030000}"/>
    <cellStyle name="Prozent 4 3 2 2" xfId="467" xr:uid="{00000000-0005-0000-0000-0000B1030000}"/>
    <cellStyle name="Prozent 4 3 2 2 2" xfId="1054" xr:uid="{00000000-0005-0000-0000-0000B2030000}"/>
    <cellStyle name="Prozent 4 3 2 2 3" xfId="1055" xr:uid="{00000000-0005-0000-0000-0000B3030000}"/>
    <cellStyle name="Prozent 4 3 2 2 4" xfId="1056" xr:uid="{00000000-0005-0000-0000-0000B4030000}"/>
    <cellStyle name="Prozent 4 3 2 3" xfId="1057" xr:uid="{00000000-0005-0000-0000-0000B5030000}"/>
    <cellStyle name="Prozent 4 3 2 4" xfId="1058" xr:uid="{00000000-0005-0000-0000-0000B6030000}"/>
    <cellStyle name="Prozent 4 3 2 5" xfId="1059" xr:uid="{00000000-0005-0000-0000-0000B7030000}"/>
    <cellStyle name="Prozent 4 3 3" xfId="468" xr:uid="{00000000-0005-0000-0000-0000B8030000}"/>
    <cellStyle name="Prozent 4 3 3 2" xfId="469" xr:uid="{00000000-0005-0000-0000-0000B9030000}"/>
    <cellStyle name="Prozent 4 3 3 2 2" xfId="1060" xr:uid="{00000000-0005-0000-0000-0000BA030000}"/>
    <cellStyle name="Prozent 4 3 3 2 3" xfId="1061" xr:uid="{00000000-0005-0000-0000-0000BB030000}"/>
    <cellStyle name="Prozent 4 3 3 2 4" xfId="1062" xr:uid="{00000000-0005-0000-0000-0000BC030000}"/>
    <cellStyle name="Prozent 4 3 3 3" xfId="1063" xr:uid="{00000000-0005-0000-0000-0000BD030000}"/>
    <cellStyle name="Prozent 4 3 3 4" xfId="1064" xr:uid="{00000000-0005-0000-0000-0000BE030000}"/>
    <cellStyle name="Prozent 4 3 3 5" xfId="1065" xr:uid="{00000000-0005-0000-0000-0000BF030000}"/>
    <cellStyle name="Prozent 4 3 4" xfId="470" xr:uid="{00000000-0005-0000-0000-0000C0030000}"/>
    <cellStyle name="Prozent 4 3 4 2" xfId="471" xr:uid="{00000000-0005-0000-0000-0000C1030000}"/>
    <cellStyle name="Prozent 4 3 4 2 2" xfId="1067" xr:uid="{00000000-0005-0000-0000-0000C2030000}"/>
    <cellStyle name="Prozent 4 3 4 3" xfId="472" xr:uid="{00000000-0005-0000-0000-0000C3030000}"/>
    <cellStyle name="Prozent 4 3 4 3 2" xfId="1068" xr:uid="{00000000-0005-0000-0000-0000C4030000}"/>
    <cellStyle name="Prozent 4 3 4 4" xfId="473" xr:uid="{00000000-0005-0000-0000-0000C5030000}"/>
    <cellStyle name="Prozent 4 3 4 4 2" xfId="1070" xr:uid="{00000000-0005-0000-0000-0000C6030000}"/>
    <cellStyle name="Prozent 4 3 4 4 3" xfId="1071" xr:uid="{00000000-0005-0000-0000-0000C7030000}"/>
    <cellStyle name="Prozent 4 3 4 4 4" xfId="1069" xr:uid="{00000000-0005-0000-0000-0000C8030000}"/>
    <cellStyle name="Prozent 4 3 4 5" xfId="1072" xr:uid="{00000000-0005-0000-0000-0000C9030000}"/>
    <cellStyle name="Prozent 4 3 4 6" xfId="1066" xr:uid="{00000000-0005-0000-0000-0000CA030000}"/>
    <cellStyle name="Prozent 4 3 5" xfId="1073" xr:uid="{00000000-0005-0000-0000-0000CB030000}"/>
    <cellStyle name="Prozent 4 4" xfId="474" xr:uid="{00000000-0005-0000-0000-0000CC030000}"/>
    <cellStyle name="Prozent 4 4 2" xfId="475" xr:uid="{00000000-0005-0000-0000-0000CD030000}"/>
    <cellStyle name="Prozent 4 4 2 2" xfId="1074" xr:uid="{00000000-0005-0000-0000-0000CE030000}"/>
    <cellStyle name="Prozent 4 4 2 3" xfId="1075" xr:uid="{00000000-0005-0000-0000-0000CF030000}"/>
    <cellStyle name="Prozent 4 4 2 4" xfId="1076" xr:uid="{00000000-0005-0000-0000-0000D0030000}"/>
    <cellStyle name="Prozent 4 4 3" xfId="1077" xr:uid="{00000000-0005-0000-0000-0000D1030000}"/>
    <cellStyle name="Prozent 4 4 4" xfId="1078" xr:uid="{00000000-0005-0000-0000-0000D2030000}"/>
    <cellStyle name="Prozent 4 4 5" xfId="1079" xr:uid="{00000000-0005-0000-0000-0000D3030000}"/>
    <cellStyle name="Prozent 4 5" xfId="476" xr:uid="{00000000-0005-0000-0000-0000D4030000}"/>
    <cellStyle name="Prozent 4 5 2" xfId="1080" xr:uid="{00000000-0005-0000-0000-0000D5030000}"/>
    <cellStyle name="Prozent 4 5 3" xfId="1081" xr:uid="{00000000-0005-0000-0000-0000D6030000}"/>
    <cellStyle name="Prozent 4 5 4" xfId="1082" xr:uid="{00000000-0005-0000-0000-0000D7030000}"/>
    <cellStyle name="Prozent 4 6" xfId="1083" xr:uid="{00000000-0005-0000-0000-0000D8030000}"/>
    <cellStyle name="Prozent 4 7" xfId="1084" xr:uid="{00000000-0005-0000-0000-0000D9030000}"/>
    <cellStyle name="Prozent 4 8" xfId="1085" xr:uid="{00000000-0005-0000-0000-0000DA030000}"/>
    <cellStyle name="Prozent 5" xfId="477" xr:uid="{00000000-0005-0000-0000-0000DB030000}"/>
    <cellStyle name="Prozent 5 2" xfId="478" xr:uid="{00000000-0005-0000-0000-0000DC030000}"/>
    <cellStyle name="Prozent 5 2 2" xfId="479" xr:uid="{00000000-0005-0000-0000-0000DD030000}"/>
    <cellStyle name="Prozent 5 2 2 2" xfId="480" xr:uid="{00000000-0005-0000-0000-0000DE030000}"/>
    <cellStyle name="Prozent 5 2 2 2 2" xfId="1086" xr:uid="{00000000-0005-0000-0000-0000DF030000}"/>
    <cellStyle name="Prozent 5 2 2 2 3" xfId="1087" xr:uid="{00000000-0005-0000-0000-0000E0030000}"/>
    <cellStyle name="Prozent 5 2 2 2 4" xfId="1088" xr:uid="{00000000-0005-0000-0000-0000E1030000}"/>
    <cellStyle name="Prozent 5 2 2 3" xfId="1089" xr:uid="{00000000-0005-0000-0000-0000E2030000}"/>
    <cellStyle name="Prozent 5 2 2 4" xfId="1090" xr:uid="{00000000-0005-0000-0000-0000E3030000}"/>
    <cellStyle name="Prozent 5 2 2 5" xfId="1091" xr:uid="{00000000-0005-0000-0000-0000E4030000}"/>
    <cellStyle name="Prozent 5 2 3" xfId="481" xr:uid="{00000000-0005-0000-0000-0000E5030000}"/>
    <cellStyle name="Prozent 5 2 3 2" xfId="1092" xr:uid="{00000000-0005-0000-0000-0000E6030000}"/>
    <cellStyle name="Prozent 5 2 3 3" xfId="1093" xr:uid="{00000000-0005-0000-0000-0000E7030000}"/>
    <cellStyle name="Prozent 5 2 3 4" xfId="1094" xr:uid="{00000000-0005-0000-0000-0000E8030000}"/>
    <cellStyle name="Prozent 5 2 4" xfId="1095" xr:uid="{00000000-0005-0000-0000-0000E9030000}"/>
    <cellStyle name="Prozent 5 2 5" xfId="1096" xr:uid="{00000000-0005-0000-0000-0000EA030000}"/>
    <cellStyle name="Prozent 5 2 6" xfId="1097" xr:uid="{00000000-0005-0000-0000-0000EB030000}"/>
    <cellStyle name="Prozent 5 3" xfId="482" xr:uid="{00000000-0005-0000-0000-0000EC030000}"/>
    <cellStyle name="Prozent 5 3 2" xfId="483" xr:uid="{00000000-0005-0000-0000-0000ED030000}"/>
    <cellStyle name="Prozent 5 3 2 2" xfId="1098" xr:uid="{00000000-0005-0000-0000-0000EE030000}"/>
    <cellStyle name="Prozent 5 3 2 3" xfId="1099" xr:uid="{00000000-0005-0000-0000-0000EF030000}"/>
    <cellStyle name="Prozent 5 3 2 4" xfId="1100" xr:uid="{00000000-0005-0000-0000-0000F0030000}"/>
    <cellStyle name="Prozent 5 3 3" xfId="1101" xr:uid="{00000000-0005-0000-0000-0000F1030000}"/>
    <cellStyle name="Prozent 5 3 4" xfId="1102" xr:uid="{00000000-0005-0000-0000-0000F2030000}"/>
    <cellStyle name="Prozent 5 3 5" xfId="1103" xr:uid="{00000000-0005-0000-0000-0000F3030000}"/>
    <cellStyle name="Prozent 5 4" xfId="484" xr:uid="{00000000-0005-0000-0000-0000F4030000}"/>
    <cellStyle name="Prozent 5 4 2" xfId="485" xr:uid="{00000000-0005-0000-0000-0000F5030000}"/>
    <cellStyle name="Prozent 5 4 2 2" xfId="1104" xr:uid="{00000000-0005-0000-0000-0000F6030000}"/>
    <cellStyle name="Prozent 5 4 3" xfId="486" xr:uid="{00000000-0005-0000-0000-0000F7030000}"/>
    <cellStyle name="Prozent 5 4 3 2" xfId="487" xr:uid="{00000000-0005-0000-0000-0000F8030000}"/>
    <cellStyle name="Prozent 5 4 3 2 2" xfId="1106" xr:uid="{00000000-0005-0000-0000-0000F9030000}"/>
    <cellStyle name="Prozent 5 4 3 3" xfId="1107" xr:uid="{00000000-0005-0000-0000-0000FA030000}"/>
    <cellStyle name="Prozent 5 4 3 3 2" xfId="1108" xr:uid="{00000000-0005-0000-0000-0000FB030000}"/>
    <cellStyle name="Prozent 5 4 3 4" xfId="1109" xr:uid="{00000000-0005-0000-0000-0000FC030000}"/>
    <cellStyle name="Prozent 5 4 3 5" xfId="1105" xr:uid="{00000000-0005-0000-0000-0000FD030000}"/>
    <cellStyle name="Prozent 5 4 4" xfId="488" xr:uid="{00000000-0005-0000-0000-0000FE030000}"/>
    <cellStyle name="Prozent 5 4 4 2" xfId="1110" xr:uid="{00000000-0005-0000-0000-0000FF030000}"/>
    <cellStyle name="Prozent 5 4 4 2 2" xfId="1111" xr:uid="{00000000-0005-0000-0000-000000040000}"/>
    <cellStyle name="Prozent 5 4 5" xfId="1112" xr:uid="{00000000-0005-0000-0000-000001040000}"/>
    <cellStyle name="Prozent 5 5" xfId="489" xr:uid="{00000000-0005-0000-0000-000002040000}"/>
    <cellStyle name="Prozent 5 5 2" xfId="490" xr:uid="{00000000-0005-0000-0000-000003040000}"/>
    <cellStyle name="Prozent 5 5 2 2" xfId="1114" xr:uid="{00000000-0005-0000-0000-000004040000}"/>
    <cellStyle name="Prozent 5 5 3" xfId="491" xr:uid="{00000000-0005-0000-0000-000005040000}"/>
    <cellStyle name="Prozent 5 5 3 2" xfId="1115" xr:uid="{00000000-0005-0000-0000-000006040000}"/>
    <cellStyle name="Prozent 5 5 4" xfId="492" xr:uid="{00000000-0005-0000-0000-000007040000}"/>
    <cellStyle name="Prozent 5 5 4 2" xfId="1117" xr:uid="{00000000-0005-0000-0000-000008040000}"/>
    <cellStyle name="Prozent 5 5 4 3" xfId="1118" xr:uid="{00000000-0005-0000-0000-000009040000}"/>
    <cellStyle name="Prozent 5 5 4 4" xfId="1116" xr:uid="{00000000-0005-0000-0000-00000A040000}"/>
    <cellStyle name="Prozent 5 5 5" xfId="1119" xr:uid="{00000000-0005-0000-0000-00000B040000}"/>
    <cellStyle name="Prozent 5 5 6" xfId="1113" xr:uid="{00000000-0005-0000-0000-00000C040000}"/>
    <cellStyle name="Prozent 5 6" xfId="1120" xr:uid="{00000000-0005-0000-0000-00000D040000}"/>
    <cellStyle name="Prozent 6" xfId="493" xr:uid="{00000000-0005-0000-0000-00000E040000}"/>
    <cellStyle name="Prozent 6 2" xfId="494" xr:uid="{00000000-0005-0000-0000-00000F040000}"/>
    <cellStyle name="Prozent 6 2 2" xfId="495" xr:uid="{00000000-0005-0000-0000-000010040000}"/>
    <cellStyle name="Prozent 6 2 2 2" xfId="1121" xr:uid="{00000000-0005-0000-0000-000011040000}"/>
    <cellStyle name="Prozent 6 2 2 3" xfId="1122" xr:uid="{00000000-0005-0000-0000-000012040000}"/>
    <cellStyle name="Prozent 6 2 2 4" xfId="1123" xr:uid="{00000000-0005-0000-0000-000013040000}"/>
    <cellStyle name="Prozent 6 2 3" xfId="1124" xr:uid="{00000000-0005-0000-0000-000014040000}"/>
    <cellStyle name="Prozent 6 2 4" xfId="1125" xr:uid="{00000000-0005-0000-0000-000015040000}"/>
    <cellStyle name="Prozent 6 2 5" xfId="1126" xr:uid="{00000000-0005-0000-0000-000016040000}"/>
    <cellStyle name="Prozent 6 3" xfId="496" xr:uid="{00000000-0005-0000-0000-000017040000}"/>
    <cellStyle name="Prozent 6 3 2" xfId="1127" xr:uid="{00000000-0005-0000-0000-000018040000}"/>
    <cellStyle name="Prozent 6 3 3" xfId="1128" xr:uid="{00000000-0005-0000-0000-000019040000}"/>
    <cellStyle name="Prozent 6 3 4" xfId="1129" xr:uid="{00000000-0005-0000-0000-00001A040000}"/>
    <cellStyle name="Prozent 6 4" xfId="1130" xr:uid="{00000000-0005-0000-0000-00001B040000}"/>
    <cellStyle name="Prozent 6 5" xfId="1131" xr:uid="{00000000-0005-0000-0000-00001C040000}"/>
    <cellStyle name="Prozent 6 6" xfId="1132" xr:uid="{00000000-0005-0000-0000-00001D040000}"/>
    <cellStyle name="Prozent 7" xfId="497" xr:uid="{00000000-0005-0000-0000-00001E040000}"/>
    <cellStyle name="Prozent 7 2" xfId="498" xr:uid="{00000000-0005-0000-0000-00001F040000}"/>
    <cellStyle name="Prozent 7 2 2" xfId="499" xr:uid="{00000000-0005-0000-0000-000020040000}"/>
    <cellStyle name="Prozent 7 2 2 2" xfId="1133" xr:uid="{00000000-0005-0000-0000-000021040000}"/>
    <cellStyle name="Prozent 7 2 2 3" xfId="1134" xr:uid="{00000000-0005-0000-0000-000022040000}"/>
    <cellStyle name="Prozent 7 2 2 4" xfId="1135" xr:uid="{00000000-0005-0000-0000-000023040000}"/>
    <cellStyle name="Prozent 7 2 3" xfId="1136" xr:uid="{00000000-0005-0000-0000-000024040000}"/>
    <cellStyle name="Prozent 7 2 4" xfId="1137" xr:uid="{00000000-0005-0000-0000-000025040000}"/>
    <cellStyle name="Prozent 7 2 5" xfId="1138" xr:uid="{00000000-0005-0000-0000-000026040000}"/>
    <cellStyle name="Prozent 7 3" xfId="500" xr:uid="{00000000-0005-0000-0000-000027040000}"/>
    <cellStyle name="Prozent 7 3 2" xfId="1139" xr:uid="{00000000-0005-0000-0000-000028040000}"/>
    <cellStyle name="Prozent 7 3 3" xfId="1140" xr:uid="{00000000-0005-0000-0000-000029040000}"/>
    <cellStyle name="Prozent 7 3 4" xfId="1141" xr:uid="{00000000-0005-0000-0000-00002A040000}"/>
    <cellStyle name="Prozent 7 4" xfId="1142" xr:uid="{00000000-0005-0000-0000-00002B040000}"/>
    <cellStyle name="Prozent 7 5" xfId="1143" xr:uid="{00000000-0005-0000-0000-00002C040000}"/>
    <cellStyle name="Prozent 7 6" xfId="1144" xr:uid="{00000000-0005-0000-0000-00002D040000}"/>
    <cellStyle name="Prozent 8" xfId="501" xr:uid="{00000000-0005-0000-0000-00002E040000}"/>
    <cellStyle name="Prozent 8 2" xfId="502" xr:uid="{00000000-0005-0000-0000-00002F040000}"/>
    <cellStyle name="Prozent 8 2 2" xfId="503" xr:uid="{00000000-0005-0000-0000-000030040000}"/>
    <cellStyle name="Prozent 8 2 2 2" xfId="1145" xr:uid="{00000000-0005-0000-0000-000031040000}"/>
    <cellStyle name="Prozent 8 2 3" xfId="504" xr:uid="{00000000-0005-0000-0000-000032040000}"/>
    <cellStyle name="Prozent 8 2 4" xfId="1146" xr:uid="{00000000-0005-0000-0000-000033040000}"/>
    <cellStyle name="Prozent 8 3" xfId="505" xr:uid="{00000000-0005-0000-0000-000034040000}"/>
    <cellStyle name="Prozent 8 3 2" xfId="506" xr:uid="{00000000-0005-0000-0000-000035040000}"/>
    <cellStyle name="Prozent 8 3 2 2" xfId="507" xr:uid="{00000000-0005-0000-0000-000036040000}"/>
    <cellStyle name="Prozent 8 3 2 2 2" xfId="1148" xr:uid="{00000000-0005-0000-0000-000037040000}"/>
    <cellStyle name="Prozent 8 3 2 2 3" xfId="1147" xr:uid="{00000000-0005-0000-0000-000038040000}"/>
    <cellStyle name="Prozent 8 3 2 3" xfId="508" xr:uid="{00000000-0005-0000-0000-000039040000}"/>
    <cellStyle name="Prozent 8 3 2 3 2" xfId="1150" xr:uid="{00000000-0005-0000-0000-00003A040000}"/>
    <cellStyle name="Prozent 8 3 2 3 3" xfId="1151" xr:uid="{00000000-0005-0000-0000-00003B040000}"/>
    <cellStyle name="Prozent 8 3 2 3 4" xfId="1149" xr:uid="{00000000-0005-0000-0000-00003C040000}"/>
    <cellStyle name="Prozent 8 3 2 4" xfId="1152" xr:uid="{00000000-0005-0000-0000-00003D040000}"/>
    <cellStyle name="Prozent 8 3 2 5" xfId="1153" xr:uid="{00000000-0005-0000-0000-00003E040000}"/>
    <cellStyle name="Prozent 8 3 3" xfId="509" xr:uid="{00000000-0005-0000-0000-00003F040000}"/>
    <cellStyle name="Prozent 8 3 3 2" xfId="510" xr:uid="{00000000-0005-0000-0000-000040040000}"/>
    <cellStyle name="Prozent 8 3 3 2 2" xfId="1154" xr:uid="{00000000-0005-0000-0000-000041040000}"/>
    <cellStyle name="Prozent 8 3 3 3" xfId="511" xr:uid="{00000000-0005-0000-0000-000042040000}"/>
    <cellStyle name="Prozent 8 3 3 4" xfId="1155" xr:uid="{00000000-0005-0000-0000-000043040000}"/>
    <cellStyle name="Prozent 8 3 4" xfId="1156" xr:uid="{00000000-0005-0000-0000-000044040000}"/>
    <cellStyle name="Prozent 8 3 5" xfId="1157" xr:uid="{00000000-0005-0000-0000-000045040000}"/>
    <cellStyle name="Prozent 8 3 6" xfId="1158" xr:uid="{00000000-0005-0000-0000-000046040000}"/>
    <cellStyle name="Prozent 8 4" xfId="1159" xr:uid="{00000000-0005-0000-0000-000047040000}"/>
    <cellStyle name="Prozent 9" xfId="512" xr:uid="{00000000-0005-0000-0000-000048040000}"/>
    <cellStyle name="Prozent 9 2" xfId="1160" xr:uid="{00000000-0005-0000-0000-000049040000}"/>
    <cellStyle name="Prozent 9 3" xfId="1161" xr:uid="{00000000-0005-0000-0000-00004A040000}"/>
    <cellStyle name="Prozent 9 4" xfId="1162" xr:uid="{00000000-0005-0000-0000-00004B040000}"/>
    <cellStyle name="Schlecht 2" xfId="514" xr:uid="{00000000-0005-0000-0000-00004C040000}"/>
    <cellStyle name="Schlecht 3" xfId="515" xr:uid="{00000000-0005-0000-0000-00004D040000}"/>
    <cellStyle name="Schlecht 4" xfId="1163" xr:uid="{00000000-0005-0000-0000-00004E040000}"/>
    <cellStyle name="Standard" xfId="0" builtinId="0"/>
    <cellStyle name="Standard 2" xfId="516" xr:uid="{00000000-0005-0000-0000-000050040000}"/>
    <cellStyle name="Standard 2 2" xfId="517" xr:uid="{00000000-0005-0000-0000-000051040000}"/>
    <cellStyle name="Standard 2 2 2" xfId="518" xr:uid="{00000000-0005-0000-0000-000052040000}"/>
    <cellStyle name="Standard 2 2 3" xfId="519" xr:uid="{00000000-0005-0000-0000-000053040000}"/>
    <cellStyle name="Standard 2 3" xfId="520" xr:uid="{00000000-0005-0000-0000-000054040000}"/>
    <cellStyle name="Standard 2 4" xfId="521" xr:uid="{00000000-0005-0000-0000-000055040000}"/>
    <cellStyle name="Standard 2 5" xfId="522" xr:uid="{00000000-0005-0000-0000-000056040000}"/>
    <cellStyle name="Standard 2 6" xfId="523" xr:uid="{00000000-0005-0000-0000-000057040000}"/>
    <cellStyle name="Standard 3" xfId="524" xr:uid="{00000000-0005-0000-0000-000058040000}"/>
    <cellStyle name="Standard 3 2" xfId="525" xr:uid="{00000000-0005-0000-0000-000059040000}"/>
    <cellStyle name="Standard 3 2 2" xfId="526" xr:uid="{00000000-0005-0000-0000-00005A040000}"/>
    <cellStyle name="Standard 3 2 2 2" xfId="527" xr:uid="{00000000-0005-0000-0000-00005B040000}"/>
    <cellStyle name="Standard 3 2 2 2 2" xfId="528" xr:uid="{00000000-0005-0000-0000-00005C040000}"/>
    <cellStyle name="Standard 3 2 2 2 2 2" xfId="1164" xr:uid="{00000000-0005-0000-0000-00005D040000}"/>
    <cellStyle name="Standard 3 2 2 2 2 3" xfId="1165" xr:uid="{00000000-0005-0000-0000-00005E040000}"/>
    <cellStyle name="Standard 3 2 2 2 2 4" xfId="1166" xr:uid="{00000000-0005-0000-0000-00005F040000}"/>
    <cellStyle name="Standard 3 2 2 2 3" xfId="1167" xr:uid="{00000000-0005-0000-0000-000060040000}"/>
    <cellStyle name="Standard 3 2 2 2 4" xfId="1168" xr:uid="{00000000-0005-0000-0000-000061040000}"/>
    <cellStyle name="Standard 3 2 2 2 5" xfId="1169" xr:uid="{00000000-0005-0000-0000-000062040000}"/>
    <cellStyle name="Standard 3 2 2 3" xfId="529" xr:uid="{00000000-0005-0000-0000-000063040000}"/>
    <cellStyle name="Standard 3 2 2 3 2" xfId="1170" xr:uid="{00000000-0005-0000-0000-000064040000}"/>
    <cellStyle name="Standard 3 2 2 3 3" xfId="1171" xr:uid="{00000000-0005-0000-0000-000065040000}"/>
    <cellStyle name="Standard 3 2 2 3 4" xfId="1172" xr:uid="{00000000-0005-0000-0000-000066040000}"/>
    <cellStyle name="Standard 3 2 2 4" xfId="1173" xr:uid="{00000000-0005-0000-0000-000067040000}"/>
    <cellStyle name="Standard 3 2 2 5" xfId="1174" xr:uid="{00000000-0005-0000-0000-000068040000}"/>
    <cellStyle name="Standard 3 2 2 6" xfId="1175" xr:uid="{00000000-0005-0000-0000-000069040000}"/>
    <cellStyle name="Standard 3 2 3" xfId="530" xr:uid="{00000000-0005-0000-0000-00006A040000}"/>
    <cellStyle name="Standard 3 2 3 2" xfId="531" xr:uid="{00000000-0005-0000-0000-00006B040000}"/>
    <cellStyle name="Standard 3 2 3 2 2" xfId="1176" xr:uid="{00000000-0005-0000-0000-00006C040000}"/>
    <cellStyle name="Standard 3 2 3 2 3" xfId="1177" xr:uid="{00000000-0005-0000-0000-00006D040000}"/>
    <cellStyle name="Standard 3 2 3 2 4" xfId="1178" xr:uid="{00000000-0005-0000-0000-00006E040000}"/>
    <cellStyle name="Standard 3 2 3 3" xfId="1179" xr:uid="{00000000-0005-0000-0000-00006F040000}"/>
    <cellStyle name="Standard 3 2 3 4" xfId="1180" xr:uid="{00000000-0005-0000-0000-000070040000}"/>
    <cellStyle name="Standard 3 2 3 5" xfId="1181" xr:uid="{00000000-0005-0000-0000-000071040000}"/>
    <cellStyle name="Standard 3 2 4" xfId="532" xr:uid="{00000000-0005-0000-0000-000072040000}"/>
    <cellStyle name="Standard 3 2 4 2" xfId="533" xr:uid="{00000000-0005-0000-0000-000073040000}"/>
    <cellStyle name="Standard 3 2 4 2 2" xfId="1182" xr:uid="{00000000-0005-0000-0000-000074040000}"/>
    <cellStyle name="Standard 3 2 4 3" xfId="534" xr:uid="{00000000-0005-0000-0000-000075040000}"/>
    <cellStyle name="Standard 3 2 4 4" xfId="1183" xr:uid="{00000000-0005-0000-0000-000076040000}"/>
    <cellStyle name="Standard 3 2 4 5" xfId="1184" xr:uid="{00000000-0005-0000-0000-000077040000}"/>
    <cellStyle name="Standard 3 2 5" xfId="535" xr:uid="{00000000-0005-0000-0000-000078040000}"/>
    <cellStyle name="Standard 3 2 6" xfId="536" xr:uid="{00000000-0005-0000-0000-000079040000}"/>
    <cellStyle name="Standard 3 2 7" xfId="1185" xr:uid="{00000000-0005-0000-0000-00007A040000}"/>
    <cellStyle name="Standard 3 3" xfId="537" xr:uid="{00000000-0005-0000-0000-00007B040000}"/>
    <cellStyle name="Standard 3 3 2" xfId="538" xr:uid="{00000000-0005-0000-0000-00007C040000}"/>
    <cellStyle name="Standard 3 3 2 2" xfId="539" xr:uid="{00000000-0005-0000-0000-00007D040000}"/>
    <cellStyle name="Standard 3 3 2 2 2" xfId="1186" xr:uid="{00000000-0005-0000-0000-00007E040000}"/>
    <cellStyle name="Standard 3 3 2 2 3" xfId="1187" xr:uid="{00000000-0005-0000-0000-00007F040000}"/>
    <cellStyle name="Standard 3 3 2 2 4" xfId="1188" xr:uid="{00000000-0005-0000-0000-000080040000}"/>
    <cellStyle name="Standard 3 3 2 3" xfId="1189" xr:uid="{00000000-0005-0000-0000-000081040000}"/>
    <cellStyle name="Standard 3 3 2 4" xfId="1190" xr:uid="{00000000-0005-0000-0000-000082040000}"/>
    <cellStyle name="Standard 3 3 2 5" xfId="1191" xr:uid="{00000000-0005-0000-0000-000083040000}"/>
    <cellStyle name="Standard 3 3 3" xfId="540" xr:uid="{00000000-0005-0000-0000-000084040000}"/>
    <cellStyle name="Standard 3 3 3 2" xfId="1192" xr:uid="{00000000-0005-0000-0000-000085040000}"/>
    <cellStyle name="Standard 3 3 3 3" xfId="1193" xr:uid="{00000000-0005-0000-0000-000086040000}"/>
    <cellStyle name="Standard 3 3 3 4" xfId="1194" xr:uid="{00000000-0005-0000-0000-000087040000}"/>
    <cellStyle name="Standard 3 3 4" xfId="1195" xr:uid="{00000000-0005-0000-0000-000088040000}"/>
    <cellStyle name="Standard 3 3 5" xfId="1196" xr:uid="{00000000-0005-0000-0000-000089040000}"/>
    <cellStyle name="Standard 3 3 6" xfId="1197" xr:uid="{00000000-0005-0000-0000-00008A040000}"/>
    <cellStyle name="Standard 3 4" xfId="541" xr:uid="{00000000-0005-0000-0000-00008B040000}"/>
    <cellStyle name="Standard 3 4 2" xfId="542" xr:uid="{00000000-0005-0000-0000-00008C040000}"/>
    <cellStyle name="Standard 3 4 2 2" xfId="1198" xr:uid="{00000000-0005-0000-0000-00008D040000}"/>
    <cellStyle name="Standard 3 4 2 3" xfId="1199" xr:uid="{00000000-0005-0000-0000-00008E040000}"/>
    <cellStyle name="Standard 3 4 2 4" xfId="1200" xr:uid="{00000000-0005-0000-0000-00008F040000}"/>
    <cellStyle name="Standard 3 4 3" xfId="1201" xr:uid="{00000000-0005-0000-0000-000090040000}"/>
    <cellStyle name="Standard 3 4 4" xfId="1202" xr:uid="{00000000-0005-0000-0000-000091040000}"/>
    <cellStyle name="Standard 3 4 5" xfId="1203" xr:uid="{00000000-0005-0000-0000-000092040000}"/>
    <cellStyle name="Standard 3 5" xfId="543" xr:uid="{00000000-0005-0000-0000-000093040000}"/>
    <cellStyle name="Standard 3 5 2" xfId="1204" xr:uid="{00000000-0005-0000-0000-000094040000}"/>
    <cellStyle name="Standard 3 5 3" xfId="1205" xr:uid="{00000000-0005-0000-0000-000095040000}"/>
    <cellStyle name="Standard 3 5 4" xfId="1206" xr:uid="{00000000-0005-0000-0000-000096040000}"/>
    <cellStyle name="Standard 3 6" xfId="544" xr:uid="{00000000-0005-0000-0000-000097040000}"/>
    <cellStyle name="Standard 3 6 2" xfId="1208" xr:uid="{00000000-0005-0000-0000-000098040000}"/>
    <cellStyle name="Standard 3 6 3" xfId="1207" xr:uid="{00000000-0005-0000-0000-000099040000}"/>
    <cellStyle name="Standard 3 7" xfId="1209" xr:uid="{00000000-0005-0000-0000-00009A040000}"/>
    <cellStyle name="Standard 3 8" xfId="1210" xr:uid="{00000000-0005-0000-0000-00009B040000}"/>
    <cellStyle name="Standard 4" xfId="545" xr:uid="{00000000-0005-0000-0000-00009C040000}"/>
    <cellStyle name="Standard 5" xfId="546" xr:uid="{00000000-0005-0000-0000-00009D040000}"/>
    <cellStyle name="Standard 5 2" xfId="547" xr:uid="{00000000-0005-0000-0000-00009E040000}"/>
    <cellStyle name="Standard 6" xfId="1235" xr:uid="{00000000-0005-0000-0000-00009F040000}"/>
    <cellStyle name="Standard 7" xfId="1236" xr:uid="{00000000-0005-0000-0000-0000A0040000}"/>
    <cellStyle name="Standard_Werte" xfId="548" xr:uid="{00000000-0005-0000-0000-0000A1040000}"/>
    <cellStyle name="Title" xfId="549" xr:uid="{00000000-0005-0000-0000-0000A2040000}"/>
    <cellStyle name="Title 2" xfId="550" xr:uid="{00000000-0005-0000-0000-0000A3040000}"/>
    <cellStyle name="Title 2 2" xfId="551" xr:uid="{00000000-0005-0000-0000-0000A4040000}"/>
    <cellStyle name="Title 2 2 2" xfId="1213" xr:uid="{00000000-0005-0000-0000-0000A5040000}"/>
    <cellStyle name="Title 2 2 3" xfId="1212" xr:uid="{00000000-0005-0000-0000-0000A6040000}"/>
    <cellStyle name="Title 2 3" xfId="552" xr:uid="{00000000-0005-0000-0000-0000A7040000}"/>
    <cellStyle name="Title 2 4" xfId="1211" xr:uid="{00000000-0005-0000-0000-0000A8040000}"/>
    <cellStyle name="Title 3" xfId="553" xr:uid="{00000000-0005-0000-0000-0000A9040000}"/>
    <cellStyle name="Title 3 2" xfId="1215" xr:uid="{00000000-0005-0000-0000-0000AA040000}"/>
    <cellStyle name="Title 3 3" xfId="1214" xr:uid="{00000000-0005-0000-0000-0000AB040000}"/>
    <cellStyle name="Title 4" xfId="554" xr:uid="{00000000-0005-0000-0000-0000AC040000}"/>
    <cellStyle name="Total 2" xfId="555" xr:uid="{00000000-0005-0000-0000-0000AD040000}"/>
    <cellStyle name="Überschrift 1 2" xfId="556" xr:uid="{00000000-0005-0000-0000-0000AE040000}"/>
    <cellStyle name="Überschrift 1 3" xfId="557" xr:uid="{00000000-0005-0000-0000-0000AF040000}"/>
    <cellStyle name="Überschrift 1 4" xfId="1216" xr:uid="{00000000-0005-0000-0000-0000B0040000}"/>
    <cellStyle name="Überschrift 1 4 2" xfId="1237" xr:uid="{00000000-0005-0000-0000-0000B1040000}"/>
    <cellStyle name="Überschrift 1 5" xfId="1217" xr:uid="{00000000-0005-0000-0000-0000B2040000}"/>
    <cellStyle name="Überschrift 2 2" xfId="558" xr:uid="{00000000-0005-0000-0000-0000B3040000}"/>
    <cellStyle name="Überschrift 2 3" xfId="559" xr:uid="{00000000-0005-0000-0000-0000B4040000}"/>
    <cellStyle name="Überschrift 2 4" xfId="1218" xr:uid="{00000000-0005-0000-0000-0000B5040000}"/>
    <cellStyle name="Überschrift 2 4 2" xfId="1238" xr:uid="{00000000-0005-0000-0000-0000B6040000}"/>
    <cellStyle name="Überschrift 2 5" xfId="1219" xr:uid="{00000000-0005-0000-0000-0000B7040000}"/>
    <cellStyle name="Überschrift 3 2" xfId="560" xr:uid="{00000000-0005-0000-0000-0000B8040000}"/>
    <cellStyle name="Überschrift 3 3" xfId="561" xr:uid="{00000000-0005-0000-0000-0000B9040000}"/>
    <cellStyle name="Überschrift 3 4" xfId="1220" xr:uid="{00000000-0005-0000-0000-0000BA040000}"/>
    <cellStyle name="Überschrift 3 4 2" xfId="1239" xr:uid="{00000000-0005-0000-0000-0000BB040000}"/>
    <cellStyle name="Überschrift 3 5" xfId="1221" xr:uid="{00000000-0005-0000-0000-0000BC040000}"/>
    <cellStyle name="Überschrift 4 2" xfId="562" xr:uid="{00000000-0005-0000-0000-0000BD040000}"/>
    <cellStyle name="Überschrift 4 3" xfId="563" xr:uid="{00000000-0005-0000-0000-0000BE040000}"/>
    <cellStyle name="Überschrift 4 4" xfId="1222" xr:uid="{00000000-0005-0000-0000-0000BF040000}"/>
    <cellStyle name="Überschrift 4 4 2" xfId="1240" xr:uid="{00000000-0005-0000-0000-0000C0040000}"/>
    <cellStyle name="Überschrift 4 5" xfId="1223" xr:uid="{00000000-0005-0000-0000-0000C1040000}"/>
    <cellStyle name="Überschrift 5" xfId="564" xr:uid="{00000000-0005-0000-0000-0000C2040000}"/>
    <cellStyle name="Überschrift 6" xfId="565" xr:uid="{00000000-0005-0000-0000-0000C3040000}"/>
    <cellStyle name="Überschrift 7" xfId="1224" xr:uid="{00000000-0005-0000-0000-0000C4040000}"/>
    <cellStyle name="Überschrift 7 2" xfId="1241" xr:uid="{00000000-0005-0000-0000-0000C5040000}"/>
    <cellStyle name="Überschrift 8" xfId="1225" xr:uid="{00000000-0005-0000-0000-0000C6040000}"/>
    <cellStyle name="Verknüpfte Zelle 2" xfId="567" xr:uid="{00000000-0005-0000-0000-0000C7040000}"/>
    <cellStyle name="Verknüpfte Zelle 3" xfId="568" xr:uid="{00000000-0005-0000-0000-0000C8040000}"/>
    <cellStyle name="Verknüpfte Zelle 4" xfId="1226" xr:uid="{00000000-0005-0000-0000-0000C9040000}"/>
    <cellStyle name="Warnender Text 2" xfId="569" xr:uid="{00000000-0005-0000-0000-0000CA040000}"/>
    <cellStyle name="Warnender Text 2 2" xfId="570" xr:uid="{00000000-0005-0000-0000-0000CB040000}"/>
    <cellStyle name="Warnender Text 2 3" xfId="571" xr:uid="{00000000-0005-0000-0000-0000CC040000}"/>
    <cellStyle name="Warnender Text 2 3 2" xfId="572" xr:uid="{00000000-0005-0000-0000-0000CD040000}"/>
    <cellStyle name="Warnender Text 2 3 2 2" xfId="1228" xr:uid="{00000000-0005-0000-0000-0000CE040000}"/>
    <cellStyle name="Warnender Text 2 3 2 3" xfId="1227" xr:uid="{00000000-0005-0000-0000-0000CF040000}"/>
    <cellStyle name="Warnender Text 3" xfId="573" xr:uid="{00000000-0005-0000-0000-0000D0040000}"/>
    <cellStyle name="Warnender Text 4" xfId="574" xr:uid="{00000000-0005-0000-0000-0000D1040000}"/>
    <cellStyle name="Warnender Text 5" xfId="575" xr:uid="{00000000-0005-0000-0000-0000D2040000}"/>
    <cellStyle name="Warnender Text 6" xfId="576" xr:uid="{00000000-0005-0000-0000-0000D3040000}"/>
    <cellStyle name="Zelle überprüfen 2" xfId="578" xr:uid="{00000000-0005-0000-0000-0000D4040000}"/>
    <cellStyle name="Zelle überprüfen 2 2" xfId="579" xr:uid="{00000000-0005-0000-0000-0000D5040000}"/>
    <cellStyle name="Zelle überprüfen 2 3" xfId="580" xr:uid="{00000000-0005-0000-0000-0000D6040000}"/>
    <cellStyle name="Zelle überprüfen 3" xfId="581" xr:uid="{00000000-0005-0000-0000-0000D7040000}"/>
    <cellStyle name="Zelle überprüfen 3 2" xfId="1230" xr:uid="{00000000-0005-0000-0000-0000D8040000}"/>
    <cellStyle name="Zelle überprüfen 3 3" xfId="1229" xr:uid="{00000000-0005-0000-0000-0000D9040000}"/>
    <cellStyle name="Zelle überprüfen 4" xfId="582" xr:uid="{00000000-0005-0000-0000-0000DA040000}"/>
  </cellStyles>
  <dxfs count="253">
    <dxf>
      <fill>
        <patternFill>
          <bgColor rgb="FFFF7C80"/>
        </patternFill>
      </fill>
    </dxf>
    <dxf>
      <fill>
        <patternFill>
          <bgColor theme="1" tint="0.34998626667073579"/>
        </patternFill>
      </fill>
    </dxf>
    <dxf>
      <fill>
        <patternFill>
          <bgColor rgb="FFFF7C80"/>
        </patternFill>
      </fill>
    </dxf>
    <dxf>
      <fill>
        <patternFill>
          <bgColor rgb="FFFF7C80"/>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rgb="FFFF7C80"/>
        </patternFill>
      </fill>
    </dxf>
    <dxf>
      <fill>
        <patternFill>
          <bgColor rgb="FFFFFF99"/>
        </patternFill>
      </fill>
    </dxf>
    <dxf>
      <fill>
        <patternFill>
          <bgColor rgb="FFCCFFCC"/>
        </patternFill>
      </fill>
    </dxf>
    <dxf>
      <fill>
        <patternFill>
          <bgColor rgb="FFFF7C80"/>
        </patternFill>
      </fill>
    </dxf>
    <dxf>
      <fill>
        <patternFill>
          <bgColor theme="0" tint="-0.24994659260841701"/>
        </patternFill>
      </fill>
    </dxf>
    <dxf>
      <fill>
        <patternFill>
          <bgColor theme="4" tint="0.79998168889431442"/>
        </patternFill>
      </fill>
    </dxf>
    <dxf>
      <fill>
        <patternFill>
          <bgColor rgb="FFBFBFBF"/>
        </patternFill>
      </fill>
    </dxf>
    <dxf>
      <fill>
        <patternFill>
          <bgColor theme="4" tint="0.79998168889431442"/>
        </patternFill>
      </fill>
    </dxf>
    <dxf>
      <fill>
        <patternFill>
          <bgColor rgb="FFFF7C8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CC"/>
        </patternFill>
      </fill>
    </dxf>
    <dxf>
      <fill>
        <patternFill>
          <bgColor theme="0"/>
        </patternFill>
      </fill>
    </dxf>
    <dxf>
      <fill>
        <patternFill>
          <bgColor theme="1" tint="0.499984740745262"/>
        </patternFill>
      </fill>
    </dxf>
    <dxf>
      <fill>
        <patternFill>
          <bgColor rgb="FFCCFFCC"/>
        </patternFill>
      </fill>
    </dxf>
    <dxf>
      <fill>
        <patternFill>
          <bgColor theme="0" tint="-0.2499465926084170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rgb="FFFF7C80"/>
        </patternFill>
      </fill>
    </dxf>
    <dxf>
      <fill>
        <patternFill>
          <bgColor rgb="FFFF7C8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C0C0C0"/>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C0C0C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CCFFCC"/>
        </patternFill>
      </fill>
    </dxf>
    <dxf>
      <fill>
        <patternFill>
          <bgColor rgb="FFFFFF99"/>
        </patternFill>
      </fill>
    </dxf>
    <dxf>
      <fill>
        <patternFill>
          <bgColor theme="0"/>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C0C0C0"/>
        </patternFill>
      </fill>
    </dxf>
    <dxf>
      <fill>
        <patternFill>
          <bgColor theme="1" tint="0.499984740745262"/>
        </patternFill>
      </fill>
    </dxf>
    <dxf>
      <fill>
        <patternFill>
          <bgColor rgb="FFC0C0C0"/>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indexed="9"/>
        </patternFill>
      </fill>
    </dxf>
    <dxf>
      <fill>
        <patternFill>
          <bgColor rgb="FF8080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CCFFCC"/>
        </patternFill>
      </fill>
    </dxf>
    <dxf>
      <fill>
        <patternFill>
          <bgColor rgb="FF99FF66"/>
        </patternFill>
      </fill>
    </dxf>
    <dxf>
      <fill>
        <patternFill>
          <bgColor rgb="FFCCFFCC"/>
        </patternFill>
      </fill>
    </dxf>
    <dxf>
      <fill>
        <patternFill>
          <bgColor rgb="FF99FF66"/>
        </patternFill>
      </fill>
    </dxf>
    <dxf>
      <fill>
        <patternFill>
          <bgColor rgb="FFCCFFCC"/>
        </patternFill>
      </fill>
    </dxf>
    <dxf>
      <fill>
        <patternFill>
          <bgColor rgb="FF99FF66"/>
        </patternFill>
      </fill>
    </dxf>
    <dxf>
      <fill>
        <patternFill>
          <bgColor rgb="FFCCFFCC"/>
        </patternFill>
      </fill>
    </dxf>
    <dxf>
      <fill>
        <patternFill>
          <bgColor rgb="FF99FF66"/>
        </patternFill>
      </fill>
    </dxf>
    <dxf>
      <fill>
        <patternFill>
          <bgColor rgb="FFCCFFCC"/>
        </patternFill>
      </fill>
    </dxf>
    <dxf>
      <fill>
        <patternFill>
          <bgColor rgb="FF99FF66"/>
        </patternFill>
      </fill>
    </dxf>
    <dxf>
      <fill>
        <patternFill>
          <bgColor rgb="FFC0C0C0"/>
        </patternFill>
      </fill>
    </dxf>
    <dxf>
      <fill>
        <patternFill>
          <bgColor rgb="FFDCE6F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right style="thin">
          <color indexed="64"/>
        </right>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CCFFCC"/>
      <color rgb="FFFF7C80"/>
      <color rgb="FFDCE6F1"/>
      <color rgb="FFFFFF99"/>
      <color rgb="FF99FF66"/>
      <color rgb="FFC0C0C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5</xdr:col>
      <xdr:colOff>295275</xdr:colOff>
      <xdr:row>5</xdr:row>
      <xdr:rowOff>9525</xdr:rowOff>
    </xdr:from>
    <xdr:to>
      <xdr:col>6</xdr:col>
      <xdr:colOff>9524</xdr:colOff>
      <xdr:row>5</xdr:row>
      <xdr:rowOff>114300</xdr:rowOff>
    </xdr:to>
    <xdr:pic>
      <xdr:nvPicPr>
        <xdr:cNvPr id="123612" name="Grafik 18">
          <a:extLst>
            <a:ext uri="{FF2B5EF4-FFF2-40B4-BE49-F238E27FC236}">
              <a16:creationId xmlns:a16="http://schemas.microsoft.com/office/drawing/2014/main" id="{00000000-0008-0000-0000-0000DC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847725"/>
          <a:ext cx="11429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11</xdr:row>
      <xdr:rowOff>9525</xdr:rowOff>
    </xdr:from>
    <xdr:to>
      <xdr:col>18</xdr:col>
      <xdr:colOff>0</xdr:colOff>
      <xdr:row>11</xdr:row>
      <xdr:rowOff>114300</xdr:rowOff>
    </xdr:to>
    <xdr:pic>
      <xdr:nvPicPr>
        <xdr:cNvPr id="123616" name="Grafik 18">
          <a:extLst>
            <a:ext uri="{FF2B5EF4-FFF2-40B4-BE49-F238E27FC236}">
              <a16:creationId xmlns:a16="http://schemas.microsoft.com/office/drawing/2014/main" id="{00000000-0008-0000-0000-0000E0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1704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209550</xdr:colOff>
      <xdr:row>1</xdr:row>
      <xdr:rowOff>57150</xdr:rowOff>
    </xdr:from>
    <xdr:to>
      <xdr:col>14</xdr:col>
      <xdr:colOff>72669</xdr:colOff>
      <xdr:row>3</xdr:row>
      <xdr:rowOff>47625</xdr:rowOff>
    </xdr:to>
    <xdr:pic>
      <xdr:nvPicPr>
        <xdr:cNvPr id="123617" name="Picture 3">
          <a:extLst>
            <a:ext uri="{FF2B5EF4-FFF2-40B4-BE49-F238E27FC236}">
              <a16:creationId xmlns:a16="http://schemas.microsoft.com/office/drawing/2014/main" id="{00000000-0008-0000-0000-0000E1E2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9750" y="180975"/>
          <a:ext cx="1381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5</xdr:col>
      <xdr:colOff>285750</xdr:colOff>
      <xdr:row>41</xdr:row>
      <xdr:rowOff>9525</xdr:rowOff>
    </xdr:from>
    <xdr:to>
      <xdr:col>6</xdr:col>
      <xdr:colOff>0</xdr:colOff>
      <xdr:row>41</xdr:row>
      <xdr:rowOff>114300</xdr:rowOff>
    </xdr:to>
    <xdr:pic>
      <xdr:nvPicPr>
        <xdr:cNvPr id="123624" name="Grafik 18">
          <a:extLst>
            <a:ext uri="{FF2B5EF4-FFF2-40B4-BE49-F238E27FC236}">
              <a16:creationId xmlns:a16="http://schemas.microsoft.com/office/drawing/2014/main" id="{00000000-0008-0000-0000-0000E8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1925" y="10658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42</xdr:row>
      <xdr:rowOff>9525</xdr:rowOff>
    </xdr:from>
    <xdr:to>
      <xdr:col>6</xdr:col>
      <xdr:colOff>0</xdr:colOff>
      <xdr:row>42</xdr:row>
      <xdr:rowOff>114300</xdr:rowOff>
    </xdr:to>
    <xdr:pic>
      <xdr:nvPicPr>
        <xdr:cNvPr id="123625" name="Grafik 18">
          <a:extLst>
            <a:ext uri="{FF2B5EF4-FFF2-40B4-BE49-F238E27FC236}">
              <a16:creationId xmlns:a16="http://schemas.microsoft.com/office/drawing/2014/main" id="{00000000-0008-0000-0000-0000E9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1925" y="10963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13</xdr:row>
      <xdr:rowOff>9525</xdr:rowOff>
    </xdr:from>
    <xdr:to>
      <xdr:col>18</xdr:col>
      <xdr:colOff>0</xdr:colOff>
      <xdr:row>13</xdr:row>
      <xdr:rowOff>114300</xdr:rowOff>
    </xdr:to>
    <xdr:pic>
      <xdr:nvPicPr>
        <xdr:cNvPr id="123628" name="Grafik 18">
          <a:extLst>
            <a:ext uri="{FF2B5EF4-FFF2-40B4-BE49-F238E27FC236}">
              <a16:creationId xmlns:a16="http://schemas.microsoft.com/office/drawing/2014/main" id="{00000000-0008-0000-0000-0000EC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1990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22</xdr:row>
      <xdr:rowOff>9525</xdr:rowOff>
    </xdr:from>
    <xdr:to>
      <xdr:col>18</xdr:col>
      <xdr:colOff>0</xdr:colOff>
      <xdr:row>22</xdr:row>
      <xdr:rowOff>114300</xdr:rowOff>
    </xdr:to>
    <xdr:pic>
      <xdr:nvPicPr>
        <xdr:cNvPr id="123629" name="Grafik 18">
          <a:extLst>
            <a:ext uri="{FF2B5EF4-FFF2-40B4-BE49-F238E27FC236}">
              <a16:creationId xmlns:a16="http://schemas.microsoft.com/office/drawing/2014/main" id="{00000000-0008-0000-0000-0000ED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35909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1171575</xdr:colOff>
      <xdr:row>26</xdr:row>
      <xdr:rowOff>9525</xdr:rowOff>
    </xdr:from>
    <xdr:to>
      <xdr:col>2</xdr:col>
      <xdr:colOff>1283842</xdr:colOff>
      <xdr:row>26</xdr:row>
      <xdr:rowOff>114300</xdr:rowOff>
    </xdr:to>
    <xdr:pic>
      <xdr:nvPicPr>
        <xdr:cNvPr id="123630" name="Grafik 18">
          <a:extLst>
            <a:ext uri="{FF2B5EF4-FFF2-40B4-BE49-F238E27FC236}">
              <a16:creationId xmlns:a16="http://schemas.microsoft.com/office/drawing/2014/main" id="{00000000-0008-0000-0000-0000EE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4657725"/>
          <a:ext cx="11226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11</xdr:row>
      <xdr:rowOff>9525</xdr:rowOff>
    </xdr:from>
    <xdr:to>
      <xdr:col>6</xdr:col>
      <xdr:colOff>1819</xdr:colOff>
      <xdr:row>11</xdr:row>
      <xdr:rowOff>114300</xdr:rowOff>
    </xdr:to>
    <xdr:pic>
      <xdr:nvPicPr>
        <xdr:cNvPr id="123634" name="Grafik 18">
          <a:extLst>
            <a:ext uri="{FF2B5EF4-FFF2-40B4-BE49-F238E27FC236}">
              <a16:creationId xmlns:a16="http://schemas.microsoft.com/office/drawing/2014/main" id="{00000000-0008-0000-0000-0000F2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1925" y="1704975"/>
          <a:ext cx="1161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36</xdr:row>
      <xdr:rowOff>9525</xdr:rowOff>
    </xdr:from>
    <xdr:to>
      <xdr:col>18</xdr:col>
      <xdr:colOff>0</xdr:colOff>
      <xdr:row>36</xdr:row>
      <xdr:rowOff>114300</xdr:rowOff>
    </xdr:to>
    <xdr:pic>
      <xdr:nvPicPr>
        <xdr:cNvPr id="24" name="Grafik 18">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9439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666750</xdr:colOff>
      <xdr:row>26</xdr:row>
      <xdr:rowOff>9525</xdr:rowOff>
    </xdr:from>
    <xdr:to>
      <xdr:col>15</xdr:col>
      <xdr:colOff>779017</xdr:colOff>
      <xdr:row>26</xdr:row>
      <xdr:rowOff>114300</xdr:rowOff>
    </xdr:to>
    <xdr:pic>
      <xdr:nvPicPr>
        <xdr:cNvPr id="15" name="Grafik 18">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4486275"/>
          <a:ext cx="11226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33</xdr:row>
      <xdr:rowOff>9525</xdr:rowOff>
    </xdr:from>
    <xdr:to>
      <xdr:col>18</xdr:col>
      <xdr:colOff>0</xdr:colOff>
      <xdr:row>33</xdr:row>
      <xdr:rowOff>114300</xdr:rowOff>
    </xdr:to>
    <xdr:pic>
      <xdr:nvPicPr>
        <xdr:cNvPr id="19" name="Grafik 18">
          <a:extLst>
            <a:ext uri="{FF2B5EF4-FFF2-40B4-BE49-F238E27FC236}">
              <a16:creationId xmlns:a16="http://schemas.microsoft.com/office/drawing/2014/main" id="{4BD90C9B-D7F1-4C7B-BCDB-F6A470D2AE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68199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666750</xdr:colOff>
      <xdr:row>36</xdr:row>
      <xdr:rowOff>9525</xdr:rowOff>
    </xdr:from>
    <xdr:to>
      <xdr:col>16</xdr:col>
      <xdr:colOff>0</xdr:colOff>
      <xdr:row>36</xdr:row>
      <xdr:rowOff>114300</xdr:rowOff>
    </xdr:to>
    <xdr:pic>
      <xdr:nvPicPr>
        <xdr:cNvPr id="20" name="Grafik 18">
          <a:extLst>
            <a:ext uri="{FF2B5EF4-FFF2-40B4-BE49-F238E27FC236}">
              <a16:creationId xmlns:a16="http://schemas.microsoft.com/office/drawing/2014/main" id="{1D3ACEE0-687A-438D-BD49-F0007C6182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3917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285750</xdr:colOff>
      <xdr:row>33</xdr:row>
      <xdr:rowOff>9525</xdr:rowOff>
    </xdr:from>
    <xdr:to>
      <xdr:col>13</xdr:col>
      <xdr:colOff>0</xdr:colOff>
      <xdr:row>33</xdr:row>
      <xdr:rowOff>114300</xdr:rowOff>
    </xdr:to>
    <xdr:pic>
      <xdr:nvPicPr>
        <xdr:cNvPr id="21" name="Grafik 18">
          <a:extLst>
            <a:ext uri="{FF2B5EF4-FFF2-40B4-BE49-F238E27FC236}">
              <a16:creationId xmlns:a16="http://schemas.microsoft.com/office/drawing/2014/main" id="{817C8421-F1F4-4AAE-B183-03302EA3A5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2275" y="68199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619125</xdr:colOff>
      <xdr:row>33</xdr:row>
      <xdr:rowOff>9525</xdr:rowOff>
    </xdr:from>
    <xdr:to>
      <xdr:col>15</xdr:col>
      <xdr:colOff>0</xdr:colOff>
      <xdr:row>33</xdr:row>
      <xdr:rowOff>114300</xdr:rowOff>
    </xdr:to>
    <xdr:pic>
      <xdr:nvPicPr>
        <xdr:cNvPr id="22" name="Grafik 18">
          <a:extLst>
            <a:ext uri="{FF2B5EF4-FFF2-40B4-BE49-F238E27FC236}">
              <a16:creationId xmlns:a16="http://schemas.microsoft.com/office/drawing/2014/main" id="{A535579B-28DD-4449-B9D1-775419BCD2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0075" y="7258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285750</xdr:colOff>
      <xdr:row>36</xdr:row>
      <xdr:rowOff>9525</xdr:rowOff>
    </xdr:from>
    <xdr:to>
      <xdr:col>9</xdr:col>
      <xdr:colOff>0</xdr:colOff>
      <xdr:row>36</xdr:row>
      <xdr:rowOff>114300</xdr:rowOff>
    </xdr:to>
    <xdr:pic>
      <xdr:nvPicPr>
        <xdr:cNvPr id="23" name="Grafik 18">
          <a:extLst>
            <a:ext uri="{FF2B5EF4-FFF2-40B4-BE49-F238E27FC236}">
              <a16:creationId xmlns:a16="http://schemas.microsoft.com/office/drawing/2014/main" id="{631F6754-27FC-4A17-A099-75C63360CB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7207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36</xdr:row>
      <xdr:rowOff>9525</xdr:rowOff>
    </xdr:from>
    <xdr:to>
      <xdr:col>10</xdr:col>
      <xdr:colOff>0</xdr:colOff>
      <xdr:row>36</xdr:row>
      <xdr:rowOff>114300</xdr:rowOff>
    </xdr:to>
    <xdr:pic>
      <xdr:nvPicPr>
        <xdr:cNvPr id="25" name="Grafik 18">
          <a:extLst>
            <a:ext uri="{FF2B5EF4-FFF2-40B4-BE49-F238E27FC236}">
              <a16:creationId xmlns:a16="http://schemas.microsoft.com/office/drawing/2014/main" id="{9EFB4DCF-FDD7-4423-A7F7-BF5A4B753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285750</xdr:colOff>
      <xdr:row>36</xdr:row>
      <xdr:rowOff>9525</xdr:rowOff>
    </xdr:from>
    <xdr:to>
      <xdr:col>11</xdr:col>
      <xdr:colOff>0</xdr:colOff>
      <xdr:row>36</xdr:row>
      <xdr:rowOff>114300</xdr:rowOff>
    </xdr:to>
    <xdr:pic>
      <xdr:nvPicPr>
        <xdr:cNvPr id="26" name="Grafik 18">
          <a:extLst>
            <a:ext uri="{FF2B5EF4-FFF2-40B4-BE49-F238E27FC236}">
              <a16:creationId xmlns:a16="http://schemas.microsoft.com/office/drawing/2014/main" id="{C7DCE304-2B6F-49F6-A677-B72BA73A72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7217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285750</xdr:colOff>
      <xdr:row>36</xdr:row>
      <xdr:rowOff>9525</xdr:rowOff>
    </xdr:from>
    <xdr:to>
      <xdr:col>12</xdr:col>
      <xdr:colOff>0</xdr:colOff>
      <xdr:row>36</xdr:row>
      <xdr:rowOff>114300</xdr:rowOff>
    </xdr:to>
    <xdr:pic>
      <xdr:nvPicPr>
        <xdr:cNvPr id="27" name="Grafik 18">
          <a:extLst>
            <a:ext uri="{FF2B5EF4-FFF2-40B4-BE49-F238E27FC236}">
              <a16:creationId xmlns:a16="http://schemas.microsoft.com/office/drawing/2014/main" id="{F3466A8B-0469-4AC2-8DA5-276A7AAA59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285750</xdr:colOff>
      <xdr:row>36</xdr:row>
      <xdr:rowOff>9525</xdr:rowOff>
    </xdr:from>
    <xdr:to>
      <xdr:col>13</xdr:col>
      <xdr:colOff>0</xdr:colOff>
      <xdr:row>36</xdr:row>
      <xdr:rowOff>114300</xdr:rowOff>
    </xdr:to>
    <xdr:pic>
      <xdr:nvPicPr>
        <xdr:cNvPr id="28" name="Grafik 18">
          <a:extLst>
            <a:ext uri="{FF2B5EF4-FFF2-40B4-BE49-F238E27FC236}">
              <a16:creationId xmlns:a16="http://schemas.microsoft.com/office/drawing/2014/main" id="{3A9D6ACA-2109-4A76-90F4-C7C9562130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227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609600</xdr:colOff>
      <xdr:row>36</xdr:row>
      <xdr:rowOff>9525</xdr:rowOff>
    </xdr:from>
    <xdr:to>
      <xdr:col>14</xdr:col>
      <xdr:colOff>9525</xdr:colOff>
      <xdr:row>36</xdr:row>
      <xdr:rowOff>114300</xdr:rowOff>
    </xdr:to>
    <xdr:pic>
      <xdr:nvPicPr>
        <xdr:cNvPr id="29" name="Grafik 18">
          <a:extLst>
            <a:ext uri="{FF2B5EF4-FFF2-40B4-BE49-F238E27FC236}">
              <a16:creationId xmlns:a16="http://schemas.microsoft.com/office/drawing/2014/main" id="{510EC033-2AF9-4990-AAAB-866081A68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9410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619125</xdr:colOff>
      <xdr:row>36</xdr:row>
      <xdr:rowOff>9525</xdr:rowOff>
    </xdr:from>
    <xdr:to>
      <xdr:col>15</xdr:col>
      <xdr:colOff>0</xdr:colOff>
      <xdr:row>36</xdr:row>
      <xdr:rowOff>114300</xdr:rowOff>
    </xdr:to>
    <xdr:pic>
      <xdr:nvPicPr>
        <xdr:cNvPr id="30" name="Grafik 18">
          <a:extLst>
            <a:ext uri="{FF2B5EF4-FFF2-40B4-BE49-F238E27FC236}">
              <a16:creationId xmlns:a16="http://schemas.microsoft.com/office/drawing/2014/main" id="{99C383D8-92D5-49D8-984B-8D0EAF2C9F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0075" y="9410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257175</xdr:colOff>
      <xdr:row>0</xdr:row>
      <xdr:rowOff>0</xdr:rowOff>
    </xdr:from>
    <xdr:to>
      <xdr:col>18</xdr:col>
      <xdr:colOff>19050</xdr:colOff>
      <xdr:row>4</xdr:row>
      <xdr:rowOff>43180</xdr:rowOff>
    </xdr:to>
    <xdr:pic>
      <xdr:nvPicPr>
        <xdr:cNvPr id="31" name="Grafik 16" descr="Z:\Arbeitsverzeichnisse\A wie Zertifizierung\05_Europa\05_ECC Marketing\01_Coorporate Design\01_Logos\01_ECC Logos\ECC-Logo ohne alles\ECC-Logo ohne alles.jpg">
          <a:extLst>
            <a:ext uri="{FF2B5EF4-FFF2-40B4-BE49-F238E27FC236}">
              <a16:creationId xmlns:a16="http://schemas.microsoft.com/office/drawing/2014/main" id="{1476D73F-1793-4E16-BE31-1DA76BA93FF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29600" y="0"/>
          <a:ext cx="1447800" cy="624205"/>
        </a:xfrm>
        <a:prstGeom prst="rect">
          <a:avLst/>
        </a:prstGeom>
        <a:noFill/>
        <a:ln>
          <a:noFill/>
        </a:ln>
      </xdr:spPr>
    </xdr:pic>
    <xdr:clientData/>
  </xdr:twoCellAnchor>
  <xdr:twoCellAnchor editAs="oneCell">
    <xdr:from>
      <xdr:col>17</xdr:col>
      <xdr:colOff>352425</xdr:colOff>
      <xdr:row>5</xdr:row>
      <xdr:rowOff>0</xdr:rowOff>
    </xdr:from>
    <xdr:to>
      <xdr:col>18</xdr:col>
      <xdr:colOff>0</xdr:colOff>
      <xdr:row>5</xdr:row>
      <xdr:rowOff>104775</xdr:rowOff>
    </xdr:to>
    <xdr:pic>
      <xdr:nvPicPr>
        <xdr:cNvPr id="33" name="Grafik 18">
          <a:extLst>
            <a:ext uri="{FF2B5EF4-FFF2-40B4-BE49-F238E27FC236}">
              <a16:creationId xmlns:a16="http://schemas.microsoft.com/office/drawing/2014/main" id="{DDFDE454-B140-437F-8312-48E82FE98A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752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48</xdr:row>
      <xdr:rowOff>219076</xdr:rowOff>
    </xdr:from>
    <xdr:to>
      <xdr:col>5</xdr:col>
      <xdr:colOff>194739</xdr:colOff>
      <xdr:row>50</xdr:row>
      <xdr:rowOff>47626</xdr:rowOff>
    </xdr:to>
    <xdr:pic>
      <xdr:nvPicPr>
        <xdr:cNvPr id="32" name="Picture 31">
          <a:extLst>
            <a:ext uri="{FF2B5EF4-FFF2-40B4-BE49-F238E27FC236}">
              <a16:creationId xmlns:a16="http://schemas.microsoft.com/office/drawing/2014/main" id="{FBCF0CF4-2A54-48B8-86BD-F8AE70CFEAE6}"/>
            </a:ext>
          </a:extLst>
        </xdr:cNvPr>
        <xdr:cNvPicPr>
          <a:picLocks noChangeAspect="1"/>
        </xdr:cNvPicPr>
      </xdr:nvPicPr>
      <xdr:blipFill>
        <a:blip xmlns:r="http://schemas.openxmlformats.org/officeDocument/2006/relationships" r:embed="rId4"/>
        <a:stretch>
          <a:fillRect/>
        </a:stretch>
      </xdr:blipFill>
      <xdr:spPr>
        <a:xfrm>
          <a:off x="57150" y="12839701"/>
          <a:ext cx="3823764" cy="2819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0</xdr:row>
      <xdr:rowOff>104775</xdr:rowOff>
    </xdr:to>
    <xdr:pic>
      <xdr:nvPicPr>
        <xdr:cNvPr id="119044" name="Grafik 15">
          <a:extLst>
            <a:ext uri="{FF2B5EF4-FFF2-40B4-BE49-F238E27FC236}">
              <a16:creationId xmlns:a16="http://schemas.microsoft.com/office/drawing/2014/main" id="{00000000-0008-0000-0200-000004D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7620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352425</xdr:colOff>
      <xdr:row>0</xdr:row>
      <xdr:rowOff>0</xdr:rowOff>
    </xdr:from>
    <xdr:to>
      <xdr:col>7</xdr:col>
      <xdr:colOff>352425</xdr:colOff>
      <xdr:row>0</xdr:row>
      <xdr:rowOff>104775</xdr:rowOff>
    </xdr:to>
    <xdr:pic>
      <xdr:nvPicPr>
        <xdr:cNvPr id="119046" name="Grafik 18">
          <a:extLst>
            <a:ext uri="{FF2B5EF4-FFF2-40B4-BE49-F238E27FC236}">
              <a16:creationId xmlns:a16="http://schemas.microsoft.com/office/drawing/2014/main" id="{00000000-0008-0000-0200-000006D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7715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200025</xdr:colOff>
      <xdr:row>5</xdr:row>
      <xdr:rowOff>9525</xdr:rowOff>
    </xdr:from>
    <xdr:to>
      <xdr:col>14</xdr:col>
      <xdr:colOff>0</xdr:colOff>
      <xdr:row>5</xdr:row>
      <xdr:rowOff>114300</xdr:rowOff>
    </xdr:to>
    <xdr:pic>
      <xdr:nvPicPr>
        <xdr:cNvPr id="125113" name="Grafik 2">
          <a:extLst>
            <a:ext uri="{FF2B5EF4-FFF2-40B4-BE49-F238E27FC236}">
              <a16:creationId xmlns:a16="http://schemas.microsoft.com/office/drawing/2014/main" id="{00000000-0008-0000-0400-0000B9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1875" y="781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200025</xdr:colOff>
      <xdr:row>7</xdr:row>
      <xdr:rowOff>9525</xdr:rowOff>
    </xdr:from>
    <xdr:to>
      <xdr:col>14</xdr:col>
      <xdr:colOff>0</xdr:colOff>
      <xdr:row>7</xdr:row>
      <xdr:rowOff>114300</xdr:rowOff>
    </xdr:to>
    <xdr:pic>
      <xdr:nvPicPr>
        <xdr:cNvPr id="125114" name="Grafik 3">
          <a:extLst>
            <a:ext uri="{FF2B5EF4-FFF2-40B4-BE49-F238E27FC236}">
              <a16:creationId xmlns:a16="http://schemas.microsoft.com/office/drawing/2014/main" id="{00000000-0008-0000-0400-0000BA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1875" y="1057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1019175</xdr:colOff>
      <xdr:row>7</xdr:row>
      <xdr:rowOff>0</xdr:rowOff>
    </xdr:from>
    <xdr:to>
      <xdr:col>7</xdr:col>
      <xdr:colOff>0</xdr:colOff>
      <xdr:row>7</xdr:row>
      <xdr:rowOff>104775</xdr:rowOff>
    </xdr:to>
    <xdr:pic>
      <xdr:nvPicPr>
        <xdr:cNvPr id="125115" name="Grafik 4">
          <a:extLst>
            <a:ext uri="{FF2B5EF4-FFF2-40B4-BE49-F238E27FC236}">
              <a16:creationId xmlns:a16="http://schemas.microsoft.com/office/drawing/2014/main" id="{00000000-0008-0000-0400-0000BB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29050" y="8572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9</xdr:row>
      <xdr:rowOff>9525</xdr:rowOff>
    </xdr:from>
    <xdr:to>
      <xdr:col>2</xdr:col>
      <xdr:colOff>209550</xdr:colOff>
      <xdr:row>9</xdr:row>
      <xdr:rowOff>114300</xdr:rowOff>
    </xdr:to>
    <xdr:pic>
      <xdr:nvPicPr>
        <xdr:cNvPr id="125116" name="Grafik 5">
          <a:extLst>
            <a:ext uri="{FF2B5EF4-FFF2-40B4-BE49-F238E27FC236}">
              <a16:creationId xmlns:a16="http://schemas.microsoft.com/office/drawing/2014/main" id="{00000000-0008-0000-0400-0000BC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3343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4448175</xdr:colOff>
      <xdr:row>10</xdr:row>
      <xdr:rowOff>9525</xdr:rowOff>
    </xdr:from>
    <xdr:to>
      <xdr:col>18</xdr:col>
      <xdr:colOff>4562475</xdr:colOff>
      <xdr:row>10</xdr:row>
      <xdr:rowOff>104775</xdr:rowOff>
    </xdr:to>
    <xdr:pic>
      <xdr:nvPicPr>
        <xdr:cNvPr id="125117" name="Grafik 6">
          <a:extLst>
            <a:ext uri="{FF2B5EF4-FFF2-40B4-BE49-F238E27FC236}">
              <a16:creationId xmlns:a16="http://schemas.microsoft.com/office/drawing/2014/main" id="{00000000-0008-0000-0400-0000BD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20775" y="36576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11</xdr:row>
      <xdr:rowOff>9525</xdr:rowOff>
    </xdr:from>
    <xdr:to>
      <xdr:col>16</xdr:col>
      <xdr:colOff>552450</xdr:colOff>
      <xdr:row>11</xdr:row>
      <xdr:rowOff>114300</xdr:rowOff>
    </xdr:to>
    <xdr:pic>
      <xdr:nvPicPr>
        <xdr:cNvPr id="125118" name="Grafik 12">
          <a:extLst>
            <a:ext uri="{FF2B5EF4-FFF2-40B4-BE49-F238E27FC236}">
              <a16:creationId xmlns:a16="http://schemas.microsoft.com/office/drawing/2014/main" id="{00000000-0008-0000-0400-0000BE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3943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54</xdr:row>
      <xdr:rowOff>9525</xdr:rowOff>
    </xdr:from>
    <xdr:to>
      <xdr:col>16</xdr:col>
      <xdr:colOff>552450</xdr:colOff>
      <xdr:row>54</xdr:row>
      <xdr:rowOff>114300</xdr:rowOff>
    </xdr:to>
    <xdr:pic>
      <xdr:nvPicPr>
        <xdr:cNvPr id="125119" name="Grafik 13">
          <a:extLst>
            <a:ext uri="{FF2B5EF4-FFF2-40B4-BE49-F238E27FC236}">
              <a16:creationId xmlns:a16="http://schemas.microsoft.com/office/drawing/2014/main" id="{00000000-0008-0000-0400-0000BF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18754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48</xdr:row>
      <xdr:rowOff>9525</xdr:rowOff>
    </xdr:from>
    <xdr:to>
      <xdr:col>16</xdr:col>
      <xdr:colOff>552450</xdr:colOff>
      <xdr:row>48</xdr:row>
      <xdr:rowOff>114300</xdr:rowOff>
    </xdr:to>
    <xdr:pic>
      <xdr:nvPicPr>
        <xdr:cNvPr id="125120" name="Grafik 23">
          <a:extLst>
            <a:ext uri="{FF2B5EF4-FFF2-40B4-BE49-F238E27FC236}">
              <a16:creationId xmlns:a16="http://schemas.microsoft.com/office/drawing/2014/main" id="{00000000-0008-0000-0400-0000C0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16468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30</xdr:row>
      <xdr:rowOff>9525</xdr:rowOff>
    </xdr:from>
    <xdr:to>
      <xdr:col>16</xdr:col>
      <xdr:colOff>552450</xdr:colOff>
      <xdr:row>30</xdr:row>
      <xdr:rowOff>114300</xdr:rowOff>
    </xdr:to>
    <xdr:pic>
      <xdr:nvPicPr>
        <xdr:cNvPr id="125121" name="Grafik 12">
          <a:extLst>
            <a:ext uri="{FF2B5EF4-FFF2-40B4-BE49-F238E27FC236}">
              <a16:creationId xmlns:a16="http://schemas.microsoft.com/office/drawing/2014/main" id="{00000000-0008-0000-0400-0000C1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952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33</xdr:row>
      <xdr:rowOff>9525</xdr:rowOff>
    </xdr:from>
    <xdr:to>
      <xdr:col>16</xdr:col>
      <xdr:colOff>552450</xdr:colOff>
      <xdr:row>33</xdr:row>
      <xdr:rowOff>114300</xdr:rowOff>
    </xdr:to>
    <xdr:pic>
      <xdr:nvPicPr>
        <xdr:cNvPr id="125122" name="Grafik 12">
          <a:extLst>
            <a:ext uri="{FF2B5EF4-FFF2-40B4-BE49-F238E27FC236}">
              <a16:creationId xmlns:a16="http://schemas.microsoft.com/office/drawing/2014/main" id="{00000000-0008-0000-0400-0000C2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10668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9</xdr:row>
      <xdr:rowOff>9525</xdr:rowOff>
    </xdr:from>
    <xdr:to>
      <xdr:col>16</xdr:col>
      <xdr:colOff>552450</xdr:colOff>
      <xdr:row>9</xdr:row>
      <xdr:rowOff>114300</xdr:rowOff>
    </xdr:to>
    <xdr:pic>
      <xdr:nvPicPr>
        <xdr:cNvPr id="125123" name="Grafik 12">
          <a:extLst>
            <a:ext uri="{FF2B5EF4-FFF2-40B4-BE49-F238E27FC236}">
              <a16:creationId xmlns:a16="http://schemas.microsoft.com/office/drawing/2014/main" id="{00000000-0008-0000-0400-0000C3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3486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400050</xdr:colOff>
      <xdr:row>9</xdr:row>
      <xdr:rowOff>9525</xdr:rowOff>
    </xdr:from>
    <xdr:to>
      <xdr:col>4</xdr:col>
      <xdr:colOff>9525</xdr:colOff>
      <xdr:row>9</xdr:row>
      <xdr:rowOff>114300</xdr:rowOff>
    </xdr:to>
    <xdr:pic>
      <xdr:nvPicPr>
        <xdr:cNvPr id="125124" name="Grafik 5">
          <a:extLst>
            <a:ext uri="{FF2B5EF4-FFF2-40B4-BE49-F238E27FC236}">
              <a16:creationId xmlns:a16="http://schemas.microsoft.com/office/drawing/2014/main" id="{00000000-0008-0000-0400-0000C4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3343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14</xdr:row>
      <xdr:rowOff>9525</xdr:rowOff>
    </xdr:from>
    <xdr:to>
      <xdr:col>16</xdr:col>
      <xdr:colOff>552450</xdr:colOff>
      <xdr:row>14</xdr:row>
      <xdr:rowOff>114300</xdr:rowOff>
    </xdr:to>
    <xdr:pic>
      <xdr:nvPicPr>
        <xdr:cNvPr id="125125" name="Grafik 12">
          <a:extLst>
            <a:ext uri="{FF2B5EF4-FFF2-40B4-BE49-F238E27FC236}">
              <a16:creationId xmlns:a16="http://schemas.microsoft.com/office/drawing/2014/main" id="{00000000-0008-0000-0400-0000C5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4914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17</xdr:row>
      <xdr:rowOff>9525</xdr:rowOff>
    </xdr:from>
    <xdr:to>
      <xdr:col>16</xdr:col>
      <xdr:colOff>552450</xdr:colOff>
      <xdr:row>17</xdr:row>
      <xdr:rowOff>114300</xdr:rowOff>
    </xdr:to>
    <xdr:pic>
      <xdr:nvPicPr>
        <xdr:cNvPr id="125126" name="Grafik 12">
          <a:extLst>
            <a:ext uri="{FF2B5EF4-FFF2-40B4-BE49-F238E27FC236}">
              <a16:creationId xmlns:a16="http://schemas.microsoft.com/office/drawing/2014/main" id="{00000000-0008-0000-0400-0000C6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5886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27</xdr:row>
      <xdr:rowOff>9525</xdr:rowOff>
    </xdr:from>
    <xdr:to>
      <xdr:col>16</xdr:col>
      <xdr:colOff>552450</xdr:colOff>
      <xdr:row>27</xdr:row>
      <xdr:rowOff>114300</xdr:rowOff>
    </xdr:to>
    <xdr:pic>
      <xdr:nvPicPr>
        <xdr:cNvPr id="125127" name="Grafik 12">
          <a:extLst>
            <a:ext uri="{FF2B5EF4-FFF2-40B4-BE49-F238E27FC236}">
              <a16:creationId xmlns:a16="http://schemas.microsoft.com/office/drawing/2014/main" id="{00000000-0008-0000-0400-0000C7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8382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514350</xdr:colOff>
      <xdr:row>1</xdr:row>
      <xdr:rowOff>9525</xdr:rowOff>
    </xdr:from>
    <xdr:to>
      <xdr:col>14</xdr:col>
      <xdr:colOff>381000</xdr:colOff>
      <xdr:row>3</xdr:row>
      <xdr:rowOff>38100</xdr:rowOff>
    </xdr:to>
    <xdr:pic>
      <xdr:nvPicPr>
        <xdr:cNvPr id="125128" name="Picture 3">
          <a:extLst>
            <a:ext uri="{FF2B5EF4-FFF2-40B4-BE49-F238E27FC236}">
              <a16:creationId xmlns:a16="http://schemas.microsoft.com/office/drawing/2014/main" id="{00000000-0008-0000-0400-0000C8E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8425" y="133350"/>
          <a:ext cx="1581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xdr:col>
      <xdr:colOff>285750</xdr:colOff>
      <xdr:row>0</xdr:row>
      <xdr:rowOff>104775</xdr:rowOff>
    </xdr:from>
    <xdr:to>
      <xdr:col>17</xdr:col>
      <xdr:colOff>390525</xdr:colOff>
      <xdr:row>5</xdr:row>
      <xdr:rowOff>0</xdr:rowOff>
    </xdr:to>
    <xdr:pic>
      <xdr:nvPicPr>
        <xdr:cNvPr id="125129" name="Grafik 1">
          <a:extLst>
            <a:ext uri="{FF2B5EF4-FFF2-40B4-BE49-F238E27FC236}">
              <a16:creationId xmlns:a16="http://schemas.microsoft.com/office/drawing/2014/main" id="{00000000-0008-0000-0400-0000C9E8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96250" y="10477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457200</xdr:colOff>
      <xdr:row>35</xdr:row>
      <xdr:rowOff>9525</xdr:rowOff>
    </xdr:from>
    <xdr:to>
      <xdr:col>16</xdr:col>
      <xdr:colOff>552450</xdr:colOff>
      <xdr:row>35</xdr:row>
      <xdr:rowOff>114300</xdr:rowOff>
    </xdr:to>
    <xdr:pic>
      <xdr:nvPicPr>
        <xdr:cNvPr id="25" name="Grafik 29">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667750" y="114300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457200</xdr:colOff>
      <xdr:row>39</xdr:row>
      <xdr:rowOff>9525</xdr:rowOff>
    </xdr:from>
    <xdr:to>
      <xdr:col>16</xdr:col>
      <xdr:colOff>552450</xdr:colOff>
      <xdr:row>39</xdr:row>
      <xdr:rowOff>114300</xdr:rowOff>
    </xdr:to>
    <xdr:pic>
      <xdr:nvPicPr>
        <xdr:cNvPr id="26" name="Grafik 29">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667750" y="130873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24</xdr:row>
      <xdr:rowOff>9525</xdr:rowOff>
    </xdr:from>
    <xdr:to>
      <xdr:col>16</xdr:col>
      <xdr:colOff>552450</xdr:colOff>
      <xdr:row>24</xdr:row>
      <xdr:rowOff>114300</xdr:rowOff>
    </xdr:to>
    <xdr:pic>
      <xdr:nvPicPr>
        <xdr:cNvPr id="24" name="Grafik 12">
          <a:extLst>
            <a:ext uri="{FF2B5EF4-FFF2-40B4-BE49-F238E27FC236}">
              <a16:creationId xmlns:a16="http://schemas.microsoft.com/office/drawing/2014/main" id="{F33A2AC5-E333-4A90-9863-0EF7BFAA71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6810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69</xdr:row>
      <xdr:rowOff>9525</xdr:rowOff>
    </xdr:from>
    <xdr:to>
      <xdr:col>16</xdr:col>
      <xdr:colOff>552450</xdr:colOff>
      <xdr:row>69</xdr:row>
      <xdr:rowOff>114300</xdr:rowOff>
    </xdr:to>
    <xdr:pic>
      <xdr:nvPicPr>
        <xdr:cNvPr id="30" name="Grafik 13">
          <a:extLst>
            <a:ext uri="{FF2B5EF4-FFF2-40B4-BE49-F238E27FC236}">
              <a16:creationId xmlns:a16="http://schemas.microsoft.com/office/drawing/2014/main" id="{539CD259-944E-4965-96E9-2ADDB4A428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2482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72</xdr:row>
      <xdr:rowOff>9525</xdr:rowOff>
    </xdr:from>
    <xdr:to>
      <xdr:col>16</xdr:col>
      <xdr:colOff>552450</xdr:colOff>
      <xdr:row>72</xdr:row>
      <xdr:rowOff>114300</xdr:rowOff>
    </xdr:to>
    <xdr:pic>
      <xdr:nvPicPr>
        <xdr:cNvPr id="31" name="Grafik 13">
          <a:extLst>
            <a:ext uri="{FF2B5EF4-FFF2-40B4-BE49-F238E27FC236}">
              <a16:creationId xmlns:a16="http://schemas.microsoft.com/office/drawing/2014/main" id="{DBA73A90-0D7D-45E7-9ED8-34EC1568A8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25965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20</xdr:row>
      <xdr:rowOff>9525</xdr:rowOff>
    </xdr:from>
    <xdr:to>
      <xdr:col>16</xdr:col>
      <xdr:colOff>552450</xdr:colOff>
      <xdr:row>20</xdr:row>
      <xdr:rowOff>114300</xdr:rowOff>
    </xdr:to>
    <xdr:pic>
      <xdr:nvPicPr>
        <xdr:cNvPr id="27" name="Grafik 12">
          <a:extLst>
            <a:ext uri="{FF2B5EF4-FFF2-40B4-BE49-F238E27FC236}">
              <a16:creationId xmlns:a16="http://schemas.microsoft.com/office/drawing/2014/main" id="{CC76AD03-80C5-439A-B7D3-CA63FA901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53575" y="6429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333375</xdr:colOff>
      <xdr:row>7</xdr:row>
      <xdr:rowOff>9525</xdr:rowOff>
    </xdr:from>
    <xdr:to>
      <xdr:col>6</xdr:col>
      <xdr:colOff>0</xdr:colOff>
      <xdr:row>7</xdr:row>
      <xdr:rowOff>104775</xdr:rowOff>
    </xdr:to>
    <xdr:pic>
      <xdr:nvPicPr>
        <xdr:cNvPr id="115384" name="Grafik 4">
          <a:extLst>
            <a:ext uri="{FF2B5EF4-FFF2-40B4-BE49-F238E27FC236}">
              <a16:creationId xmlns:a16="http://schemas.microsoft.com/office/drawing/2014/main" id="{00000000-0008-0000-0700-0000B8C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1350" y="10191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2143125</xdr:colOff>
      <xdr:row>5</xdr:row>
      <xdr:rowOff>9525</xdr:rowOff>
    </xdr:from>
    <xdr:to>
      <xdr:col>10</xdr:col>
      <xdr:colOff>0</xdr:colOff>
      <xdr:row>5</xdr:row>
      <xdr:rowOff>104775</xdr:rowOff>
    </xdr:to>
    <xdr:pic>
      <xdr:nvPicPr>
        <xdr:cNvPr id="115385" name="Grafik 4">
          <a:extLst>
            <a:ext uri="{FF2B5EF4-FFF2-40B4-BE49-F238E27FC236}">
              <a16:creationId xmlns:a16="http://schemas.microsoft.com/office/drawing/2014/main" id="{00000000-0008-0000-0700-0000B9C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2300" y="7429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2143125</xdr:colOff>
      <xdr:row>7</xdr:row>
      <xdr:rowOff>9525</xdr:rowOff>
    </xdr:from>
    <xdr:to>
      <xdr:col>10</xdr:col>
      <xdr:colOff>0</xdr:colOff>
      <xdr:row>7</xdr:row>
      <xdr:rowOff>104775</xdr:rowOff>
    </xdr:to>
    <xdr:pic>
      <xdr:nvPicPr>
        <xdr:cNvPr id="115386" name="Grafik 4">
          <a:extLst>
            <a:ext uri="{FF2B5EF4-FFF2-40B4-BE49-F238E27FC236}">
              <a16:creationId xmlns:a16="http://schemas.microsoft.com/office/drawing/2014/main" id="{00000000-0008-0000-0700-0000BAC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2300" y="10191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790575</xdr:colOff>
      <xdr:row>1</xdr:row>
      <xdr:rowOff>133350</xdr:rowOff>
    </xdr:from>
    <xdr:to>
      <xdr:col>10</xdr:col>
      <xdr:colOff>2228850</xdr:colOff>
      <xdr:row>3</xdr:row>
      <xdr:rowOff>0</xdr:rowOff>
    </xdr:to>
    <xdr:pic>
      <xdr:nvPicPr>
        <xdr:cNvPr id="115387" name="Grafik 1">
          <a:extLst>
            <a:ext uri="{FF2B5EF4-FFF2-40B4-BE49-F238E27FC236}">
              <a16:creationId xmlns:a16="http://schemas.microsoft.com/office/drawing/2014/main" id="{00000000-0008-0000-0700-0000BBC2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25" y="13335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24</xdr:col>
      <xdr:colOff>485775</xdr:colOff>
      <xdr:row>5</xdr:row>
      <xdr:rowOff>9525</xdr:rowOff>
    </xdr:from>
    <xdr:to>
      <xdr:col>26</xdr:col>
      <xdr:colOff>9525</xdr:colOff>
      <xdr:row>5</xdr:row>
      <xdr:rowOff>104775</xdr:rowOff>
    </xdr:to>
    <xdr:pic>
      <xdr:nvPicPr>
        <xdr:cNvPr id="120328" name="Grafik 2">
          <a:extLst>
            <a:ext uri="{FF2B5EF4-FFF2-40B4-BE49-F238E27FC236}">
              <a16:creationId xmlns:a16="http://schemas.microsoft.com/office/drawing/2014/main" id="{00000000-0008-0000-0900-000008D6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8858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476250</xdr:colOff>
      <xdr:row>7</xdr:row>
      <xdr:rowOff>9525</xdr:rowOff>
    </xdr:from>
    <xdr:to>
      <xdr:col>26</xdr:col>
      <xdr:colOff>0</xdr:colOff>
      <xdr:row>7</xdr:row>
      <xdr:rowOff>104775</xdr:rowOff>
    </xdr:to>
    <xdr:pic>
      <xdr:nvPicPr>
        <xdr:cNvPr id="120329" name="Grafik 3">
          <a:extLst>
            <a:ext uri="{FF2B5EF4-FFF2-40B4-BE49-F238E27FC236}">
              <a16:creationId xmlns:a16="http://schemas.microsoft.com/office/drawing/2014/main" id="{00000000-0008-0000-0900-000009D6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0" y="11620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7</xdr:row>
      <xdr:rowOff>9525</xdr:rowOff>
    </xdr:from>
    <xdr:to>
      <xdr:col>5</xdr:col>
      <xdr:colOff>0</xdr:colOff>
      <xdr:row>7</xdr:row>
      <xdr:rowOff>104775</xdr:rowOff>
    </xdr:to>
    <xdr:pic>
      <xdr:nvPicPr>
        <xdr:cNvPr id="120330" name="Grafik 4">
          <a:extLst>
            <a:ext uri="{FF2B5EF4-FFF2-40B4-BE49-F238E27FC236}">
              <a16:creationId xmlns:a16="http://schemas.microsoft.com/office/drawing/2014/main" id="{00000000-0008-0000-0900-00000AD6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1162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9525</xdr:colOff>
      <xdr:row>1</xdr:row>
      <xdr:rowOff>47625</xdr:rowOff>
    </xdr:from>
    <xdr:to>
      <xdr:col>24</xdr:col>
      <xdr:colOff>438150</xdr:colOff>
      <xdr:row>3</xdr:row>
      <xdr:rowOff>47625</xdr:rowOff>
    </xdr:to>
    <xdr:pic>
      <xdr:nvPicPr>
        <xdr:cNvPr id="120332" name="Picture 3">
          <a:extLst>
            <a:ext uri="{FF2B5EF4-FFF2-40B4-BE49-F238E27FC236}">
              <a16:creationId xmlns:a16="http://schemas.microsoft.com/office/drawing/2014/main" id="{00000000-0008-0000-0900-00000CD6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34250" y="171450"/>
          <a:ext cx="1581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24</xdr:col>
      <xdr:colOff>590550</xdr:colOff>
      <xdr:row>1</xdr:row>
      <xdr:rowOff>9525</xdr:rowOff>
    </xdr:from>
    <xdr:to>
      <xdr:col>27</xdr:col>
      <xdr:colOff>76200</xdr:colOff>
      <xdr:row>3</xdr:row>
      <xdr:rowOff>142875</xdr:rowOff>
    </xdr:to>
    <xdr:pic>
      <xdr:nvPicPr>
        <xdr:cNvPr id="120333" name="Grafik 1">
          <a:extLst>
            <a:ext uri="{FF2B5EF4-FFF2-40B4-BE49-F238E27FC236}">
              <a16:creationId xmlns:a16="http://schemas.microsoft.com/office/drawing/2014/main" id="{00000000-0008-0000-0900-00000DD6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29700" y="133350"/>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2124075</xdr:colOff>
      <xdr:row>7</xdr:row>
      <xdr:rowOff>9525</xdr:rowOff>
    </xdr:from>
    <xdr:to>
      <xdr:col>3</xdr:col>
      <xdr:colOff>0</xdr:colOff>
      <xdr:row>7</xdr:row>
      <xdr:rowOff>104775</xdr:rowOff>
    </xdr:to>
    <xdr:pic>
      <xdr:nvPicPr>
        <xdr:cNvPr id="123996" name="Grafik 5">
          <a:extLst>
            <a:ext uri="{FF2B5EF4-FFF2-40B4-BE49-F238E27FC236}">
              <a16:creationId xmlns:a16="http://schemas.microsoft.com/office/drawing/2014/main" id="{00000000-0008-0000-0C00-00005C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1350" y="11525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14</xdr:row>
      <xdr:rowOff>9525</xdr:rowOff>
    </xdr:from>
    <xdr:to>
      <xdr:col>3</xdr:col>
      <xdr:colOff>0</xdr:colOff>
      <xdr:row>14</xdr:row>
      <xdr:rowOff>104775</xdr:rowOff>
    </xdr:to>
    <xdr:pic>
      <xdr:nvPicPr>
        <xdr:cNvPr id="123997" name="Grafik 4">
          <a:extLst>
            <a:ext uri="{FF2B5EF4-FFF2-40B4-BE49-F238E27FC236}">
              <a16:creationId xmlns:a16="http://schemas.microsoft.com/office/drawing/2014/main" id="{00000000-0008-0000-0C00-00005D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2400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1381125</xdr:colOff>
      <xdr:row>5</xdr:row>
      <xdr:rowOff>9525</xdr:rowOff>
    </xdr:from>
    <xdr:to>
      <xdr:col>7</xdr:col>
      <xdr:colOff>0</xdr:colOff>
      <xdr:row>5</xdr:row>
      <xdr:rowOff>104775</xdr:rowOff>
    </xdr:to>
    <xdr:pic>
      <xdr:nvPicPr>
        <xdr:cNvPr id="123998" name="Grafik 5">
          <a:extLst>
            <a:ext uri="{FF2B5EF4-FFF2-40B4-BE49-F238E27FC236}">
              <a16:creationId xmlns:a16="http://schemas.microsoft.com/office/drawing/2014/main" id="{00000000-0008-0000-0C00-00005E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876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1381125</xdr:colOff>
      <xdr:row>7</xdr:row>
      <xdr:rowOff>9525</xdr:rowOff>
    </xdr:from>
    <xdr:to>
      <xdr:col>7</xdr:col>
      <xdr:colOff>0</xdr:colOff>
      <xdr:row>7</xdr:row>
      <xdr:rowOff>104775</xdr:rowOff>
    </xdr:to>
    <xdr:pic>
      <xdr:nvPicPr>
        <xdr:cNvPr id="123999" name="Grafik 5">
          <a:extLst>
            <a:ext uri="{FF2B5EF4-FFF2-40B4-BE49-F238E27FC236}">
              <a16:creationId xmlns:a16="http://schemas.microsoft.com/office/drawing/2014/main" id="{00000000-0008-0000-0C00-00005F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1152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28575</xdr:rowOff>
    </xdr:from>
    <xdr:to>
      <xdr:col>6</xdr:col>
      <xdr:colOff>1447800</xdr:colOff>
      <xdr:row>2</xdr:row>
      <xdr:rowOff>152400</xdr:rowOff>
    </xdr:to>
    <xdr:pic>
      <xdr:nvPicPr>
        <xdr:cNvPr id="124000" name="Grafik 1">
          <a:extLst>
            <a:ext uri="{FF2B5EF4-FFF2-40B4-BE49-F238E27FC236}">
              <a16:creationId xmlns:a16="http://schemas.microsoft.com/office/drawing/2014/main" id="{00000000-0008-0000-0C00-000060E4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43850" y="1524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0</xdr:colOff>
      <xdr:row>8</xdr:row>
      <xdr:rowOff>95250</xdr:rowOff>
    </xdr:to>
    <xdr:pic>
      <xdr:nvPicPr>
        <xdr:cNvPr id="62213" name="Grafik 4">
          <a:extLst>
            <a:ext uri="{FF2B5EF4-FFF2-40B4-BE49-F238E27FC236}">
              <a16:creationId xmlns:a16="http://schemas.microsoft.com/office/drawing/2014/main" id="{00000000-0008-0000-0D00-000005F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479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7:S88" totalsRowShown="0" headerRowDxfId="246" dataDxfId="244" headerRowBorderDxfId="245" tableBorderDxfId="243" totalsRowBorderDxfId="242">
  <tableColumns count="19">
    <tableColumn id="1" xr3:uid="{00000000-0010-0000-0000-000001000000}" name="Baden-Württemberg" dataDxfId="241"/>
    <tableColumn id="2" xr3:uid="{00000000-0010-0000-0000-000002000000}" name="Bayern" dataDxfId="240"/>
    <tableColumn id="3" xr3:uid="{00000000-0010-0000-0000-000003000000}" name="Berlin" dataDxfId="239"/>
    <tableColumn id="4" xr3:uid="{00000000-0010-0000-0000-000004000000}" name="Brandenburg" dataDxfId="238"/>
    <tableColumn id="5" xr3:uid="{00000000-0010-0000-0000-000005000000}" name="Bremen" dataDxfId="237"/>
    <tableColumn id="6" xr3:uid="{00000000-0010-0000-0000-000006000000}" name="Hamburg" dataDxfId="236"/>
    <tableColumn id="7" xr3:uid="{00000000-0010-0000-0000-000007000000}" name="Hessen" dataDxfId="235"/>
    <tableColumn id="8" xr3:uid="{00000000-0010-0000-0000-000008000000}" name="Mecklenburg-Vorpommern" dataDxfId="234"/>
    <tableColumn id="9" xr3:uid="{00000000-0010-0000-0000-000009000000}" name="Niedersachsen" dataDxfId="233"/>
    <tableColumn id="10" xr3:uid="{00000000-0010-0000-0000-00000A000000}" name="Nordrhein-Westfalen" dataDxfId="232"/>
    <tableColumn id="11" xr3:uid="{00000000-0010-0000-0000-00000B000000}" name="Rheinland-Pfalz" dataDxfId="231"/>
    <tableColumn id="12" xr3:uid="{00000000-0010-0000-0000-00000C000000}" name="Saarland" dataDxfId="230"/>
    <tableColumn id="13" xr3:uid="{00000000-0010-0000-0000-00000D000000}" name="Sachsen" dataDxfId="229"/>
    <tableColumn id="14" xr3:uid="{00000000-0010-0000-0000-00000E000000}" name="Sachsen-Anhalt" dataDxfId="228"/>
    <tableColumn id="15" xr3:uid="{00000000-0010-0000-0000-00000F000000}" name="Schleswig-Holstein" dataDxfId="227"/>
    <tableColumn id="16" xr3:uid="{00000000-0010-0000-0000-000010000000}" name="Thüringen" dataDxfId="226"/>
    <tableColumn id="17" xr3:uid="{00000000-0010-0000-0000-000011000000}" name="Schweiz" dataDxfId="225"/>
    <tableColumn id="18" xr3:uid="{00000000-0010-0000-0000-000012000000}" name="Österreich" dataDxfId="224"/>
    <tableColumn id="19" xr3:uid="{00000000-0010-0000-0000-000013000000}" name="Italien" dataDxfId="223"/>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onkozert.de/organ/haut/"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krebsgesellschaft.de/zertdokumente.html"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comments" Target="../comments5.xml"/><Relationship Id="rId5" Type="http://schemas.openxmlformats.org/officeDocument/2006/relationships/vmlDrawing" Target="../drawings/vmlDrawing7.vm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Y61"/>
  <sheetViews>
    <sheetView showGridLines="0" topLeftCell="A46" zoomScaleNormal="100" zoomScaleSheetLayoutView="89" zoomScalePageLayoutView="69" workbookViewId="0">
      <selection activeCell="D30" sqref="D30"/>
    </sheetView>
  </sheetViews>
  <sheetFormatPr baseColWidth="10" defaultColWidth="11.3984375" defaultRowHeight="13.5"/>
  <cols>
    <col min="1" max="1" width="0.86328125" style="1" customWidth="1"/>
    <col min="2" max="2" width="23.1328125" style="1" customWidth="1"/>
    <col min="3" max="3" width="19.265625" style="1" customWidth="1"/>
    <col min="4" max="13" width="6" style="1" customWidth="1"/>
    <col min="14" max="14" width="10.73046875" style="1" customWidth="1"/>
    <col min="15" max="15" width="11" style="1" customWidth="1"/>
    <col min="16" max="16" width="11.73046875" style="1" customWidth="1"/>
    <col min="17" max="17" width="6.59765625" style="1" customWidth="1"/>
    <col min="18" max="18" width="7" style="1" customWidth="1"/>
    <col min="19" max="19" width="0.59765625" style="1" customWidth="1"/>
    <col min="20" max="16384" width="11.3984375" style="1"/>
  </cols>
  <sheetData>
    <row r="1" spans="1:18" ht="9.9499999999999993" customHeight="1">
      <c r="A1" s="5"/>
    </row>
    <row r="2" spans="1:18" ht="12.95" customHeight="1">
      <c r="A2" s="2"/>
      <c r="B2" s="396" t="s">
        <v>828</v>
      </c>
      <c r="C2" s="102"/>
    </row>
    <row r="3" spans="1:18" ht="16.5" customHeight="1">
      <c r="A3" s="9"/>
      <c r="B3" s="113" t="s">
        <v>463</v>
      </c>
      <c r="C3" s="49"/>
    </row>
    <row r="4" spans="1:18" ht="6.75" customHeight="1">
      <c r="A4" s="34"/>
      <c r="L4" s="20"/>
      <c r="M4" s="20"/>
      <c r="N4" s="20"/>
      <c r="O4" s="20"/>
      <c r="P4" s="20"/>
      <c r="Q4" s="20"/>
    </row>
    <row r="5" spans="1:18" ht="13.5" customHeight="1">
      <c r="A5" s="34"/>
      <c r="L5" s="20"/>
      <c r="M5" s="20"/>
      <c r="N5" s="20"/>
      <c r="O5" s="20"/>
      <c r="P5" s="20"/>
      <c r="Q5" s="20"/>
    </row>
    <row r="6" spans="1:18" ht="15.95" customHeight="1">
      <c r="A6" s="2"/>
      <c r="B6" s="110" t="s">
        <v>713</v>
      </c>
      <c r="C6" s="561" t="s">
        <v>467</v>
      </c>
      <c r="D6" s="562"/>
      <c r="E6" s="562"/>
      <c r="F6" s="563"/>
      <c r="G6" s="110"/>
      <c r="H6" s="22"/>
      <c r="I6" s="22"/>
      <c r="J6" s="22"/>
      <c r="K6" s="557" t="s">
        <v>798</v>
      </c>
      <c r="L6" s="557"/>
      <c r="M6" s="557"/>
      <c r="N6" s="557"/>
      <c r="O6" s="557"/>
      <c r="P6" s="557"/>
      <c r="Q6" s="557"/>
      <c r="R6" s="557"/>
    </row>
    <row r="7" spans="1:18" ht="6.95" customHeight="1">
      <c r="A7" s="2"/>
      <c r="B7" s="22"/>
      <c r="C7" s="22"/>
      <c r="D7" s="22"/>
      <c r="E7" s="18"/>
      <c r="F7" s="18"/>
      <c r="G7" s="18"/>
      <c r="H7" s="18"/>
      <c r="I7" s="18"/>
      <c r="J7" s="18"/>
      <c r="K7" s="22"/>
      <c r="L7" s="22"/>
      <c r="M7" s="22"/>
      <c r="N7" s="22"/>
      <c r="O7" s="22"/>
      <c r="P7" s="22"/>
      <c r="Q7" s="22"/>
      <c r="R7" s="22"/>
    </row>
    <row r="8" spans="1:18" s="2" customFormat="1" ht="15.95" customHeight="1">
      <c r="B8" s="110" t="s">
        <v>464</v>
      </c>
      <c r="C8" s="558"/>
      <c r="D8" s="559"/>
      <c r="E8" s="559"/>
      <c r="F8" s="559"/>
      <c r="G8" s="559"/>
      <c r="H8" s="559"/>
      <c r="I8" s="559"/>
      <c r="J8" s="559"/>
      <c r="K8" s="559"/>
      <c r="L8" s="559"/>
      <c r="M8" s="559"/>
      <c r="N8" s="559"/>
      <c r="O8" s="559"/>
      <c r="P8" s="559"/>
      <c r="Q8" s="559"/>
      <c r="R8" s="560"/>
    </row>
    <row r="9" spans="1:18" s="2" customFormat="1" ht="6.95" customHeight="1">
      <c r="B9" s="18"/>
      <c r="C9" s="18"/>
      <c r="D9" s="18"/>
      <c r="E9" s="18"/>
      <c r="F9" s="18"/>
      <c r="G9" s="18"/>
      <c r="H9" s="22"/>
      <c r="I9" s="22"/>
      <c r="J9" s="22"/>
      <c r="K9" s="22"/>
      <c r="L9" s="22"/>
      <c r="M9" s="22"/>
      <c r="N9" s="22"/>
      <c r="O9" s="22"/>
      <c r="P9" s="22"/>
      <c r="Q9" s="22"/>
      <c r="R9" s="22"/>
    </row>
    <row r="10" spans="1:18" s="2" customFormat="1" ht="15.95" customHeight="1">
      <c r="B10" s="110" t="s">
        <v>465</v>
      </c>
      <c r="C10" s="558"/>
      <c r="D10" s="559"/>
      <c r="E10" s="559"/>
      <c r="F10" s="559"/>
      <c r="G10" s="559"/>
      <c r="H10" s="559"/>
      <c r="I10" s="559"/>
      <c r="J10" s="559"/>
      <c r="K10" s="559"/>
      <c r="L10" s="559"/>
      <c r="M10" s="559"/>
      <c r="N10" s="559"/>
      <c r="O10" s="559"/>
      <c r="P10" s="559"/>
      <c r="Q10" s="559"/>
      <c r="R10" s="560"/>
    </row>
    <row r="11" spans="1:18" s="2" customFormat="1" ht="6.95" customHeight="1">
      <c r="B11" s="18"/>
      <c r="C11" s="18"/>
      <c r="D11" s="18"/>
      <c r="E11" s="18"/>
      <c r="F11" s="18"/>
      <c r="G11" s="18"/>
      <c r="H11" s="22"/>
      <c r="I11" s="22"/>
      <c r="J11" s="22"/>
      <c r="K11" s="22"/>
      <c r="L11" s="22"/>
      <c r="M11" s="22"/>
      <c r="N11" s="22"/>
      <c r="O11" s="22"/>
      <c r="P11" s="22"/>
      <c r="Q11" s="22"/>
      <c r="R11" s="22"/>
    </row>
    <row r="12" spans="1:18" s="2" customFormat="1" ht="15.95" customHeight="1">
      <c r="B12" s="112" t="s">
        <v>466</v>
      </c>
      <c r="C12" s="558"/>
      <c r="D12" s="559"/>
      <c r="E12" s="559"/>
      <c r="F12" s="560"/>
      <c r="G12" s="22" t="s">
        <v>362</v>
      </c>
      <c r="H12" s="22"/>
      <c r="I12" s="22"/>
      <c r="K12" s="22" t="s">
        <v>709</v>
      </c>
      <c r="M12" s="419"/>
      <c r="N12" s="420"/>
      <c r="O12" s="575"/>
      <c r="P12" s="575"/>
      <c r="Q12" s="575"/>
      <c r="R12" s="576"/>
    </row>
    <row r="13" spans="1:18" s="2" customFormat="1" ht="6.95" customHeight="1">
      <c r="B13" s="22"/>
      <c r="C13" s="22"/>
      <c r="D13" s="22"/>
      <c r="E13" s="18"/>
      <c r="F13" s="18"/>
      <c r="G13" s="18"/>
      <c r="H13" s="18"/>
      <c r="I13" s="18"/>
      <c r="K13" s="18"/>
      <c r="L13" s="22"/>
      <c r="M13" s="22"/>
      <c r="N13" s="22"/>
      <c r="O13" s="22"/>
      <c r="P13" s="22"/>
      <c r="Q13" s="22"/>
      <c r="R13" s="22"/>
    </row>
    <row r="14" spans="1:18" s="2" customFormat="1" ht="15.95" customHeight="1">
      <c r="B14" s="22"/>
      <c r="C14" s="22"/>
      <c r="D14" s="22"/>
      <c r="E14" s="18"/>
      <c r="F14" s="18"/>
      <c r="G14" s="110" t="s">
        <v>363</v>
      </c>
      <c r="H14" s="110"/>
      <c r="I14" s="110"/>
      <c r="K14" s="110" t="s">
        <v>710</v>
      </c>
      <c r="M14" s="414"/>
      <c r="N14" s="415"/>
      <c r="O14" s="577" t="str">
        <f>IF($C$6="","",Datenquelle!G99)</f>
        <v>-----</v>
      </c>
      <c r="P14" s="577"/>
      <c r="Q14" s="577"/>
      <c r="R14" s="578"/>
    </row>
    <row r="15" spans="1:18" ht="6.95" customHeight="1">
      <c r="B15" s="22"/>
      <c r="C15" s="22"/>
      <c r="D15" s="22"/>
      <c r="E15" s="22"/>
      <c r="F15" s="22"/>
      <c r="G15" s="22"/>
      <c r="H15" s="22"/>
      <c r="I15" s="22"/>
      <c r="K15" s="22"/>
      <c r="L15" s="22"/>
      <c r="M15" s="22"/>
      <c r="N15" s="22"/>
      <c r="O15" s="22"/>
      <c r="P15" s="22"/>
      <c r="Q15" s="22"/>
      <c r="R15" s="22"/>
    </row>
    <row r="16" spans="1:18" s="2" customFormat="1" ht="15.75" customHeight="1">
      <c r="B16" s="110"/>
      <c r="C16" s="110"/>
      <c r="D16" s="313"/>
      <c r="E16" s="313"/>
      <c r="F16" s="313"/>
      <c r="G16" s="11" t="s">
        <v>362</v>
      </c>
      <c r="H16" s="11"/>
      <c r="I16" s="11"/>
      <c r="K16" s="11" t="s">
        <v>711</v>
      </c>
      <c r="M16" s="110"/>
      <c r="N16" s="416"/>
      <c r="O16" s="569">
        <v>2022</v>
      </c>
      <c r="P16" s="570"/>
      <c r="Q16" s="570"/>
      <c r="R16" s="571"/>
    </row>
    <row r="17" spans="1:22" s="2" customFormat="1" ht="4.5" customHeight="1">
      <c r="B17" s="110"/>
      <c r="C17" s="110"/>
      <c r="D17" s="110"/>
      <c r="E17" s="110"/>
      <c r="F17" s="110"/>
      <c r="G17" s="110"/>
      <c r="H17" s="110"/>
      <c r="I17" s="433"/>
      <c r="J17" s="433"/>
      <c r="K17" s="433"/>
      <c r="L17" s="433"/>
      <c r="M17" s="433"/>
      <c r="N17" s="433"/>
      <c r="O17" s="433"/>
      <c r="P17" s="433"/>
      <c r="Q17" s="433"/>
      <c r="R17" s="433"/>
    </row>
    <row r="18" spans="1:22" s="2" customFormat="1" ht="9" customHeight="1">
      <c r="B18" s="110"/>
      <c r="C18" s="110"/>
      <c r="D18" s="110"/>
      <c r="E18" s="110"/>
      <c r="F18" s="110"/>
      <c r="G18" s="110"/>
      <c r="H18" s="110"/>
      <c r="I18" s="438"/>
      <c r="J18" s="438"/>
      <c r="K18" s="438"/>
      <c r="L18" s="438"/>
      <c r="M18" s="438"/>
      <c r="N18" s="438"/>
      <c r="O18" s="438"/>
      <c r="P18" s="438"/>
      <c r="Q18" s="438"/>
      <c r="R18" s="438"/>
    </row>
    <row r="19" spans="1:22" s="2" customFormat="1" ht="4.5" customHeight="1">
      <c r="B19" s="110"/>
      <c r="C19" s="110"/>
      <c r="D19" s="22"/>
      <c r="E19" s="22"/>
      <c r="F19" s="11"/>
      <c r="G19" s="11"/>
      <c r="H19" s="22"/>
      <c r="I19" s="111"/>
      <c r="J19" s="111"/>
      <c r="K19" s="22"/>
      <c r="L19" s="22"/>
      <c r="M19" s="22"/>
      <c r="N19" s="22"/>
      <c r="O19" s="22"/>
      <c r="P19" s="22"/>
      <c r="Q19" s="22"/>
      <c r="R19" s="22"/>
    </row>
    <row r="20" spans="1:22" s="2" customFormat="1" ht="15.95" customHeight="1">
      <c r="B20" s="569" t="s">
        <v>468</v>
      </c>
      <c r="C20" s="570"/>
      <c r="D20" s="570"/>
      <c r="E20" s="570"/>
      <c r="F20" s="570"/>
      <c r="G20" s="570"/>
      <c r="H20" s="571"/>
    </row>
    <row r="21" spans="1:22" s="2" customFormat="1" ht="15.95" customHeight="1">
      <c r="B21" s="572"/>
      <c r="C21" s="573"/>
      <c r="D21" s="573"/>
      <c r="E21" s="573"/>
      <c r="F21" s="573"/>
      <c r="G21" s="573"/>
      <c r="H21" s="574"/>
      <c r="I21" s="567"/>
      <c r="J21" s="568"/>
      <c r="K21" s="568"/>
      <c r="L21" s="568"/>
      <c r="M21" s="568"/>
      <c r="N21" s="568"/>
      <c r="O21" s="568"/>
      <c r="P21" s="568"/>
      <c r="Q21" s="568"/>
      <c r="R21" s="568"/>
    </row>
    <row r="22" spans="1:22" s="2" customFormat="1" ht="6.95" customHeight="1">
      <c r="B22" s="18"/>
      <c r="C22" s="18"/>
      <c r="D22" s="18"/>
      <c r="E22" s="18"/>
      <c r="F22" s="18"/>
      <c r="G22" s="22"/>
      <c r="H22" s="22"/>
      <c r="I22" s="22"/>
      <c r="J22" s="22"/>
      <c r="K22" s="18"/>
      <c r="L22" s="22"/>
      <c r="M22" s="22"/>
      <c r="N22" s="22"/>
      <c r="O22" s="22"/>
      <c r="P22" s="22"/>
      <c r="Q22" s="22"/>
      <c r="R22" s="22"/>
    </row>
    <row r="23" spans="1:22" s="2" customFormat="1" ht="15.95" customHeight="1">
      <c r="B23" s="582" t="s">
        <v>469</v>
      </c>
      <c r="C23" s="583"/>
      <c r="D23" s="583"/>
      <c r="E23" s="583"/>
      <c r="F23" s="583"/>
      <c r="G23" s="583"/>
      <c r="H23" s="584"/>
      <c r="I23" s="579" t="s">
        <v>364</v>
      </c>
      <c r="J23" s="580"/>
      <c r="K23" s="580"/>
      <c r="L23" s="580"/>
      <c r="M23" s="580"/>
      <c r="N23" s="580"/>
      <c r="O23" s="580"/>
      <c r="P23" s="580"/>
      <c r="Q23" s="580"/>
      <c r="R23" s="581"/>
    </row>
    <row r="24" spans="1:22" s="2" customFormat="1" ht="15.95" customHeight="1">
      <c r="B24" s="572"/>
      <c r="C24" s="573"/>
      <c r="D24" s="573"/>
      <c r="E24" s="573"/>
      <c r="F24" s="573"/>
      <c r="G24" s="573"/>
      <c r="H24" s="574"/>
      <c r="I24" s="564" t="s">
        <v>470</v>
      </c>
      <c r="J24" s="565"/>
      <c r="K24" s="565"/>
      <c r="L24" s="565"/>
      <c r="M24" s="565"/>
      <c r="N24" s="565"/>
      <c r="O24" s="565"/>
      <c r="P24" s="565"/>
      <c r="Q24" s="565"/>
      <c r="R24" s="566"/>
      <c r="U24" s="421"/>
    </row>
    <row r="25" spans="1:22" s="2" customFormat="1" ht="16.5" customHeight="1">
      <c r="H25" s="3"/>
    </row>
    <row r="26" spans="1:22" s="2" customFormat="1" ht="11.25" customHeight="1">
      <c r="B26" s="585"/>
      <c r="C26" s="586"/>
      <c r="D26" s="586"/>
      <c r="E26" s="586"/>
      <c r="F26" s="586"/>
      <c r="G26" s="586"/>
      <c r="H26" s="586"/>
      <c r="I26" s="586"/>
      <c r="J26" s="586"/>
      <c r="K26" s="586"/>
      <c r="L26" s="586"/>
      <c r="M26" s="586"/>
      <c r="N26" s="586"/>
      <c r="O26" s="586"/>
      <c r="P26" s="586"/>
      <c r="Q26" s="586"/>
      <c r="R26" s="586"/>
    </row>
    <row r="27" spans="1:22" s="2" customFormat="1" ht="15" customHeight="1">
      <c r="B27" s="592" t="s">
        <v>670</v>
      </c>
      <c r="C27" s="593"/>
      <c r="D27" s="589" t="s">
        <v>671</v>
      </c>
      <c r="E27" s="590"/>
      <c r="F27" s="590"/>
      <c r="G27" s="590"/>
      <c r="H27" s="590"/>
      <c r="I27" s="590"/>
      <c r="J27" s="590"/>
      <c r="K27" s="590"/>
      <c r="L27" s="590"/>
      <c r="M27" s="590"/>
      <c r="N27" s="590"/>
      <c r="O27" s="591"/>
      <c r="P27" s="588" t="s">
        <v>688</v>
      </c>
      <c r="Q27" s="588" t="s">
        <v>672</v>
      </c>
      <c r="R27" s="587" t="s">
        <v>673</v>
      </c>
    </row>
    <row r="28" spans="1:22" s="2" customFormat="1" ht="15" customHeight="1">
      <c r="A28" s="7"/>
      <c r="B28" s="594"/>
      <c r="C28" s="595"/>
      <c r="D28" s="590" t="s">
        <v>674</v>
      </c>
      <c r="E28" s="590"/>
      <c r="F28" s="590"/>
      <c r="G28" s="590"/>
      <c r="H28" s="590"/>
      <c r="I28" s="590"/>
      <c r="J28" s="590"/>
      <c r="K28" s="590"/>
      <c r="L28" s="590"/>
      <c r="M28" s="590"/>
      <c r="N28" s="598" t="s">
        <v>675</v>
      </c>
      <c r="O28" s="589"/>
      <c r="P28" s="588"/>
      <c r="Q28" s="588"/>
      <c r="R28" s="587"/>
      <c r="S28" s="35"/>
    </row>
    <row r="29" spans="1:22" s="2" customFormat="1" ht="48" customHeight="1">
      <c r="A29" s="7"/>
      <c r="B29" s="596"/>
      <c r="C29" s="597"/>
      <c r="D29" s="505" t="s">
        <v>676</v>
      </c>
      <c r="E29" s="506" t="s">
        <v>677</v>
      </c>
      <c r="F29" s="506" t="s">
        <v>678</v>
      </c>
      <c r="G29" s="507" t="s">
        <v>679</v>
      </c>
      <c r="H29" s="507" t="s">
        <v>680</v>
      </c>
      <c r="I29" s="507" t="s">
        <v>681</v>
      </c>
      <c r="J29" s="507" t="s">
        <v>682</v>
      </c>
      <c r="K29" s="506" t="s">
        <v>683</v>
      </c>
      <c r="L29" s="506" t="s">
        <v>684</v>
      </c>
      <c r="M29" s="506" t="s">
        <v>685</v>
      </c>
      <c r="N29" s="506" t="s">
        <v>686</v>
      </c>
      <c r="O29" s="508" t="s">
        <v>687</v>
      </c>
      <c r="P29" s="588"/>
      <c r="Q29" s="588"/>
      <c r="R29" s="587"/>
      <c r="S29" s="35"/>
    </row>
    <row r="30" spans="1:22" s="2" customFormat="1" ht="27.95" customHeight="1">
      <c r="A30" s="7"/>
      <c r="B30" s="537" t="s">
        <v>689</v>
      </c>
      <c r="C30" s="537"/>
      <c r="D30" s="428"/>
      <c r="E30" s="430"/>
      <c r="F30" s="430"/>
      <c r="G30" s="430"/>
      <c r="H30" s="430"/>
      <c r="I30" s="430"/>
      <c r="J30" s="428"/>
      <c r="K30" s="428"/>
      <c r="L30" s="428"/>
      <c r="M30" s="428"/>
      <c r="N30" s="428"/>
      <c r="O30" s="428"/>
      <c r="P30" s="428"/>
      <c r="Q30" s="428"/>
      <c r="R30" s="41">
        <f t="shared" ref="R30:R36" si="0">IF(AND(D30="",E30="",F30="",G30="",H30="",I30="",J30="",K30="",L30="",M30="",O30="",P30="",Q30=""),0,SUM(D30:Q30))</f>
        <v>0</v>
      </c>
      <c r="V30" s="2" t="s">
        <v>257</v>
      </c>
    </row>
    <row r="31" spans="1:22" s="2" customFormat="1" ht="48" customHeight="1">
      <c r="A31" s="7"/>
      <c r="B31" s="537" t="s">
        <v>690</v>
      </c>
      <c r="C31" s="537"/>
      <c r="D31" s="428"/>
      <c r="E31" s="430"/>
      <c r="F31" s="430"/>
      <c r="G31" s="430"/>
      <c r="H31" s="430"/>
      <c r="I31" s="430"/>
      <c r="J31" s="428"/>
      <c r="K31" s="428"/>
      <c r="L31" s="428"/>
      <c r="M31" s="428"/>
      <c r="N31" s="428"/>
      <c r="O31" s="428"/>
      <c r="P31" s="428"/>
      <c r="Q31" s="428"/>
      <c r="R31" s="41">
        <f t="shared" si="0"/>
        <v>0</v>
      </c>
    </row>
    <row r="32" spans="1:22" s="2" customFormat="1" ht="63.75" customHeight="1">
      <c r="A32" s="7"/>
      <c r="B32" s="537" t="s">
        <v>691</v>
      </c>
      <c r="C32" s="537"/>
      <c r="D32" s="428"/>
      <c r="E32" s="430"/>
      <c r="F32" s="430"/>
      <c r="G32" s="430"/>
      <c r="H32" s="430"/>
      <c r="I32" s="430"/>
      <c r="J32" s="428"/>
      <c r="K32" s="428"/>
      <c r="L32" s="428"/>
      <c r="M32" s="428"/>
      <c r="N32" s="428"/>
      <c r="O32" s="428"/>
      <c r="P32" s="428"/>
      <c r="Q32" s="428"/>
      <c r="R32" s="41">
        <f t="shared" si="0"/>
        <v>0</v>
      </c>
    </row>
    <row r="33" spans="1:21" s="2" customFormat="1" ht="50.25" customHeight="1">
      <c r="A33" s="7"/>
      <c r="B33" s="537" t="s">
        <v>692</v>
      </c>
      <c r="C33" s="537"/>
      <c r="D33" s="428"/>
      <c r="E33" s="430"/>
      <c r="F33" s="430"/>
      <c r="G33" s="430"/>
      <c r="H33" s="430"/>
      <c r="I33" s="430"/>
      <c r="J33" s="428"/>
      <c r="K33" s="428"/>
      <c r="L33" s="428"/>
      <c r="M33" s="428"/>
      <c r="N33" s="428"/>
      <c r="O33" s="428"/>
      <c r="P33" s="428"/>
      <c r="Q33" s="428"/>
      <c r="R33" s="41">
        <f t="shared" si="0"/>
        <v>0</v>
      </c>
    </row>
    <row r="34" spans="1:21" s="2" customFormat="1" ht="49.5" customHeight="1">
      <c r="A34" s="7"/>
      <c r="B34" s="537" t="s">
        <v>693</v>
      </c>
      <c r="C34" s="537"/>
      <c r="D34" s="428"/>
      <c r="E34" s="430"/>
      <c r="F34" s="430"/>
      <c r="G34" s="430"/>
      <c r="H34" s="430"/>
      <c r="I34" s="430"/>
      <c r="J34" s="428"/>
      <c r="K34" s="428"/>
      <c r="L34" s="428"/>
      <c r="M34" s="428"/>
      <c r="N34" s="428"/>
      <c r="O34" s="428"/>
      <c r="P34" s="428"/>
      <c r="Q34" s="428"/>
      <c r="R34" s="41">
        <f t="shared" si="0"/>
        <v>0</v>
      </c>
    </row>
    <row r="35" spans="1:21" s="2" customFormat="1" ht="60.75" customHeight="1">
      <c r="A35" s="7"/>
      <c r="B35" s="542" t="s">
        <v>694</v>
      </c>
      <c r="C35" s="542"/>
      <c r="D35" s="431"/>
      <c r="E35" s="432"/>
      <c r="F35" s="432"/>
      <c r="G35" s="432"/>
      <c r="H35" s="432"/>
      <c r="I35" s="432"/>
      <c r="J35" s="431"/>
      <c r="K35" s="431"/>
      <c r="L35" s="431"/>
      <c r="M35" s="431"/>
      <c r="N35" s="431"/>
      <c r="O35" s="431"/>
      <c r="P35" s="431"/>
      <c r="Q35" s="431"/>
      <c r="R35" s="437">
        <f t="shared" si="0"/>
        <v>0</v>
      </c>
    </row>
    <row r="36" spans="1:21" s="2" customFormat="1" ht="59.25" customHeight="1">
      <c r="A36" s="7"/>
      <c r="B36" s="542" t="s">
        <v>695</v>
      </c>
      <c r="C36" s="542"/>
      <c r="D36" s="431"/>
      <c r="E36" s="432"/>
      <c r="F36" s="432"/>
      <c r="G36" s="432"/>
      <c r="H36" s="432"/>
      <c r="I36" s="432"/>
      <c r="J36" s="431"/>
      <c r="K36" s="431"/>
      <c r="L36" s="431"/>
      <c r="M36" s="431"/>
      <c r="N36" s="431"/>
      <c r="O36" s="431"/>
      <c r="P36" s="431"/>
      <c r="Q36" s="431"/>
      <c r="R36" s="437">
        <f t="shared" si="0"/>
        <v>0</v>
      </c>
    </row>
    <row r="37" spans="1:21" s="2" customFormat="1" ht="22.5" customHeight="1">
      <c r="B37" s="537" t="s">
        <v>696</v>
      </c>
      <c r="C37" s="537"/>
      <c r="D37" s="436">
        <f>IF(AND(D30="",D32=""),0,SUM(D30,D32))</f>
        <v>0</v>
      </c>
      <c r="E37" s="436">
        <f t="shared" ref="E37:O37" si="1">IF(AND(E30="",E32=""),0,SUM(E30,E32))</f>
        <v>0</v>
      </c>
      <c r="F37" s="436">
        <f t="shared" si="1"/>
        <v>0</v>
      </c>
      <c r="G37" s="436">
        <f t="shared" si="1"/>
        <v>0</v>
      </c>
      <c r="H37" s="436">
        <f t="shared" si="1"/>
        <v>0</v>
      </c>
      <c r="I37" s="436">
        <f t="shared" si="1"/>
        <v>0</v>
      </c>
      <c r="J37" s="436">
        <f t="shared" si="1"/>
        <v>0</v>
      </c>
      <c r="K37" s="436">
        <f t="shared" si="1"/>
        <v>0</v>
      </c>
      <c r="L37" s="436">
        <f>IF(AND(L30="",L32=""),0,SUM(L30,L32))</f>
        <v>0</v>
      </c>
      <c r="M37" s="436">
        <f t="shared" si="1"/>
        <v>0</v>
      </c>
      <c r="N37" s="436">
        <f t="shared" ref="N37" si="2">IF(AND(N30="",N32=""),0,SUM(N30,N32))</f>
        <v>0</v>
      </c>
      <c r="O37" s="436">
        <f t="shared" si="1"/>
        <v>0</v>
      </c>
      <c r="P37" s="436">
        <f>IF(AND(P30="",P32=""),0,SUM(P30,P32))</f>
        <v>0</v>
      </c>
      <c r="Q37" s="436">
        <f>IF(AND(Q30="",Q32=""),0,SUM(Q30,Q32))</f>
        <v>0</v>
      </c>
      <c r="R37" s="41">
        <f>IF(AND(D37="",E37="",F37="",G37="",H37="",I37="",J37="",K37="",M37="",N37="",O37="",P37="",Q37=""),0,SUM(D37:Q37))</f>
        <v>0</v>
      </c>
    </row>
    <row r="38" spans="1:21" s="2" customFormat="1" ht="18.75" customHeight="1">
      <c r="B38" s="538" t="s">
        <v>697</v>
      </c>
      <c r="C38" s="539"/>
      <c r="D38" s="436">
        <f>IF(AND(D30="",D32="",D34=""),0,SUM(D30,D32,D34))</f>
        <v>0</v>
      </c>
      <c r="E38" s="436">
        <f t="shared" ref="E38:Q38" si="3">IF(AND(E30="",E32="",E34=""),0,SUM(E30,E32,E34))</f>
        <v>0</v>
      </c>
      <c r="F38" s="436">
        <f t="shared" si="3"/>
        <v>0</v>
      </c>
      <c r="G38" s="436">
        <f t="shared" si="3"/>
        <v>0</v>
      </c>
      <c r="H38" s="436">
        <f t="shared" si="3"/>
        <v>0</v>
      </c>
      <c r="I38" s="436">
        <f t="shared" si="3"/>
        <v>0</v>
      </c>
      <c r="J38" s="436">
        <f t="shared" si="3"/>
        <v>0</v>
      </c>
      <c r="K38" s="436">
        <f t="shared" si="3"/>
        <v>0</v>
      </c>
      <c r="L38" s="436">
        <f>IF(AND(L30="",L32="",L34=""),0,SUM(L30,L32,L34))</f>
        <v>0</v>
      </c>
      <c r="M38" s="436">
        <f t="shared" si="3"/>
        <v>0</v>
      </c>
      <c r="N38" s="436">
        <f t="shared" ref="N38" si="4">IF(AND(N30="",N32="",N34=""),0,SUM(N30,N32,N34))</f>
        <v>0</v>
      </c>
      <c r="O38" s="436">
        <f t="shared" si="3"/>
        <v>0</v>
      </c>
      <c r="P38" s="436">
        <f t="shared" si="3"/>
        <v>0</v>
      </c>
      <c r="Q38" s="436">
        <f t="shared" si="3"/>
        <v>0</v>
      </c>
      <c r="R38" s="41">
        <f>IF(AND(D38="",E38="",F38="",G38="",H38="",I38="",J38="",K38="",M38="",N38="",O38="",P38="",Q38=""),0,SUM(D38:Q38))</f>
        <v>0</v>
      </c>
    </row>
    <row r="39" spans="1:21" s="2" customFormat="1" ht="33.75" customHeight="1">
      <c r="B39" s="537" t="s">
        <v>698</v>
      </c>
      <c r="C39" s="539"/>
      <c r="D39" s="41">
        <f>IF(AND(D30="",D32="",D34="",D35="",D36=""),0,SUM(D30,D32,D34,D35,D36))</f>
        <v>0</v>
      </c>
      <c r="E39" s="41">
        <f>IF(AND(E30="",E32="",E34="",E35="",E36=""),0,SUM(E30,E32,E34,E35,E36))</f>
        <v>0</v>
      </c>
      <c r="F39" s="41">
        <f t="shared" ref="F39:Q39" si="5">IF(AND(F30="",F32="",F34="",F35="",F36=""),0,SUM(F30,F32,F34,F35,F36))</f>
        <v>0</v>
      </c>
      <c r="G39" s="41">
        <f>IF(AND(G30="",G32="",G34="",G35="",G36=""),0,SUM(G30,G32,G34,G35,G36))</f>
        <v>0</v>
      </c>
      <c r="H39" s="41">
        <f t="shared" si="5"/>
        <v>0</v>
      </c>
      <c r="I39" s="41">
        <f t="shared" si="5"/>
        <v>0</v>
      </c>
      <c r="J39" s="41">
        <f t="shared" si="5"/>
        <v>0</v>
      </c>
      <c r="K39" s="41">
        <f t="shared" si="5"/>
        <v>0</v>
      </c>
      <c r="L39" s="41">
        <f t="shared" si="5"/>
        <v>0</v>
      </c>
      <c r="M39" s="41">
        <f t="shared" si="5"/>
        <v>0</v>
      </c>
      <c r="N39" s="41">
        <f t="shared" ref="N39" si="6">IF(AND(N30="",N32="",N34="",N35="",N36=""),0,SUM(N30,N32,N34,N35,N36))</f>
        <v>0</v>
      </c>
      <c r="O39" s="41">
        <f t="shared" si="5"/>
        <v>0</v>
      </c>
      <c r="P39" s="41">
        <f t="shared" si="5"/>
        <v>0</v>
      </c>
      <c r="Q39" s="41">
        <f t="shared" si="5"/>
        <v>0</v>
      </c>
      <c r="R39" s="41">
        <f>IF(AND(D39="",E39="",F39="",G39="",H39="",I39="",J39="",K39="",M39="",N39="",O39="",P39="",Q39=""),0,SUM(D39:Q39))</f>
        <v>0</v>
      </c>
    </row>
    <row r="40" spans="1:21" s="2" customFormat="1" ht="16.5" customHeight="1">
      <c r="C40" s="108"/>
      <c r="D40" s="108"/>
      <c r="E40" s="108"/>
      <c r="F40" s="108"/>
      <c r="G40" s="108"/>
      <c r="H40" s="108"/>
      <c r="I40" s="108"/>
      <c r="J40" s="108"/>
      <c r="K40" s="108"/>
      <c r="L40" s="108"/>
      <c r="M40" s="108"/>
      <c r="N40" s="108"/>
      <c r="O40" s="108"/>
      <c r="P40" s="108"/>
      <c r="Q40" s="108"/>
      <c r="R40" s="205"/>
    </row>
    <row r="41" spans="1:21" s="2" customFormat="1" ht="23.25" customHeight="1">
      <c r="B41" s="108"/>
      <c r="C41" s="108"/>
      <c r="D41" s="547" t="s">
        <v>699</v>
      </c>
      <c r="E41" s="548"/>
      <c r="F41" s="549"/>
      <c r="G41" s="108"/>
      <c r="H41" s="108"/>
      <c r="I41" s="108"/>
      <c r="J41" s="108"/>
      <c r="K41" s="108"/>
      <c r="L41" s="108"/>
      <c r="M41" s="108"/>
      <c r="N41" s="108"/>
      <c r="O41" s="108"/>
      <c r="P41" s="108"/>
      <c r="Q41" s="108"/>
      <c r="R41" s="205"/>
    </row>
    <row r="42" spans="1:21" s="2" customFormat="1" ht="24" customHeight="1">
      <c r="B42" s="540" t="s">
        <v>701</v>
      </c>
      <c r="C42" s="541"/>
      <c r="D42" s="543"/>
      <c r="E42" s="543"/>
      <c r="F42" s="543"/>
      <c r="G42" s="429"/>
      <c r="H42" s="429"/>
      <c r="I42" s="429"/>
      <c r="J42" s="429"/>
      <c r="K42" s="429"/>
      <c r="L42" s="429"/>
      <c r="M42" s="429"/>
      <c r="N42" s="429"/>
      <c r="O42" s="429"/>
      <c r="P42" s="429"/>
      <c r="Q42" s="429"/>
    </row>
    <row r="43" spans="1:21" s="2" customFormat="1" ht="33.75" customHeight="1">
      <c r="B43" s="540" t="s">
        <v>700</v>
      </c>
      <c r="C43" s="540"/>
      <c r="D43" s="543"/>
      <c r="E43" s="543"/>
      <c r="F43" s="543"/>
      <c r="G43" s="429"/>
      <c r="H43" s="429"/>
      <c r="I43" s="429"/>
      <c r="J43" s="429"/>
      <c r="K43" s="429"/>
      <c r="L43" s="429"/>
      <c r="M43" s="429"/>
      <c r="N43" s="429"/>
      <c r="O43" s="429"/>
      <c r="P43" s="429"/>
      <c r="Q43" s="429"/>
    </row>
    <row r="44" spans="1:21" s="2" customFormat="1" ht="23.25" customHeight="1" thickBot="1">
      <c r="B44" s="108"/>
      <c r="C44" s="108"/>
      <c r="D44" s="205"/>
      <c r="E44" s="205"/>
      <c r="F44" s="429"/>
      <c r="G44" s="429"/>
      <c r="H44" s="429"/>
      <c r="I44" s="429"/>
      <c r="J44" s="429"/>
      <c r="K44" s="429"/>
      <c r="L44" s="429"/>
      <c r="M44" s="429"/>
      <c r="N44" s="429"/>
      <c r="O44" s="429"/>
      <c r="P44" s="429"/>
      <c r="Q44" s="429"/>
    </row>
    <row r="45" spans="1:21" s="2" customFormat="1" ht="27.95" customHeight="1" thickBot="1">
      <c r="B45" s="554" t="s">
        <v>702</v>
      </c>
      <c r="C45" s="555"/>
      <c r="D45" s="544">
        <f>IF(AND(R37="",D42="",D43=""),0,SUM(R37,D42,D43))</f>
        <v>0</v>
      </c>
      <c r="E45" s="545"/>
      <c r="F45" s="546"/>
      <c r="G45" s="429"/>
      <c r="H45" s="429"/>
      <c r="I45" s="429"/>
      <c r="J45" s="429"/>
      <c r="K45" s="429"/>
      <c r="L45" s="429"/>
      <c r="M45" s="429"/>
      <c r="N45" s="429"/>
      <c r="O45" s="429"/>
      <c r="P45" s="429"/>
      <c r="Q45" s="429"/>
    </row>
    <row r="46" spans="1:21" s="2" customFormat="1" ht="10.5" customHeight="1">
      <c r="B46" s="108"/>
      <c r="C46" s="108"/>
      <c r="D46" s="108"/>
      <c r="E46" s="108"/>
      <c r="F46" s="108"/>
      <c r="G46" s="108"/>
      <c r="H46" s="108"/>
      <c r="I46" s="108"/>
      <c r="J46" s="108"/>
      <c r="K46" s="108"/>
      <c r="L46" s="108"/>
      <c r="M46" s="108"/>
      <c r="N46" s="108"/>
      <c r="O46" s="108"/>
      <c r="P46" s="108"/>
      <c r="Q46" s="108"/>
    </row>
    <row r="47" spans="1:21" s="2" customFormat="1" ht="26.25" customHeight="1">
      <c r="B47" s="556" t="s">
        <v>829</v>
      </c>
      <c r="C47" s="556"/>
      <c r="D47" s="556"/>
      <c r="E47" s="556"/>
      <c r="F47" s="556"/>
      <c r="G47" s="556"/>
      <c r="H47" s="556"/>
      <c r="I47" s="556"/>
      <c r="J47" s="556"/>
      <c r="K47" s="556"/>
      <c r="L47" s="556"/>
      <c r="M47" s="556"/>
      <c r="N47" s="556"/>
      <c r="O47" s="556"/>
      <c r="P47" s="556"/>
      <c r="Q47" s="556"/>
      <c r="R47" s="556"/>
    </row>
    <row r="48" spans="1:21" ht="19.5" customHeight="1">
      <c r="A48" s="2"/>
      <c r="B48" s="442" t="s">
        <v>703</v>
      </c>
      <c r="C48"/>
      <c r="D48"/>
      <c r="E48"/>
      <c r="F48"/>
      <c r="G48"/>
      <c r="H48"/>
      <c r="I48"/>
      <c r="J48"/>
      <c r="K48"/>
      <c r="L48"/>
      <c r="M48"/>
      <c r="N48"/>
      <c r="O48"/>
      <c r="P48"/>
      <c r="Q48"/>
      <c r="R48"/>
      <c r="S48" s="2"/>
      <c r="T48" s="2"/>
      <c r="U48" s="2"/>
    </row>
    <row r="49" spans="1:25" ht="19.5" customHeight="1">
      <c r="A49" s="2"/>
      <c r="B49" s="447" t="s">
        <v>704</v>
      </c>
      <c r="C49" s="446"/>
      <c r="D49" s="446"/>
      <c r="E49" s="446"/>
      <c r="F49" s="446"/>
      <c r="G49" s="446"/>
      <c r="H49" s="446"/>
      <c r="I49" s="446"/>
      <c r="J49" s="446"/>
      <c r="K49" s="446"/>
      <c r="L49" s="446"/>
      <c r="M49" s="446"/>
      <c r="N49" s="446"/>
      <c r="O49" s="446"/>
      <c r="P49" s="446"/>
      <c r="Q49" s="446"/>
      <c r="R49" s="446"/>
      <c r="S49" s="2"/>
      <c r="T49" s="2"/>
      <c r="U49" s="2"/>
    </row>
    <row r="50" spans="1:25" ht="216" customHeight="1">
      <c r="B50" s="447"/>
      <c r="C50" s="446"/>
      <c r="D50" s="446"/>
      <c r="E50" s="446"/>
      <c r="F50" s="446"/>
      <c r="G50" s="446"/>
      <c r="H50" s="446"/>
      <c r="I50" s="446"/>
      <c r="J50" s="446"/>
      <c r="K50" s="446"/>
      <c r="L50" s="446"/>
      <c r="M50" s="446"/>
      <c r="N50" s="446"/>
      <c r="O50" s="446"/>
      <c r="P50" s="446"/>
      <c r="Q50" s="446"/>
      <c r="R50" s="446"/>
      <c r="S50" s="2"/>
      <c r="T50" s="2"/>
      <c r="U50" s="2"/>
    </row>
    <row r="51" spans="1:25" ht="45" customHeight="1">
      <c r="B51" s="551" t="s">
        <v>705</v>
      </c>
      <c r="C51" s="551"/>
      <c r="D51" s="551"/>
      <c r="E51" s="551"/>
      <c r="F51" s="551"/>
      <c r="G51" s="551"/>
      <c r="H51" s="551"/>
      <c r="I51" s="551"/>
      <c r="J51" s="551"/>
      <c r="K51" s="551"/>
      <c r="L51" s="551"/>
      <c r="M51" s="551"/>
      <c r="N51" s="551"/>
      <c r="O51" s="551"/>
      <c r="P51" s="551"/>
      <c r="Q51" s="551"/>
      <c r="R51"/>
      <c r="S51" s="2"/>
      <c r="T51" s="2"/>
      <c r="U51" s="2"/>
    </row>
    <row r="52" spans="1:25" ht="19.5" customHeight="1">
      <c r="B52" s="550" t="s">
        <v>706</v>
      </c>
      <c r="C52" s="550"/>
      <c r="D52" s="550"/>
      <c r="E52" s="550"/>
      <c r="F52" s="550"/>
      <c r="G52" s="550"/>
      <c r="H52" s="550"/>
      <c r="I52" s="550"/>
      <c r="J52" s="550"/>
      <c r="K52" s="550"/>
      <c r="L52" s="550"/>
      <c r="M52" s="550"/>
      <c r="N52" s="550"/>
      <c r="O52" s="550"/>
      <c r="P52" s="550"/>
      <c r="Q52" s="550"/>
      <c r="R52" s="550"/>
      <c r="S52"/>
      <c r="T52"/>
      <c r="U52" s="2"/>
      <c r="Y52" s="6"/>
    </row>
    <row r="53" spans="1:25" ht="19.5" customHeight="1">
      <c r="B53" s="553" t="s">
        <v>414</v>
      </c>
      <c r="C53" s="553"/>
      <c r="D53" s="553"/>
      <c r="E53" s="445" t="s">
        <v>707</v>
      </c>
      <c r="F53" s="443"/>
      <c r="G53" s="443"/>
      <c r="H53" s="443"/>
      <c r="I53" s="443"/>
      <c r="J53" s="443"/>
      <c r="K53" s="443"/>
      <c r="L53" s="443"/>
      <c r="M53" s="443"/>
      <c r="N53" s="443"/>
      <c r="O53" s="443"/>
      <c r="P53" s="443"/>
      <c r="Q53" s="443"/>
      <c r="R53" s="443"/>
      <c r="S53"/>
      <c r="T53"/>
      <c r="U53" s="2"/>
    </row>
    <row r="54" spans="1:25" ht="19.5" customHeight="1">
      <c r="B54" s="552" t="s">
        <v>415</v>
      </c>
      <c r="C54" s="552"/>
      <c r="D54" s="552"/>
      <c r="E54" s="552"/>
      <c r="F54" s="552"/>
      <c r="G54" s="552"/>
      <c r="H54" s="552"/>
      <c r="I54" s="552"/>
      <c r="J54" s="552"/>
      <c r="K54" s="552"/>
      <c r="L54" s="552"/>
      <c r="M54" s="552"/>
      <c r="N54" s="552"/>
      <c r="O54" s="552"/>
      <c r="P54" s="552"/>
      <c r="Q54" s="552"/>
      <c r="R54" s="552"/>
      <c r="S54" s="444"/>
      <c r="T54" s="444"/>
      <c r="U54" s="102"/>
    </row>
    <row r="55" spans="1:25" ht="77.25" customHeight="1">
      <c r="B55" s="551" t="s">
        <v>708</v>
      </c>
      <c r="C55" s="551"/>
      <c r="D55" s="551"/>
      <c r="E55" s="551"/>
      <c r="F55" s="551"/>
      <c r="G55" s="551"/>
      <c r="H55" s="551"/>
      <c r="I55" s="551"/>
      <c r="J55" s="551"/>
      <c r="K55" s="551"/>
      <c r="L55" s="551"/>
      <c r="M55" s="551"/>
      <c r="N55" s="551"/>
      <c r="O55" s="551"/>
      <c r="P55" s="551"/>
      <c r="Q55" s="551"/>
      <c r="R55" s="551"/>
      <c r="S55"/>
      <c r="T55"/>
      <c r="U55"/>
    </row>
    <row r="56" spans="1:25" ht="19.5" customHeight="1">
      <c r="B56" s="133"/>
      <c r="C56" s="133"/>
      <c r="D56" s="133"/>
      <c r="E56" s="133"/>
      <c r="F56" s="133"/>
      <c r="G56" s="133"/>
      <c r="H56" s="133"/>
      <c r="I56" s="133"/>
      <c r="J56" s="133"/>
      <c r="K56" s="133"/>
      <c r="L56" s="133"/>
      <c r="M56" s="133"/>
      <c r="N56" s="133"/>
      <c r="O56" s="133"/>
      <c r="P56" s="133"/>
      <c r="Q56" s="133"/>
      <c r="R56" s="133"/>
    </row>
    <row r="57" spans="1:25" ht="19.5" customHeight="1">
      <c r="B57" s="133"/>
      <c r="C57" s="133"/>
      <c r="D57" s="133"/>
      <c r="E57" s="133"/>
      <c r="F57" s="133"/>
      <c r="G57" s="133"/>
      <c r="H57" s="133"/>
      <c r="I57" s="133"/>
      <c r="J57" s="133"/>
      <c r="K57" s="133"/>
      <c r="L57" s="133"/>
      <c r="M57" s="133"/>
      <c r="N57" s="133"/>
      <c r="O57" s="133"/>
      <c r="P57" s="133"/>
      <c r="Q57" s="133"/>
      <c r="R57" s="133"/>
    </row>
    <row r="58" spans="1:25" ht="19.5" customHeight="1">
      <c r="B58" s="133"/>
      <c r="C58" s="133"/>
      <c r="D58" s="133"/>
      <c r="E58" s="133"/>
      <c r="F58" s="133"/>
      <c r="G58" s="133"/>
      <c r="H58" s="133"/>
      <c r="I58" s="133"/>
      <c r="J58" s="133"/>
      <c r="K58" s="133"/>
      <c r="L58" s="133"/>
      <c r="M58" s="133"/>
      <c r="N58" s="133"/>
      <c r="O58" s="133"/>
      <c r="P58" s="133"/>
      <c r="Q58" s="133"/>
      <c r="R58" s="133"/>
    </row>
    <row r="59" spans="1:25" ht="19.5" customHeight="1">
      <c r="B59" s="133"/>
      <c r="C59" s="133"/>
      <c r="D59" s="133"/>
      <c r="E59" s="133"/>
      <c r="F59" s="133"/>
      <c r="G59" s="133"/>
      <c r="H59" s="133"/>
      <c r="I59" s="133"/>
      <c r="J59" s="133"/>
      <c r="K59" s="133"/>
      <c r="L59" s="133"/>
      <c r="M59" s="133"/>
      <c r="N59" s="133"/>
      <c r="O59" s="133"/>
      <c r="P59" s="133"/>
      <c r="Q59" s="133"/>
      <c r="R59" s="133"/>
    </row>
    <row r="60" spans="1:25" ht="19.5" customHeight="1">
      <c r="B60" s="133"/>
      <c r="C60" s="133"/>
      <c r="D60" s="133"/>
      <c r="E60" s="133"/>
      <c r="F60" s="133"/>
      <c r="G60" s="133"/>
      <c r="H60" s="133"/>
      <c r="I60" s="133"/>
      <c r="J60" s="133"/>
      <c r="K60" s="133"/>
      <c r="L60" s="133"/>
      <c r="M60" s="133"/>
      <c r="N60" s="133"/>
      <c r="O60" s="133"/>
      <c r="P60" s="133"/>
      <c r="Q60" s="133"/>
      <c r="R60" s="133"/>
    </row>
    <row r="61" spans="1:25" ht="42.75" customHeight="1">
      <c r="B61" s="133"/>
      <c r="C61" s="133"/>
      <c r="D61" s="133"/>
      <c r="E61" s="133"/>
      <c r="F61" s="133"/>
      <c r="G61" s="133"/>
      <c r="H61" s="133"/>
      <c r="I61" s="133"/>
      <c r="J61" s="133"/>
      <c r="K61" s="133"/>
      <c r="L61" s="133"/>
      <c r="M61" s="133"/>
      <c r="N61" s="133"/>
      <c r="O61" s="133"/>
      <c r="P61" s="133"/>
      <c r="Q61" s="133"/>
      <c r="R61" s="133"/>
    </row>
  </sheetData>
  <sheetProtection algorithmName="SHA-512" hashValue="ZNjnBvLlAwpRLmimbRtoeXsaK3mw/+7PXAOnFhLd2DHQFLrZEKNlP3mVyRp9jIw44jWuPakIKdARA3MAFvpQmg==" saltValue="Ezrcmo5cyfbTM8p+UPxSPg==" spinCount="100000" sheet="1" objects="1" scenarios="1" selectLockedCells="1"/>
  <dataConsolidate/>
  <customSheetViews>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46">
    <mergeCell ref="B26:R26"/>
    <mergeCell ref="R27:R29"/>
    <mergeCell ref="B30:C30"/>
    <mergeCell ref="B31:C31"/>
    <mergeCell ref="B32:C32"/>
    <mergeCell ref="P27:P29"/>
    <mergeCell ref="Q27:Q29"/>
    <mergeCell ref="D27:O27"/>
    <mergeCell ref="B27:C29"/>
    <mergeCell ref="D28:M28"/>
    <mergeCell ref="N28:O28"/>
    <mergeCell ref="K6:R6"/>
    <mergeCell ref="C12:F12"/>
    <mergeCell ref="C6:F6"/>
    <mergeCell ref="I24:R24"/>
    <mergeCell ref="I21:R21"/>
    <mergeCell ref="B20:H20"/>
    <mergeCell ref="B21:H21"/>
    <mergeCell ref="C8:R8"/>
    <mergeCell ref="C10:R10"/>
    <mergeCell ref="O12:R12"/>
    <mergeCell ref="O14:R14"/>
    <mergeCell ref="O16:R16"/>
    <mergeCell ref="I23:R23"/>
    <mergeCell ref="B23:H23"/>
    <mergeCell ref="B24:H24"/>
    <mergeCell ref="B55:R55"/>
    <mergeCell ref="B54:R54"/>
    <mergeCell ref="B53:D53"/>
    <mergeCell ref="B51:Q51"/>
    <mergeCell ref="B45:C45"/>
    <mergeCell ref="B47:R47"/>
    <mergeCell ref="D43:F43"/>
    <mergeCell ref="D45:F45"/>
    <mergeCell ref="D41:F41"/>
    <mergeCell ref="D42:F42"/>
    <mergeCell ref="B52:R52"/>
    <mergeCell ref="B37:C37"/>
    <mergeCell ref="B38:C38"/>
    <mergeCell ref="B39:C39"/>
    <mergeCell ref="B33:C33"/>
    <mergeCell ref="B43:C43"/>
    <mergeCell ref="B42:C42"/>
    <mergeCell ref="B34:C34"/>
    <mergeCell ref="B35:C35"/>
    <mergeCell ref="B36:C36"/>
  </mergeCells>
  <phoneticPr fontId="41" type="noConversion"/>
  <conditionalFormatting sqref="C6 C12 O12 B24 D30:Q30 D42:D43">
    <cfRule type="expression" dxfId="252" priority="9">
      <formula>LEN(TRIM(B6))=0</formula>
    </cfRule>
  </conditionalFormatting>
  <conditionalFormatting sqref="D31:Q31">
    <cfRule type="expression" dxfId="251" priority="7">
      <formula>LEN(TRIM(D31))=0</formula>
    </cfRule>
  </conditionalFormatting>
  <conditionalFormatting sqref="D32:Q34">
    <cfRule type="expression" dxfId="250" priority="6">
      <formula>LEN(TRIM(D32))=0</formula>
    </cfRule>
  </conditionalFormatting>
  <conditionalFormatting sqref="C8">
    <cfRule type="expression" dxfId="249" priority="3">
      <formula>LEN(TRIM(C8))=0</formula>
    </cfRule>
  </conditionalFormatting>
  <conditionalFormatting sqref="C10">
    <cfRule type="expression" dxfId="248" priority="2">
      <formula>LEN(TRIM(C10))=0</formula>
    </cfRule>
  </conditionalFormatting>
  <conditionalFormatting sqref="B21">
    <cfRule type="expression" dxfId="247" priority="1">
      <formula>LEN(TRIM(B21))=0</formula>
    </cfRule>
  </conditionalFormatting>
  <dataValidations xWindow="315" yWindow="383" count="13">
    <dataValidation allowBlank="1" showInputMessage="1" showErrorMessage="1" errorTitle="Eingabefehler" sqref="O16" xr:uid="{00000000-0002-0000-0000-000000000000}"/>
    <dataValidation type="date" allowBlank="1" showInputMessage="1" showErrorMessage="1" errorTitle="Eingabefehler" error="Erstelldatum: dd.mm.jjjj" sqref="D16" xr:uid="{00000000-0002-0000-0000-000001000000}">
      <formula1>41275</formula1>
      <formula2>41791</formula2>
    </dataValidation>
    <dataValidation type="list" allowBlank="1" showInputMessage="1" showErrorMessage="1" errorTitle="Hinweis" error="Auswahl treffen über Dropdown-Liste." sqref="C6" xr:uid="{00000000-0002-0000-0000-000002000000}">
      <formula1>ZentrumRegNr</formula1>
    </dataValidation>
    <dataValidation type="date" errorStyle="information" allowBlank="1" showInputMessage="1" showErrorMessage="1" errorTitle="Kennzahlenjahr" error="Es können nur Kennzahlenjahre von 2012 bis 2014 eingetragen werden." sqref="I19:J19" xr:uid="{00000000-0002-0000-0000-000003000000}">
      <formula1>2010</formula1>
      <formula2>2012</formula2>
    </dataValidation>
    <dataValidation allowBlank="1" showInputMessage="1" showErrorMessage="1" errorTitle="Hinweis" error="Auswahl treffen über Dropdown-Liste." sqref="I18:R18 I21:R21" xr:uid="{00000000-0002-0000-0000-000004000000}"/>
    <dataValidation type="whole" allowBlank="1" showInputMessage="1" showErrorMessage="1" errorTitle="Eingabefehler" error="Ganze Zahl zwischen 0 und 5000 eingeben." sqref="R40:R41 D44" xr:uid="{00000000-0002-0000-0000-000005000000}">
      <formula1>0</formula1>
      <formula2>5000</formula2>
    </dataValidation>
    <dataValidation type="date" allowBlank="1" showErrorMessage="1" errorTitle="Input data error" error="Format: dd.mm.yyyy_x000a__x000a_Time period between 01.10.2022 - 31.01.2024." sqref="O12:R12" xr:uid="{00000000-0002-0000-0000-000006000000}">
      <formula1>44835</formula1>
      <formula2>45322</formula2>
    </dataValidation>
    <dataValidation type="textLength" allowBlank="1" showErrorMessage="1" errorTitle="Input data error" error="Text up to 100 characters." prompt="Name, Vorname" sqref="C12:F12" xr:uid="{00000000-0002-0000-0000-000007000000}">
      <formula1>0</formula1>
      <formula2>100</formula2>
    </dataValidation>
    <dataValidation type="date" allowBlank="1" showInputMessage="1" showErrorMessage="1" errorTitle="Eingabefehler" error="Format: dd.mm.jjjj_x000a__x000a_Zeitraum zwischen 01.09.2014 - 01.01.2016 angeben." sqref="M12:N12" xr:uid="{00000000-0002-0000-0000-000008000000}">
      <formula1>41883</formula1>
      <formula2>42370</formula2>
    </dataValidation>
    <dataValidation type="textLength" allowBlank="1" showInputMessage="1" showErrorMessage="1" errorTitle="Input data error" error="Text up to 100 characters." sqref="C10:R10 C8:R8" xr:uid="{00000000-0002-0000-0000-000009000000}">
      <formula1>0</formula1>
      <formula2>100</formula2>
    </dataValidation>
    <dataValidation type="list" allowBlank="1" showInputMessage="1" showErrorMessage="1" errorTitle="Input data error" error="Please make a selection via drop-down list." sqref="B21:H21" xr:uid="{00000000-0002-0000-0000-00000A000000}">
      <formula1>land</formula1>
    </dataValidation>
    <dataValidation type="list" showInputMessage="1" showErrorMessage="1" errorTitle="Input data error" error="Please make a selection via drop-down list." sqref="B24:H24" xr:uid="{00000000-0002-0000-0000-00000B000000}">
      <formula1>Tumordokumentation</formula1>
    </dataValidation>
    <dataValidation type="whole" allowBlank="1" showInputMessage="1" showErrorMessage="1" errorTitle="Input data error" error="Whole number between 0 and 5000. " sqref="D30:Q34 D42:F43 D35:R36" xr:uid="{00000000-0002-0000-0000-00000C000000}">
      <formula1>0</formula1>
      <formula2>5000</formula2>
    </dataValidation>
  </dataValidations>
  <hyperlinks>
    <hyperlink ref="B53:D53" r:id="rId3" display="               https://www.onkozert.de/organ/haut/" xr:uid="{00000000-0004-0000-0000-000000000000}"/>
    <hyperlink ref="B54:R54" r:id="rId4" display="               https://www.krebsgesellschaft.de/zertdokumente.html" xr:uid="{00000000-0004-0000-0000-000001000000}"/>
  </hyperlinks>
  <pageMargins left="0.23622047244094491" right="0.23622047244094491" top="0.74803149606299213" bottom="0.74803149606299213" header="0.31496062992125984" footer="0.31496062992125984"/>
  <pageSetup paperSize="9" scale="93" orientation="landscape" r:id="rId5"/>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2" manualBreakCount="2">
    <brk id="32" max="16383" man="1"/>
    <brk id="47" min="1" max="17" man="1"/>
  </rowBreaks>
  <drawing r:id="rId6"/>
  <legacy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D6"/>
  <sheetViews>
    <sheetView workbookViewId="0">
      <selection activeCell="B1" sqref="B1"/>
    </sheetView>
  </sheetViews>
  <sheetFormatPr baseColWidth="10" defaultColWidth="11.3984375" defaultRowHeight="14.25"/>
  <cols>
    <col min="1" max="1" width="25.3984375" customWidth="1"/>
    <col min="2" max="2" width="32.73046875" customWidth="1"/>
    <col min="3" max="3" width="44.73046875" customWidth="1"/>
    <col min="4" max="4" width="20.265625" customWidth="1"/>
    <col min="5" max="5" width="46.73046875" customWidth="1"/>
    <col min="6" max="6" width="38.265625" customWidth="1"/>
    <col min="7" max="7" width="42.86328125" customWidth="1"/>
    <col min="8" max="8" width="43.73046875" customWidth="1"/>
    <col min="9" max="9" width="36" customWidth="1"/>
    <col min="10" max="10" width="16.59765625" customWidth="1"/>
    <col min="11" max="11" width="24.1328125" customWidth="1"/>
    <col min="12" max="12" width="35" customWidth="1"/>
    <col min="13" max="13" width="28.1328125" customWidth="1"/>
    <col min="14" max="14" width="27.73046875" customWidth="1"/>
    <col min="15" max="15" width="30.1328125" customWidth="1"/>
    <col min="16" max="16" width="28.1328125" customWidth="1"/>
    <col min="17" max="17" width="29.73046875" customWidth="1"/>
    <col min="18" max="18" width="15.265625" customWidth="1"/>
    <col min="19" max="19" width="17.265625" customWidth="1"/>
  </cols>
  <sheetData>
    <row r="1" spans="1:4">
      <c r="A1" s="188" t="s">
        <v>271</v>
      </c>
      <c r="B1" s="185" t="str">
        <f>IF('Basic Data'!C12=0,"",'Basic Data'!C12)</f>
        <v/>
      </c>
    </row>
    <row r="2" spans="1:4">
      <c r="A2" s="188" t="s">
        <v>75</v>
      </c>
      <c r="B2" s="187" t="str">
        <f>IF('Basic Data'!O12=0,"",'Basic Data'!O12)</f>
        <v/>
      </c>
    </row>
    <row r="3" spans="1:4">
      <c r="A3" s="188" t="s">
        <v>354</v>
      </c>
      <c r="B3" s="187" t="str">
        <f>IF('Basic Data'!O14=0,"",'Basic Data'!O14)</f>
        <v>-----</v>
      </c>
    </row>
    <row r="5" spans="1:4">
      <c r="A5" s="423" t="s">
        <v>19</v>
      </c>
      <c r="B5" s="423" t="s">
        <v>22</v>
      </c>
      <c r="C5" s="423" t="s">
        <v>385</v>
      </c>
      <c r="D5" s="422" t="s">
        <v>376</v>
      </c>
    </row>
    <row r="6" spans="1:4">
      <c r="A6" s="424" t="str">
        <f>IF('Basic Data'!B21=0,"",'Basic Data'!B21)</f>
        <v/>
      </c>
      <c r="B6" s="424" t="str">
        <f>IF('Basic Data'!B24=0,"",'Basic Data'!B24)</f>
        <v/>
      </c>
      <c r="C6" s="424" t="e">
        <f>IF('Basic Data'!#REF!=0,"",'Basic Data'!#REF!)</f>
        <v>#REF!</v>
      </c>
      <c r="D6" s="424" t="str">
        <f>IF('Basic Data'!I24=0,"",'Basic Data'!I24)</f>
        <v>Not yet available</v>
      </c>
    </row>
  </sheetData>
  <customSheetViews>
    <customSheetView guid="{DAA0C1F4-4D8F-4BD8-91F9-40281B589772}" state="hidden">
      <selection activeCell="C26" sqref="C26"/>
      <pageMargins left="0.7" right="0.7" top="0.78740157499999996" bottom="0.78740157499999996" header="0.3" footer="0.3"/>
    </customSheetView>
    <customSheetView guid="{AD479C9E-06F7-4C03-8179-295428B49475}">
      <selection activeCell="E8" sqref="E8"/>
      <pageMargins left="0.7" right="0.7" top="0.78740157499999996" bottom="0.78740157499999996" header="0.3" footer="0.3"/>
    </customSheetView>
  </customSheetViews>
  <phoneticPr fontId="41"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5"/>
  <dimension ref="A1:P14"/>
  <sheetViews>
    <sheetView workbookViewId="0">
      <selection activeCell="I22" sqref="I22"/>
    </sheetView>
  </sheetViews>
  <sheetFormatPr baseColWidth="10" defaultColWidth="11.3984375" defaultRowHeight="14.25"/>
  <cols>
    <col min="1" max="1" width="40.59765625" customWidth="1"/>
    <col min="2" max="12" width="8.265625" customWidth="1"/>
    <col min="13" max="13" width="11.3984375" customWidth="1"/>
    <col min="14" max="14" width="13.265625" bestFit="1" customWidth="1"/>
    <col min="15" max="15" width="9.73046875" bestFit="1" customWidth="1"/>
    <col min="16" max="16" width="7.265625" bestFit="1" customWidth="1"/>
    <col min="17" max="26" width="11.3984375" customWidth="1"/>
    <col min="27" max="27" width="1.73046875" customWidth="1"/>
    <col min="28" max="30" width="8.73046875" customWidth="1"/>
    <col min="31" max="31" width="16.265625" customWidth="1"/>
  </cols>
  <sheetData>
    <row r="1" spans="1:16" ht="46.5">
      <c r="A1" s="464" t="s">
        <v>373</v>
      </c>
      <c r="B1" s="450" t="s">
        <v>437</v>
      </c>
      <c r="C1" s="450" t="s">
        <v>438</v>
      </c>
      <c r="D1" s="450" t="s">
        <v>439</v>
      </c>
      <c r="E1" s="450" t="s">
        <v>440</v>
      </c>
      <c r="F1" s="450" t="s">
        <v>441</v>
      </c>
      <c r="G1" s="450" t="s">
        <v>442</v>
      </c>
      <c r="H1" s="450" t="s">
        <v>443</v>
      </c>
      <c r="I1" s="450" t="s">
        <v>444</v>
      </c>
      <c r="J1" s="450" t="s">
        <v>445</v>
      </c>
      <c r="K1" s="450" t="s">
        <v>446</v>
      </c>
      <c r="L1" s="450" t="s">
        <v>400</v>
      </c>
      <c r="M1" s="450" t="s">
        <v>399</v>
      </c>
      <c r="N1" s="464" t="s">
        <v>417</v>
      </c>
      <c r="O1" s="464" t="s">
        <v>398</v>
      </c>
      <c r="P1" s="464" t="s">
        <v>16</v>
      </c>
    </row>
    <row r="2" spans="1:16">
      <c r="A2" s="449" t="s">
        <v>377</v>
      </c>
      <c r="B2" s="448" t="str">
        <f>IF('Basic Data'!D30="","",'Basic Data'!D30)</f>
        <v/>
      </c>
      <c r="C2" s="448" t="str">
        <f>IF('Basic Data'!E30="","",'Basic Data'!E30)</f>
        <v/>
      </c>
      <c r="D2" s="448" t="str">
        <f>IF('Basic Data'!F30="","",'Basic Data'!F30)</f>
        <v/>
      </c>
      <c r="E2" s="448" t="str">
        <f>IF('Basic Data'!G30="","",'Basic Data'!G30)</f>
        <v/>
      </c>
      <c r="F2" s="448" t="str">
        <f>IF('Basic Data'!H30="","",'Basic Data'!H30)</f>
        <v/>
      </c>
      <c r="G2" s="448" t="str">
        <f>IF('Basic Data'!I30="","",'Basic Data'!I30)</f>
        <v/>
      </c>
      <c r="H2" s="448" t="str">
        <f>IF('Basic Data'!J30="","",'Basic Data'!J30)</f>
        <v/>
      </c>
      <c r="I2" s="448" t="str">
        <f>IF('Basic Data'!K30="","",'Basic Data'!K30)</f>
        <v/>
      </c>
      <c r="J2" s="448" t="str">
        <f>IF('Basic Data'!L30="","",'Basic Data'!L30)</f>
        <v/>
      </c>
      <c r="K2" s="448" t="str">
        <f>IF('Basic Data'!M30="","",'Basic Data'!M30)</f>
        <v/>
      </c>
      <c r="L2" s="448" t="str">
        <f>IF('Basic Data'!N30="","",'Basic Data'!N30)</f>
        <v/>
      </c>
      <c r="M2" s="448" t="str">
        <f>IF('Basic Data'!O30="","",'Basic Data'!O30)</f>
        <v/>
      </c>
      <c r="N2" s="448" t="str">
        <f>IF('Basic Data'!P30="","",'Basic Data'!P30)</f>
        <v/>
      </c>
      <c r="O2" s="448" t="str">
        <f>IF('Basic Data'!Q30="","",'Basic Data'!Q30)</f>
        <v/>
      </c>
      <c r="P2" s="448">
        <f>IF('Basic Data'!R30="","",'Basic Data'!R30)</f>
        <v>0</v>
      </c>
    </row>
    <row r="3" spans="1:16">
      <c r="A3" s="449" t="s">
        <v>378</v>
      </c>
      <c r="B3" s="448" t="str">
        <f>IF('Basic Data'!D31="","",'Basic Data'!D31)</f>
        <v/>
      </c>
      <c r="C3" s="448" t="str">
        <f>IF('Basic Data'!E31="","",'Basic Data'!E31)</f>
        <v/>
      </c>
      <c r="D3" s="448" t="str">
        <f>IF('Basic Data'!F31="","",'Basic Data'!F31)</f>
        <v/>
      </c>
      <c r="E3" s="448" t="str">
        <f>IF('Basic Data'!G31="","",'Basic Data'!G31)</f>
        <v/>
      </c>
      <c r="F3" s="448" t="str">
        <f>IF('Basic Data'!H31="","",'Basic Data'!H31)</f>
        <v/>
      </c>
      <c r="G3" s="448" t="str">
        <f>IF('Basic Data'!I31="","",'Basic Data'!I31)</f>
        <v/>
      </c>
      <c r="H3" s="448" t="str">
        <f>IF('Basic Data'!J31="","",'Basic Data'!J31)</f>
        <v/>
      </c>
      <c r="I3" s="448" t="str">
        <f>IF('Basic Data'!K31="","",'Basic Data'!K31)</f>
        <v/>
      </c>
      <c r="J3" s="448" t="str">
        <f>IF('Basic Data'!L31="","",'Basic Data'!L31)</f>
        <v/>
      </c>
      <c r="K3" s="448" t="str">
        <f>IF('Basic Data'!M31="","",'Basic Data'!M31)</f>
        <v/>
      </c>
      <c r="L3" s="448" t="str">
        <f>IF('Basic Data'!N31="","",'Basic Data'!N31)</f>
        <v/>
      </c>
      <c r="M3" s="448" t="str">
        <f>IF('Basic Data'!O31="","",'Basic Data'!O31)</f>
        <v/>
      </c>
      <c r="N3" s="448" t="str">
        <f>IF('Basic Data'!P31="","",'Basic Data'!P31)</f>
        <v/>
      </c>
      <c r="O3" s="448" t="str">
        <f>IF('Basic Data'!Q31="","",'Basic Data'!Q31)</f>
        <v/>
      </c>
      <c r="P3" s="448">
        <f>IF('Basic Data'!R31="","",'Basic Data'!R31)</f>
        <v>0</v>
      </c>
    </row>
    <row r="4" spans="1:16" ht="23.25">
      <c r="A4" s="449" t="s">
        <v>379</v>
      </c>
      <c r="B4" s="448" t="str">
        <f>IF('Basic Data'!D32="","",'Basic Data'!D32)</f>
        <v/>
      </c>
      <c r="C4" s="448" t="str">
        <f>IF('Basic Data'!E32="","",'Basic Data'!E32)</f>
        <v/>
      </c>
      <c r="D4" s="448" t="str">
        <f>IF('Basic Data'!F32="","",'Basic Data'!F32)</f>
        <v/>
      </c>
      <c r="E4" s="448" t="str">
        <f>IF('Basic Data'!G32="","",'Basic Data'!G32)</f>
        <v/>
      </c>
      <c r="F4" s="448" t="str">
        <f>IF('Basic Data'!H32="","",'Basic Data'!H32)</f>
        <v/>
      </c>
      <c r="G4" s="448" t="str">
        <f>IF('Basic Data'!I32="","",'Basic Data'!I32)</f>
        <v/>
      </c>
      <c r="H4" s="448" t="str">
        <f>IF('Basic Data'!J32="","",'Basic Data'!J32)</f>
        <v/>
      </c>
      <c r="I4" s="448" t="str">
        <f>IF('Basic Data'!K32="","",'Basic Data'!K32)</f>
        <v/>
      </c>
      <c r="J4" s="448" t="str">
        <f>IF('Basic Data'!L32="","",'Basic Data'!L32)</f>
        <v/>
      </c>
      <c r="K4" s="448" t="str">
        <f>IF('Basic Data'!M32="","",'Basic Data'!M32)</f>
        <v/>
      </c>
      <c r="L4" s="448" t="str">
        <f>IF('Basic Data'!N32="","",'Basic Data'!N32)</f>
        <v/>
      </c>
      <c r="M4" s="448" t="str">
        <f>IF('Basic Data'!O32="","",'Basic Data'!O32)</f>
        <v/>
      </c>
      <c r="N4" s="448" t="str">
        <f>IF('Basic Data'!P32="","",'Basic Data'!P32)</f>
        <v/>
      </c>
      <c r="O4" s="448" t="str">
        <f>IF('Basic Data'!Q32="","",'Basic Data'!Q32)</f>
        <v/>
      </c>
      <c r="P4" s="448">
        <f>IF('Basic Data'!R32="","",'Basic Data'!R32)</f>
        <v>0</v>
      </c>
    </row>
    <row r="5" spans="1:16">
      <c r="A5" s="449" t="s">
        <v>380</v>
      </c>
      <c r="B5" s="448" t="str">
        <f>IF('Basic Data'!D33="","",'Basic Data'!D33)</f>
        <v/>
      </c>
      <c r="C5" s="448" t="str">
        <f>IF('Basic Data'!E33="","",'Basic Data'!E33)</f>
        <v/>
      </c>
      <c r="D5" s="448" t="str">
        <f>IF('Basic Data'!F33="","",'Basic Data'!F33)</f>
        <v/>
      </c>
      <c r="E5" s="448" t="str">
        <f>IF('Basic Data'!G33="","",'Basic Data'!G33)</f>
        <v/>
      </c>
      <c r="F5" s="448" t="str">
        <f>IF('Basic Data'!H33="","",'Basic Data'!H33)</f>
        <v/>
      </c>
      <c r="G5" s="448" t="str">
        <f>IF('Basic Data'!I33="","",'Basic Data'!I33)</f>
        <v/>
      </c>
      <c r="H5" s="448" t="str">
        <f>IF('Basic Data'!J33="","",'Basic Data'!J33)</f>
        <v/>
      </c>
      <c r="I5" s="448" t="str">
        <f>IF('Basic Data'!K33="","",'Basic Data'!K33)</f>
        <v/>
      </c>
      <c r="J5" s="448" t="str">
        <f>IF('Basic Data'!L33="","",'Basic Data'!L33)</f>
        <v/>
      </c>
      <c r="K5" s="448" t="str">
        <f>IF('Basic Data'!M33="","",'Basic Data'!M33)</f>
        <v/>
      </c>
      <c r="L5" s="448" t="str">
        <f>IF('Basic Data'!N33="","",'Basic Data'!N33)</f>
        <v/>
      </c>
      <c r="M5" s="448" t="str">
        <f>IF('Basic Data'!O33="","",'Basic Data'!O33)</f>
        <v/>
      </c>
      <c r="N5" s="448" t="str">
        <f>IF('Basic Data'!P33="","",'Basic Data'!P33)</f>
        <v/>
      </c>
      <c r="O5" s="448" t="str">
        <f>IF('Basic Data'!Q33="","",'Basic Data'!Q33)</f>
        <v/>
      </c>
      <c r="P5" s="448">
        <f>IF('Basic Data'!R33="","",'Basic Data'!R33)</f>
        <v>0</v>
      </c>
    </row>
    <row r="6" spans="1:16">
      <c r="A6" s="449" t="s">
        <v>381</v>
      </c>
      <c r="B6" s="448" t="str">
        <f>IF('Basic Data'!D34="","",'Basic Data'!D34)</f>
        <v/>
      </c>
      <c r="C6" s="448" t="str">
        <f>IF('Basic Data'!E34="","",'Basic Data'!E34)</f>
        <v/>
      </c>
      <c r="D6" s="448" t="str">
        <f>IF('Basic Data'!F34="","",'Basic Data'!F34)</f>
        <v/>
      </c>
      <c r="E6" s="448" t="str">
        <f>IF('Basic Data'!G34="","",'Basic Data'!G34)</f>
        <v/>
      </c>
      <c r="F6" s="448" t="str">
        <f>IF('Basic Data'!H34="","",'Basic Data'!H34)</f>
        <v/>
      </c>
      <c r="G6" s="448" t="str">
        <f>IF('Basic Data'!I34="","",'Basic Data'!I34)</f>
        <v/>
      </c>
      <c r="H6" s="448" t="str">
        <f>IF('Basic Data'!J34="","",'Basic Data'!J34)</f>
        <v/>
      </c>
      <c r="I6" s="448" t="str">
        <f>IF('Basic Data'!K34="","",'Basic Data'!K34)</f>
        <v/>
      </c>
      <c r="J6" s="448" t="str">
        <f>IF('Basic Data'!L34="","",'Basic Data'!L34)</f>
        <v/>
      </c>
      <c r="K6" s="448" t="str">
        <f>IF('Basic Data'!M34="","",'Basic Data'!M34)</f>
        <v/>
      </c>
      <c r="L6" s="448" t="str">
        <f>IF('Basic Data'!N34="","",'Basic Data'!N34)</f>
        <v/>
      </c>
      <c r="M6" s="448" t="str">
        <f>IF('Basic Data'!O34="","",'Basic Data'!O34)</f>
        <v/>
      </c>
      <c r="N6" s="448" t="str">
        <f>IF('Basic Data'!P34="","",'Basic Data'!P34)</f>
        <v/>
      </c>
      <c r="O6" s="448" t="str">
        <f>IF('Basic Data'!Q34="","",'Basic Data'!Q34)</f>
        <v/>
      </c>
      <c r="P6" s="448">
        <f>IF('Basic Data'!R34="","",'Basic Data'!R34)</f>
        <v>0</v>
      </c>
    </row>
    <row r="7" spans="1:16">
      <c r="A7" s="449" t="s">
        <v>382</v>
      </c>
      <c r="B7" s="448" t="str">
        <f>IF('Basic Data'!D35="","",'Basic Data'!D35)</f>
        <v/>
      </c>
      <c r="C7" s="448" t="str">
        <f>IF('Basic Data'!E35="","",'Basic Data'!E35)</f>
        <v/>
      </c>
      <c r="D7" s="448" t="str">
        <f>IF('Basic Data'!F35="","",'Basic Data'!F35)</f>
        <v/>
      </c>
      <c r="E7" s="448" t="str">
        <f>IF('Basic Data'!G35="","",'Basic Data'!G35)</f>
        <v/>
      </c>
      <c r="F7" s="448" t="str">
        <f>IF('Basic Data'!H35="","",'Basic Data'!H35)</f>
        <v/>
      </c>
      <c r="G7" s="448" t="str">
        <f>IF('Basic Data'!I35="","",'Basic Data'!I35)</f>
        <v/>
      </c>
      <c r="H7" s="448" t="str">
        <f>IF('Basic Data'!J35="","",'Basic Data'!J35)</f>
        <v/>
      </c>
      <c r="I7" s="448" t="str">
        <f>IF('Basic Data'!K35="","",'Basic Data'!K35)</f>
        <v/>
      </c>
      <c r="J7" s="448" t="str">
        <f>IF('Basic Data'!L35="","",'Basic Data'!L35)</f>
        <v/>
      </c>
      <c r="K7" s="448" t="str">
        <f>IF('Basic Data'!M35="","",'Basic Data'!M35)</f>
        <v/>
      </c>
      <c r="L7" s="448" t="str">
        <f>IF('Basic Data'!N35="","",'Basic Data'!N35)</f>
        <v/>
      </c>
      <c r="M7" s="448" t="str">
        <f>IF('Basic Data'!O35="","",'Basic Data'!O35)</f>
        <v/>
      </c>
      <c r="N7" s="448" t="str">
        <f>IF('Basic Data'!P35="","",'Basic Data'!P35)</f>
        <v/>
      </c>
      <c r="O7" s="448" t="str">
        <f>IF('Basic Data'!Q35="","",'Basic Data'!Q35)</f>
        <v/>
      </c>
      <c r="P7" s="448">
        <f>IF('Basic Data'!R35="","",'Basic Data'!R35)</f>
        <v>0</v>
      </c>
    </row>
    <row r="8" spans="1:16">
      <c r="A8" s="449" t="s">
        <v>383</v>
      </c>
      <c r="B8" s="448" t="str">
        <f>IF('Basic Data'!D36="","",'Basic Data'!D36)</f>
        <v/>
      </c>
      <c r="C8" s="448" t="str">
        <f>IF('Basic Data'!E36="","",'Basic Data'!E36)</f>
        <v/>
      </c>
      <c r="D8" s="448" t="str">
        <f>IF('Basic Data'!F36="","",'Basic Data'!F36)</f>
        <v/>
      </c>
      <c r="E8" s="448" t="str">
        <f>IF('Basic Data'!G36="","",'Basic Data'!G36)</f>
        <v/>
      </c>
      <c r="F8" s="448" t="str">
        <f>IF('Basic Data'!H36="","",'Basic Data'!H36)</f>
        <v/>
      </c>
      <c r="G8" s="448" t="str">
        <f>IF('Basic Data'!I36="","",'Basic Data'!I36)</f>
        <v/>
      </c>
      <c r="H8" s="448" t="str">
        <f>IF('Basic Data'!J36="","",'Basic Data'!J36)</f>
        <v/>
      </c>
      <c r="I8" s="448" t="str">
        <f>IF('Basic Data'!K36="","",'Basic Data'!K36)</f>
        <v/>
      </c>
      <c r="J8" s="448" t="str">
        <f>IF('Basic Data'!L36="","",'Basic Data'!L36)</f>
        <v/>
      </c>
      <c r="K8" s="448" t="str">
        <f>IF('Basic Data'!M36="","",'Basic Data'!M36)</f>
        <v/>
      </c>
      <c r="L8" s="448" t="str">
        <f>IF('Basic Data'!N36="","",'Basic Data'!N36)</f>
        <v/>
      </c>
      <c r="M8" s="448" t="str">
        <f>IF('Basic Data'!O36="","",'Basic Data'!O36)</f>
        <v/>
      </c>
      <c r="N8" s="448" t="str">
        <f>IF('Basic Data'!P36="","",'Basic Data'!P36)</f>
        <v/>
      </c>
      <c r="O8" s="448" t="str">
        <f>IF('Basic Data'!Q36="","",'Basic Data'!Q36)</f>
        <v/>
      </c>
      <c r="P8" s="448">
        <f>IF('Basic Data'!R36="","",'Basic Data'!R36)</f>
        <v>0</v>
      </c>
    </row>
    <row r="9" spans="1:16">
      <c r="A9" s="451" t="s">
        <v>391</v>
      </c>
      <c r="B9" s="448">
        <f>IF('Basic Data'!D37="","",'Basic Data'!D37)</f>
        <v>0</v>
      </c>
      <c r="C9" s="448">
        <f>IF('Basic Data'!E37="","",'Basic Data'!E37)</f>
        <v>0</v>
      </c>
      <c r="D9" s="448">
        <f>IF('Basic Data'!F37="","",'Basic Data'!F37)</f>
        <v>0</v>
      </c>
      <c r="E9" s="448">
        <f>IF('Basic Data'!G37="","",'Basic Data'!G37)</f>
        <v>0</v>
      </c>
      <c r="F9" s="448">
        <f>IF('Basic Data'!H37="","",'Basic Data'!H37)</f>
        <v>0</v>
      </c>
      <c r="G9" s="448">
        <f>IF('Basic Data'!I37="","",'Basic Data'!I37)</f>
        <v>0</v>
      </c>
      <c r="H9" s="448">
        <f>IF('Basic Data'!J37="","",'Basic Data'!J37)</f>
        <v>0</v>
      </c>
      <c r="I9" s="448">
        <f>IF('Basic Data'!K37="","",'Basic Data'!K37)</f>
        <v>0</v>
      </c>
      <c r="J9" s="448">
        <f>IF('Basic Data'!L37="","",'Basic Data'!L37)</f>
        <v>0</v>
      </c>
      <c r="K9" s="448">
        <f>IF('Basic Data'!M37="","",'Basic Data'!M37)</f>
        <v>0</v>
      </c>
      <c r="L9" s="448">
        <f>IF('Basic Data'!N37="","",'Basic Data'!N37)</f>
        <v>0</v>
      </c>
      <c r="M9" s="448">
        <f>IF('Basic Data'!O37="","",'Basic Data'!O37)</f>
        <v>0</v>
      </c>
      <c r="N9" s="448">
        <f>IF('Basic Data'!P37="","",'Basic Data'!P37)</f>
        <v>0</v>
      </c>
      <c r="O9" s="448">
        <f>IF('Basic Data'!Q37="","",'Basic Data'!Q37)</f>
        <v>0</v>
      </c>
      <c r="P9" s="448">
        <f>IF('Basic Data'!R37="","",'Basic Data'!R37)</f>
        <v>0</v>
      </c>
    </row>
    <row r="10" spans="1:16">
      <c r="A10" s="451" t="s">
        <v>374</v>
      </c>
      <c r="B10" s="448">
        <f>IF('Basic Data'!D38="","",'Basic Data'!D38)</f>
        <v>0</v>
      </c>
      <c r="C10" s="448">
        <f>IF('Basic Data'!E38="","",'Basic Data'!E38)</f>
        <v>0</v>
      </c>
      <c r="D10" s="448">
        <f>IF('Basic Data'!F38="","",'Basic Data'!F38)</f>
        <v>0</v>
      </c>
      <c r="E10" s="448">
        <f>IF('Basic Data'!G38="","",'Basic Data'!G38)</f>
        <v>0</v>
      </c>
      <c r="F10" s="448">
        <f>IF('Basic Data'!H38="","",'Basic Data'!H38)</f>
        <v>0</v>
      </c>
      <c r="G10" s="448">
        <f>IF('Basic Data'!I38="","",'Basic Data'!I38)</f>
        <v>0</v>
      </c>
      <c r="H10" s="448">
        <f>IF('Basic Data'!J38="","",'Basic Data'!J38)</f>
        <v>0</v>
      </c>
      <c r="I10" s="448">
        <f>IF('Basic Data'!K38="","",'Basic Data'!K38)</f>
        <v>0</v>
      </c>
      <c r="J10" s="448">
        <f>IF('Basic Data'!L38="","",'Basic Data'!L38)</f>
        <v>0</v>
      </c>
      <c r="K10" s="448">
        <f>IF('Basic Data'!M38="","",'Basic Data'!M38)</f>
        <v>0</v>
      </c>
      <c r="L10" s="448">
        <f>IF('Basic Data'!N38="","",'Basic Data'!N38)</f>
        <v>0</v>
      </c>
      <c r="M10" s="448">
        <f>IF('Basic Data'!O38="","",'Basic Data'!O38)</f>
        <v>0</v>
      </c>
      <c r="N10" s="448">
        <f>IF('Basic Data'!P38="","",'Basic Data'!P38)</f>
        <v>0</v>
      </c>
      <c r="O10" s="448">
        <f>IF('Basic Data'!Q38="","",'Basic Data'!Q38)</f>
        <v>0</v>
      </c>
      <c r="P10" s="448">
        <f>IF('Basic Data'!R38="","",'Basic Data'!R38)</f>
        <v>0</v>
      </c>
    </row>
    <row r="11" spans="1:16" ht="23.25">
      <c r="A11" s="451" t="s">
        <v>392</v>
      </c>
      <c r="B11" s="448">
        <f>IF('Basic Data'!D39="","",'Basic Data'!D39)</f>
        <v>0</v>
      </c>
      <c r="C11" s="448">
        <f>IF('Basic Data'!E39="","",'Basic Data'!E39)</f>
        <v>0</v>
      </c>
      <c r="D11" s="448">
        <f>IF('Basic Data'!F39="","",'Basic Data'!F39)</f>
        <v>0</v>
      </c>
      <c r="E11" s="448">
        <f>IF('Basic Data'!G39="","",'Basic Data'!G39)</f>
        <v>0</v>
      </c>
      <c r="F11" s="448">
        <f>IF('Basic Data'!H39="","",'Basic Data'!H39)</f>
        <v>0</v>
      </c>
      <c r="G11" s="448">
        <f>IF('Basic Data'!I39="","",'Basic Data'!I39)</f>
        <v>0</v>
      </c>
      <c r="H11" s="448">
        <f>IF('Basic Data'!J39="","",'Basic Data'!J39)</f>
        <v>0</v>
      </c>
      <c r="I11" s="448">
        <f>IF('Basic Data'!K39="","",'Basic Data'!K39)</f>
        <v>0</v>
      </c>
      <c r="J11" s="448">
        <f>IF('Basic Data'!L39="","",'Basic Data'!L39)</f>
        <v>0</v>
      </c>
      <c r="K11" s="448">
        <f>IF('Basic Data'!M39="","",'Basic Data'!M39)</f>
        <v>0</v>
      </c>
      <c r="L11" s="448">
        <f>IF('Basic Data'!N39="","",'Basic Data'!N39)</f>
        <v>0</v>
      </c>
      <c r="M11" s="448">
        <f>IF('Basic Data'!O39="","",'Basic Data'!O39)</f>
        <v>0</v>
      </c>
      <c r="N11" s="448">
        <f>IF('Basic Data'!P39="","",'Basic Data'!P39)</f>
        <v>0</v>
      </c>
      <c r="O11" s="448">
        <f>IF('Basic Data'!Q39="","",'Basic Data'!Q39)</f>
        <v>0</v>
      </c>
      <c r="P11" s="448">
        <f>IF('Basic Data'!R39="","",'Basic Data'!R39)</f>
        <v>0</v>
      </c>
    </row>
    <row r="12" spans="1:16">
      <c r="A12" s="541" t="s">
        <v>155</v>
      </c>
      <c r="B12" s="599"/>
      <c r="C12" s="599"/>
      <c r="D12" s="599"/>
      <c r="E12" s="599"/>
      <c r="F12" s="599"/>
      <c r="G12" s="599"/>
      <c r="H12" s="599"/>
      <c r="I12" s="599"/>
      <c r="J12" s="599"/>
      <c r="K12" s="599"/>
      <c r="L12" s="599"/>
      <c r="M12" s="599"/>
      <c r="N12" s="599"/>
      <c r="O12" s="600"/>
      <c r="P12" s="448" t="str">
        <f>IF('Basic Data'!D42="","",'Basic Data'!D42)</f>
        <v/>
      </c>
    </row>
    <row r="13" spans="1:16">
      <c r="A13" s="541" t="s">
        <v>370</v>
      </c>
      <c r="B13" s="599"/>
      <c r="C13" s="599"/>
      <c r="D13" s="599"/>
      <c r="E13" s="599"/>
      <c r="F13" s="599"/>
      <c r="G13" s="599"/>
      <c r="H13" s="599"/>
      <c r="I13" s="599"/>
      <c r="J13" s="599"/>
      <c r="K13" s="599"/>
      <c r="L13" s="599"/>
      <c r="M13" s="599"/>
      <c r="N13" s="599"/>
      <c r="O13" s="600"/>
      <c r="P13" s="448" t="str">
        <f>IF('Basic Data'!D43="","",'Basic Data'!D43)</f>
        <v/>
      </c>
    </row>
    <row r="14" spans="1:16">
      <c r="A14" s="541" t="s">
        <v>132</v>
      </c>
      <c r="B14" s="599"/>
      <c r="C14" s="599"/>
      <c r="D14" s="599"/>
      <c r="E14" s="599"/>
      <c r="F14" s="599"/>
      <c r="G14" s="599"/>
      <c r="H14" s="599"/>
      <c r="I14" s="599"/>
      <c r="J14" s="599"/>
      <c r="K14" s="599"/>
      <c r="L14" s="599"/>
      <c r="M14" s="599"/>
      <c r="N14" s="599"/>
      <c r="O14" s="600"/>
      <c r="P14" s="448">
        <f>IF('Basic Data'!D45="","",'Basic Data'!D45)</f>
        <v>0</v>
      </c>
    </row>
  </sheetData>
  <mergeCells count="3">
    <mergeCell ref="A12:O12"/>
    <mergeCell ref="A13:O13"/>
    <mergeCell ref="A14:O14"/>
  </mergeCells>
  <phoneticPr fontId="41" type="noConversion"/>
  <dataValidations count="4">
    <dataValidation operator="greaterThan" allowBlank="1" showInputMessage="1" showErrorMessage="1" sqref="G65531" xr:uid="{00000000-0002-0000-0200-000000000000}"/>
    <dataValidation type="whole" allowBlank="1" showInputMessage="1" showErrorMessage="1" sqref="B65539:F65539" xr:uid="{00000000-0002-0000-0200-000001000000}">
      <formula1>0</formula1>
      <formula2>5000</formula2>
    </dataValidation>
    <dataValidation type="whole" allowBlank="1" showInputMessage="1" showErrorMessage="1" errorTitle="Eingabefehler" error="Nur positive ganze Zahlen eingeben." sqref="B65533:G65538" xr:uid="{00000000-0002-0000-0200-000002000000}">
      <formula1>0</formula1>
      <formula2>2500</formula2>
    </dataValidation>
    <dataValidation allowBlank="1" showInputMessage="1" showErrorMessage="1" errorTitle="Eingabefehler" error="Ganze Zahl zwischen 0 und 5000 eingeben." sqref="A10:A12 O2:O12 N2:N11 P2:P11 B1:M11 N1:P1" xr:uid="{00000000-0002-0000-0200-000003000000}"/>
  </dataValidation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W348"/>
  <sheetViews>
    <sheetView topLeftCell="A130" zoomScaleNormal="100" workbookViewId="0">
      <selection activeCell="F43" sqref="F43"/>
    </sheetView>
  </sheetViews>
  <sheetFormatPr baseColWidth="10" defaultColWidth="11.3984375" defaultRowHeight="13.5"/>
  <cols>
    <col min="1" max="1" width="38.3984375" style="327" customWidth="1"/>
    <col min="2" max="2" width="71.265625" style="327" customWidth="1"/>
    <col min="3" max="3" width="86.265625" style="327" customWidth="1"/>
    <col min="4" max="4" width="8.86328125" style="325" customWidth="1"/>
    <col min="5" max="5" width="24.265625" style="325" customWidth="1"/>
    <col min="6" max="6" width="24.265625" style="327" customWidth="1"/>
    <col min="7" max="7" width="25" style="327" customWidth="1"/>
    <col min="8" max="8" width="33.86328125" style="327" customWidth="1"/>
    <col min="9" max="9" width="34.86328125" style="327" customWidth="1"/>
    <col min="10" max="12" width="32.73046875" style="327" customWidth="1"/>
    <col min="13" max="14" width="33.86328125" style="327" customWidth="1"/>
    <col min="15" max="15" width="37.265625" style="327" customWidth="1"/>
    <col min="16" max="16" width="33.86328125" style="327" bestFit="1" customWidth="1"/>
    <col min="17" max="17" width="9.73046875" style="327" customWidth="1"/>
    <col min="18" max="18" width="23" style="327" customWidth="1"/>
    <col min="19" max="19" width="16.86328125" style="327" customWidth="1"/>
    <col min="20" max="20" width="18.59765625" style="327" customWidth="1"/>
    <col min="21" max="21" width="36" style="327" customWidth="1"/>
    <col min="22" max="22" width="16" style="327" customWidth="1"/>
    <col min="23" max="23" width="14.59765625" style="327" customWidth="1"/>
    <col min="24" max="24" width="17.265625" style="327" customWidth="1"/>
    <col min="25" max="31" width="9.1328125" style="327" customWidth="1"/>
    <col min="32" max="32" width="13.59765625" style="327" customWidth="1"/>
    <col min="33" max="44" width="9.1328125" style="327" customWidth="1"/>
    <col min="45" max="45" width="16.1328125" style="327" customWidth="1"/>
    <col min="46" max="46" width="13.86328125" style="327" customWidth="1"/>
    <col min="47" max="47" width="9.1328125" style="327" customWidth="1"/>
    <col min="48" max="48" width="15" style="327" customWidth="1"/>
    <col min="49" max="49" width="19.73046875" style="327" customWidth="1"/>
    <col min="50" max="50" width="15.73046875" style="327" customWidth="1"/>
    <col min="51" max="104" width="9.1328125" style="327" customWidth="1"/>
    <col min="105" max="106" width="16.59765625" style="327" customWidth="1"/>
    <col min="107" max="107" width="15.59765625" style="327" customWidth="1"/>
    <col min="108" max="108" width="19" style="327" customWidth="1"/>
    <col min="109" max="16384" width="11.3984375" style="327"/>
  </cols>
  <sheetData>
    <row r="1" spans="1:6" ht="14.25">
      <c r="A1" s="395" t="s">
        <v>22</v>
      </c>
      <c r="B1" s="397" t="s">
        <v>667</v>
      </c>
      <c r="C1" s="167" t="s">
        <v>230</v>
      </c>
      <c r="D1" s="484"/>
      <c r="E1"/>
      <c r="F1"/>
    </row>
    <row r="2" spans="1:6" ht="14.25">
      <c r="A2" s="404" t="s">
        <v>821</v>
      </c>
      <c r="B2" s="397" t="s">
        <v>272</v>
      </c>
      <c r="C2" s="167" t="s">
        <v>272</v>
      </c>
      <c r="D2" s="485"/>
      <c r="E2"/>
      <c r="F2"/>
    </row>
    <row r="3" spans="1:6" ht="14.25">
      <c r="A3" s="328"/>
      <c r="B3" s="397" t="s">
        <v>226</v>
      </c>
      <c r="C3" s="167" t="s">
        <v>226</v>
      </c>
      <c r="D3" s="485"/>
      <c r="E3"/>
      <c r="F3"/>
    </row>
    <row r="4" spans="1:6" ht="14.25">
      <c r="A4" s="328"/>
      <c r="B4" s="397" t="s">
        <v>403</v>
      </c>
      <c r="C4" s="167" t="s">
        <v>403</v>
      </c>
      <c r="D4" s="485"/>
      <c r="E4"/>
      <c r="F4"/>
    </row>
    <row r="5" spans="1:6" ht="14.25">
      <c r="A5" s="328"/>
      <c r="B5" s="397" t="s">
        <v>273</v>
      </c>
      <c r="C5" s="167" t="s">
        <v>273</v>
      </c>
      <c r="D5" s="485"/>
      <c r="E5"/>
      <c r="F5"/>
    </row>
    <row r="6" spans="1:6" ht="14.25">
      <c r="A6" s="328"/>
      <c r="B6" s="397" t="s">
        <v>330</v>
      </c>
      <c r="C6" s="167" t="s">
        <v>330</v>
      </c>
      <c r="D6" s="485"/>
      <c r="E6"/>
      <c r="F6"/>
    </row>
    <row r="7" spans="1:6" ht="14.25">
      <c r="A7" s="328"/>
      <c r="B7" s="397" t="s">
        <v>274</v>
      </c>
      <c r="C7" s="167" t="s">
        <v>274</v>
      </c>
      <c r="D7" s="485"/>
      <c r="E7"/>
      <c r="F7"/>
    </row>
    <row r="8" spans="1:6" ht="14.25">
      <c r="A8" s="328"/>
      <c r="B8" s="397" t="s">
        <v>404</v>
      </c>
      <c r="C8" s="167" t="s">
        <v>404</v>
      </c>
      <c r="D8" s="485"/>
      <c r="E8"/>
      <c r="F8"/>
    </row>
    <row r="9" spans="1:6" ht="14.25">
      <c r="A9" s="328"/>
      <c r="B9" s="397" t="s">
        <v>405</v>
      </c>
      <c r="C9" s="167" t="s">
        <v>405</v>
      </c>
      <c r="D9" s="485"/>
      <c r="E9"/>
      <c r="F9"/>
    </row>
    <row r="10" spans="1:6" ht="14.25">
      <c r="A10" s="328"/>
      <c r="B10" s="397" t="s">
        <v>227</v>
      </c>
      <c r="C10" s="167" t="s">
        <v>227</v>
      </c>
      <c r="D10" s="485"/>
      <c r="E10"/>
      <c r="F10"/>
    </row>
    <row r="11" spans="1:6" ht="14.25">
      <c r="A11" s="328"/>
      <c r="B11" s="397" t="s">
        <v>406</v>
      </c>
      <c r="C11" s="486" t="s">
        <v>447</v>
      </c>
      <c r="D11" s="485" t="s">
        <v>448</v>
      </c>
      <c r="E11"/>
      <c r="F11"/>
    </row>
    <row r="12" spans="1:6" ht="14.25">
      <c r="A12" s="328"/>
      <c r="B12" s="397" t="s">
        <v>228</v>
      </c>
      <c r="C12" s="167" t="s">
        <v>406</v>
      </c>
      <c r="D12" s="485"/>
      <c r="E12"/>
      <c r="F12"/>
    </row>
    <row r="13" spans="1:6" ht="14.25">
      <c r="A13" s="328"/>
      <c r="B13" s="397" t="s">
        <v>331</v>
      </c>
      <c r="C13" s="167" t="s">
        <v>228</v>
      </c>
      <c r="D13" s="485"/>
      <c r="E13"/>
      <c r="F13"/>
    </row>
    <row r="14" spans="1:6" ht="14.25">
      <c r="A14" s="328"/>
      <c r="B14" s="397" t="s">
        <v>332</v>
      </c>
      <c r="C14" s="487" t="s">
        <v>409</v>
      </c>
      <c r="D14" s="485" t="s">
        <v>449</v>
      </c>
      <c r="E14"/>
      <c r="F14"/>
    </row>
    <row r="15" spans="1:6" ht="14.25">
      <c r="A15" s="328"/>
      <c r="B15" s="397" t="s">
        <v>229</v>
      </c>
      <c r="C15" s="167" t="s">
        <v>331</v>
      </c>
      <c r="D15" s="485"/>
      <c r="E15"/>
      <c r="F15"/>
    </row>
    <row r="16" spans="1:6" ht="14.25">
      <c r="A16" s="328"/>
      <c r="B16" s="397" t="s">
        <v>275</v>
      </c>
      <c r="C16" s="167" t="s">
        <v>332</v>
      </c>
      <c r="D16" s="485"/>
      <c r="E16"/>
      <c r="F16"/>
    </row>
    <row r="17" spans="1:6" ht="14.25">
      <c r="A17" s="328"/>
      <c r="B17" s="397" t="s">
        <v>326</v>
      </c>
      <c r="C17" s="167" t="s">
        <v>229</v>
      </c>
      <c r="D17" s="485"/>
      <c r="E17"/>
      <c r="F17"/>
    </row>
    <row r="18" spans="1:6" ht="14.25">
      <c r="A18" s="328"/>
      <c r="B18" s="397" t="s">
        <v>276</v>
      </c>
      <c r="C18" s="167" t="s">
        <v>275</v>
      </c>
      <c r="D18" s="485"/>
      <c r="E18"/>
      <c r="F18"/>
    </row>
    <row r="19" spans="1:6" ht="14.25">
      <c r="A19" s="328"/>
      <c r="B19" s="397" t="s">
        <v>325</v>
      </c>
      <c r="C19" s="167" t="s">
        <v>326</v>
      </c>
      <c r="D19" s="485"/>
      <c r="E19"/>
      <c r="F19"/>
    </row>
    <row r="20" spans="1:6" ht="14.25">
      <c r="A20" s="328"/>
      <c r="B20" s="397" t="s">
        <v>231</v>
      </c>
      <c r="C20" s="167" t="s">
        <v>276</v>
      </c>
      <c r="D20" s="488"/>
      <c r="E20"/>
      <c r="F20"/>
    </row>
    <row r="21" spans="1:6" ht="14.25">
      <c r="A21" s="328"/>
      <c r="B21" s="397" t="s">
        <v>342</v>
      </c>
      <c r="C21" s="167" t="s">
        <v>325</v>
      </c>
      <c r="D21" s="485"/>
      <c r="E21"/>
      <c r="F21"/>
    </row>
    <row r="22" spans="1:6" ht="14.25">
      <c r="A22" s="328"/>
      <c r="B22" s="167" t="s">
        <v>232</v>
      </c>
      <c r="C22" s="167" t="s">
        <v>231</v>
      </c>
      <c r="D22" s="485"/>
      <c r="E22"/>
      <c r="F22"/>
    </row>
    <row r="23" spans="1:6" ht="14.25">
      <c r="A23" s="328"/>
      <c r="B23" s="167" t="s">
        <v>393</v>
      </c>
      <c r="C23" s="489" t="s">
        <v>277</v>
      </c>
      <c r="D23" s="485" t="s">
        <v>449</v>
      </c>
      <c r="E23"/>
      <c r="F23"/>
    </row>
    <row r="24" spans="1:6" ht="14.25">
      <c r="A24" s="328"/>
      <c r="B24" s="397" t="s">
        <v>278</v>
      </c>
      <c r="C24" s="487" t="s">
        <v>410</v>
      </c>
      <c r="D24" s="485" t="s">
        <v>449</v>
      </c>
      <c r="E24"/>
      <c r="F24"/>
    </row>
    <row r="25" spans="1:6" ht="14.25">
      <c r="A25" s="328"/>
      <c r="B25" s="397" t="s">
        <v>279</v>
      </c>
      <c r="C25" s="167" t="s">
        <v>342</v>
      </c>
      <c r="D25" s="485"/>
      <c r="E25"/>
      <c r="F25"/>
    </row>
    <row r="26" spans="1:6" ht="14.25">
      <c r="A26" s="328"/>
      <c r="B26" s="397" t="s">
        <v>233</v>
      </c>
      <c r="C26" s="167" t="s">
        <v>232</v>
      </c>
      <c r="D26" s="485"/>
      <c r="E26"/>
      <c r="F26"/>
    </row>
    <row r="27" spans="1:6" ht="14.25">
      <c r="A27" s="328"/>
      <c r="B27" s="397" t="s">
        <v>407</v>
      </c>
      <c r="C27" s="490" t="s">
        <v>366</v>
      </c>
      <c r="D27" s="485" t="s">
        <v>450</v>
      </c>
      <c r="E27"/>
      <c r="F27"/>
    </row>
    <row r="28" spans="1:6" ht="14.25">
      <c r="A28" s="328"/>
      <c r="B28" s="397" t="s">
        <v>335</v>
      </c>
      <c r="C28" s="167" t="s">
        <v>393</v>
      </c>
      <c r="D28" s="485"/>
      <c r="E28"/>
      <c r="F28"/>
    </row>
    <row r="29" spans="1:6" ht="14.25">
      <c r="A29" s="328"/>
      <c r="B29" s="397" t="s">
        <v>280</v>
      </c>
      <c r="C29" s="486" t="s">
        <v>411</v>
      </c>
      <c r="D29" s="485" t="s">
        <v>448</v>
      </c>
      <c r="E29"/>
      <c r="F29"/>
    </row>
    <row r="30" spans="1:6" ht="14.25">
      <c r="A30" s="328"/>
      <c r="B30" s="397" t="s">
        <v>337</v>
      </c>
      <c r="C30" s="167" t="s">
        <v>278</v>
      </c>
      <c r="D30" s="485"/>
      <c r="E30"/>
      <c r="F30"/>
    </row>
    <row r="31" spans="1:6" ht="14.25">
      <c r="A31" s="328"/>
      <c r="B31" s="397" t="s">
        <v>281</v>
      </c>
      <c r="C31" s="487" t="s">
        <v>333</v>
      </c>
      <c r="D31" s="485" t="s">
        <v>449</v>
      </c>
      <c r="E31"/>
      <c r="F31"/>
    </row>
    <row r="32" spans="1:6" ht="14.25">
      <c r="A32" s="328"/>
      <c r="B32" s="397" t="s">
        <v>282</v>
      </c>
      <c r="C32" s="167" t="s">
        <v>279</v>
      </c>
      <c r="D32" s="485"/>
      <c r="E32"/>
      <c r="F32"/>
    </row>
    <row r="33" spans="1:6" ht="14.25">
      <c r="A33" s="328"/>
      <c r="B33" s="397" t="s">
        <v>283</v>
      </c>
      <c r="C33" s="167" t="s">
        <v>233</v>
      </c>
      <c r="D33" s="485"/>
      <c r="E33"/>
      <c r="F33"/>
    </row>
    <row r="34" spans="1:6" ht="14.25">
      <c r="A34" s="328"/>
      <c r="B34" s="397" t="s">
        <v>234</v>
      </c>
      <c r="C34" s="167" t="s">
        <v>407</v>
      </c>
      <c r="D34" s="485"/>
      <c r="E34"/>
      <c r="F34"/>
    </row>
    <row r="35" spans="1:6" ht="14.25">
      <c r="A35" s="328"/>
      <c r="B35" s="397" t="s">
        <v>336</v>
      </c>
      <c r="C35" s="167" t="s">
        <v>335</v>
      </c>
      <c r="D35" s="485"/>
      <c r="E35"/>
      <c r="F35"/>
    </row>
    <row r="36" spans="1:6" ht="14.25">
      <c r="A36" s="328"/>
      <c r="B36" s="397" t="s">
        <v>284</v>
      </c>
      <c r="C36" s="486" t="s">
        <v>412</v>
      </c>
      <c r="D36" s="485" t="s">
        <v>448</v>
      </c>
      <c r="E36"/>
      <c r="F36"/>
    </row>
    <row r="37" spans="1:6" ht="14.25">
      <c r="A37" s="328"/>
      <c r="B37" s="397" t="s">
        <v>334</v>
      </c>
      <c r="C37" s="167" t="s">
        <v>280</v>
      </c>
      <c r="D37" s="485"/>
      <c r="E37"/>
      <c r="F37"/>
    </row>
    <row r="38" spans="1:6" ht="14.25">
      <c r="A38" s="328"/>
      <c r="B38" s="397" t="s">
        <v>320</v>
      </c>
      <c r="C38" s="167" t="s">
        <v>337</v>
      </c>
      <c r="D38" s="485"/>
      <c r="E38"/>
      <c r="F38"/>
    </row>
    <row r="39" spans="1:6" ht="14.25">
      <c r="A39" s="328"/>
      <c r="B39" s="397" t="s">
        <v>339</v>
      </c>
      <c r="C39" s="167" t="s">
        <v>281</v>
      </c>
      <c r="D39" s="485"/>
      <c r="E39"/>
      <c r="F39"/>
    </row>
    <row r="40" spans="1:6" ht="14.25">
      <c r="A40" s="328"/>
      <c r="B40" s="397" t="s">
        <v>285</v>
      </c>
      <c r="C40" s="167" t="s">
        <v>282</v>
      </c>
      <c r="D40" s="485"/>
      <c r="E40"/>
      <c r="F40"/>
    </row>
    <row r="41" spans="1:6" ht="14.25">
      <c r="A41" s="328"/>
      <c r="B41" s="397" t="s">
        <v>341</v>
      </c>
      <c r="C41" s="167" t="s">
        <v>283</v>
      </c>
      <c r="D41" s="485"/>
      <c r="E41"/>
      <c r="F41"/>
    </row>
    <row r="42" spans="1:6" ht="14.25">
      <c r="A42" s="328"/>
      <c r="B42" s="397" t="s">
        <v>408</v>
      </c>
      <c r="C42" s="167" t="s">
        <v>234</v>
      </c>
      <c r="D42" s="485"/>
      <c r="E42"/>
      <c r="F42"/>
    </row>
    <row r="43" spans="1:6" ht="14.25">
      <c r="A43" s="328"/>
      <c r="B43" s="397" t="s">
        <v>367</v>
      </c>
      <c r="C43" s="167" t="s">
        <v>336</v>
      </c>
      <c r="D43" s="485"/>
      <c r="E43"/>
      <c r="F43"/>
    </row>
    <row r="44" spans="1:6" ht="14.25">
      <c r="A44" s="328"/>
      <c r="B44" s="397" t="s">
        <v>668</v>
      </c>
      <c r="C44" s="167" t="s">
        <v>284</v>
      </c>
      <c r="D44" s="485"/>
      <c r="E44"/>
      <c r="F44"/>
    </row>
    <row r="45" spans="1:6" ht="12" customHeight="1">
      <c r="A45" s="328"/>
      <c r="B45" s="397" t="s">
        <v>669</v>
      </c>
      <c r="C45" s="167" t="s">
        <v>334</v>
      </c>
      <c r="D45" s="485"/>
      <c r="E45"/>
      <c r="F45"/>
    </row>
    <row r="46" spans="1:6" ht="14.25">
      <c r="A46" s="328"/>
      <c r="C46" s="486" t="s">
        <v>413</v>
      </c>
      <c r="D46" s="485" t="s">
        <v>448</v>
      </c>
      <c r="E46"/>
      <c r="F46"/>
    </row>
    <row r="47" spans="1:6" ht="14.25">
      <c r="A47" s="328"/>
      <c r="C47" s="486" t="s">
        <v>319</v>
      </c>
      <c r="D47" s="485" t="s">
        <v>448</v>
      </c>
      <c r="E47"/>
      <c r="F47"/>
    </row>
    <row r="48" spans="1:6">
      <c r="A48" s="328"/>
      <c r="C48" s="167" t="s">
        <v>320</v>
      </c>
      <c r="D48" s="121"/>
      <c r="E48" s="68"/>
    </row>
    <row r="49" spans="1:6">
      <c r="A49" s="328"/>
      <c r="C49" s="487" t="s">
        <v>338</v>
      </c>
      <c r="D49" s="485" t="s">
        <v>449</v>
      </c>
      <c r="E49" s="68"/>
    </row>
    <row r="50" spans="1:6">
      <c r="A50" s="328"/>
      <c r="C50" s="491" t="s">
        <v>451</v>
      </c>
      <c r="D50" s="6" t="s">
        <v>449</v>
      </c>
      <c r="E50" s="68"/>
    </row>
    <row r="51" spans="1:6">
      <c r="A51" s="328"/>
      <c r="C51" s="167" t="s">
        <v>339</v>
      </c>
      <c r="D51" s="485"/>
      <c r="E51" s="68"/>
    </row>
    <row r="52" spans="1:6" ht="14.25">
      <c r="A52" s="328"/>
      <c r="C52" s="487" t="s">
        <v>340</v>
      </c>
      <c r="D52" s="485" t="s">
        <v>452</v>
      </c>
      <c r="E52" s="68"/>
      <c r="F52"/>
    </row>
    <row r="53" spans="1:6">
      <c r="A53" s="328"/>
      <c r="C53" s="486" t="s">
        <v>453</v>
      </c>
      <c r="D53" s="485" t="s">
        <v>448</v>
      </c>
      <c r="E53" s="69"/>
    </row>
    <row r="54" spans="1:6">
      <c r="A54" s="328"/>
      <c r="C54" s="167" t="s">
        <v>285</v>
      </c>
      <c r="D54" s="485"/>
      <c r="E54" s="69"/>
    </row>
    <row r="55" spans="1:6">
      <c r="A55" s="328"/>
      <c r="C55" s="492" t="s">
        <v>341</v>
      </c>
      <c r="D55" s="493"/>
      <c r="E55" s="69"/>
    </row>
    <row r="56" spans="1:6">
      <c r="A56" s="328"/>
      <c r="C56" s="492" t="s">
        <v>408</v>
      </c>
      <c r="D56" s="493"/>
      <c r="E56" s="69"/>
    </row>
    <row r="57" spans="1:6">
      <c r="A57" s="328"/>
      <c r="C57" s="492" t="s">
        <v>367</v>
      </c>
      <c r="D57" s="493"/>
      <c r="E57" s="69"/>
    </row>
    <row r="58" spans="1:6">
      <c r="A58" s="328"/>
      <c r="C58" s="494" t="s">
        <v>321</v>
      </c>
      <c r="D58" s="493" t="s">
        <v>448</v>
      </c>
      <c r="E58" s="69"/>
    </row>
    <row r="59" spans="1:6">
      <c r="A59" s="328"/>
      <c r="C59" s="494" t="s">
        <v>375</v>
      </c>
      <c r="D59" s="493" t="s">
        <v>448</v>
      </c>
      <c r="E59" s="69"/>
    </row>
    <row r="60" spans="1:6">
      <c r="A60" s="328"/>
      <c r="C60" s="489" t="s">
        <v>286</v>
      </c>
      <c r="D60" s="485" t="s">
        <v>449</v>
      </c>
      <c r="E60" s="69"/>
    </row>
    <row r="61" spans="1:6">
      <c r="A61" s="328"/>
      <c r="C61" s="492" t="s">
        <v>183</v>
      </c>
      <c r="D61" s="493"/>
      <c r="E61" s="69"/>
    </row>
    <row r="62" spans="1:6">
      <c r="A62" s="328"/>
      <c r="C62" s="492" t="s">
        <v>202</v>
      </c>
      <c r="D62" s="493"/>
      <c r="E62" s="69"/>
    </row>
    <row r="63" spans="1:6">
      <c r="A63" s="328"/>
      <c r="E63" s="69"/>
    </row>
    <row r="64" spans="1:6">
      <c r="A64" s="328"/>
      <c r="E64" s="69"/>
    </row>
    <row r="65" spans="1:23">
      <c r="A65" s="328"/>
      <c r="C65" s="341"/>
      <c r="D65" s="418"/>
      <c r="E65" s="69"/>
    </row>
    <row r="66" spans="1:23">
      <c r="A66" s="328"/>
      <c r="B66" s="328"/>
      <c r="C66" s="341"/>
      <c r="D66" s="418"/>
      <c r="E66" s="69"/>
    </row>
    <row r="67" spans="1:23">
      <c r="A67" s="329" t="s">
        <v>41</v>
      </c>
      <c r="B67" s="330" t="s">
        <v>42</v>
      </c>
      <c r="C67" s="331" t="s">
        <v>43</v>
      </c>
      <c r="D67" s="330" t="s">
        <v>44</v>
      </c>
      <c r="E67" s="330" t="s">
        <v>45</v>
      </c>
      <c r="F67" s="330" t="s">
        <v>46</v>
      </c>
      <c r="G67" s="330" t="s">
        <v>47</v>
      </c>
      <c r="H67" s="330" t="s">
        <v>48</v>
      </c>
      <c r="I67" s="330" t="s">
        <v>49</v>
      </c>
      <c r="J67" s="330" t="s">
        <v>50</v>
      </c>
      <c r="K67" s="330" t="s">
        <v>51</v>
      </c>
      <c r="L67" s="330" t="s">
        <v>52</v>
      </c>
      <c r="M67" s="330" t="s">
        <v>53</v>
      </c>
      <c r="N67" s="330" t="s">
        <v>54</v>
      </c>
      <c r="O67" s="330" t="s">
        <v>55</v>
      </c>
      <c r="P67" s="330" t="s">
        <v>20</v>
      </c>
      <c r="Q67" s="330" t="s">
        <v>56</v>
      </c>
      <c r="R67" s="330" t="s">
        <v>166</v>
      </c>
      <c r="S67" s="331" t="s">
        <v>73</v>
      </c>
    </row>
    <row r="68" spans="1:23">
      <c r="A68" s="332" t="s">
        <v>167</v>
      </c>
      <c r="B68" s="167" t="s">
        <v>168</v>
      </c>
      <c r="C68" s="333" t="s">
        <v>169</v>
      </c>
      <c r="D68" s="167" t="s">
        <v>170</v>
      </c>
      <c r="E68" s="167" t="s">
        <v>171</v>
      </c>
      <c r="F68" s="167" t="s">
        <v>172</v>
      </c>
      <c r="G68" s="167" t="s">
        <v>173</v>
      </c>
      <c r="H68" s="167" t="s">
        <v>174</v>
      </c>
      <c r="I68" s="167" t="s">
        <v>175</v>
      </c>
      <c r="J68" s="167" t="s">
        <v>176</v>
      </c>
      <c r="K68" s="167" t="s">
        <v>177</v>
      </c>
      <c r="L68" s="167" t="s">
        <v>178</v>
      </c>
      <c r="M68" s="167" t="s">
        <v>179</v>
      </c>
      <c r="N68" s="167" t="s">
        <v>180</v>
      </c>
      <c r="O68" s="167" t="s">
        <v>181</v>
      </c>
      <c r="P68" s="167" t="s">
        <v>182</v>
      </c>
      <c r="Q68" s="413" t="s">
        <v>360</v>
      </c>
      <c r="R68" s="167" t="s">
        <v>361</v>
      </c>
      <c r="S68" s="417" t="s">
        <v>365</v>
      </c>
      <c r="T68" s="334"/>
      <c r="U68" s="334"/>
      <c r="V68" s="334"/>
      <c r="W68" s="334"/>
    </row>
    <row r="69" spans="1:23">
      <c r="A69" s="332" t="s">
        <v>23</v>
      </c>
      <c r="B69" s="167" t="s">
        <v>30</v>
      </c>
      <c r="C69" s="333" t="s">
        <v>170</v>
      </c>
      <c r="D69" s="167" t="s">
        <v>184</v>
      </c>
      <c r="E69" s="167" t="s">
        <v>185</v>
      </c>
      <c r="F69" s="167" t="s">
        <v>185</v>
      </c>
      <c r="G69" s="167" t="s">
        <v>186</v>
      </c>
      <c r="H69" s="167" t="s">
        <v>187</v>
      </c>
      <c r="I69" s="167" t="s">
        <v>25</v>
      </c>
      <c r="J69" s="167" t="s">
        <v>188</v>
      </c>
      <c r="K69" s="167" t="s">
        <v>189</v>
      </c>
      <c r="L69" s="167" t="s">
        <v>190</v>
      </c>
      <c r="M69" s="167" t="s">
        <v>191</v>
      </c>
      <c r="N69" s="167" t="s">
        <v>33</v>
      </c>
      <c r="O69" s="167" t="s">
        <v>192</v>
      </c>
      <c r="P69" s="167" t="s">
        <v>21</v>
      </c>
      <c r="Q69" s="167" t="s">
        <v>183</v>
      </c>
      <c r="R69" s="335" t="s">
        <v>183</v>
      </c>
      <c r="S69" s="333" t="s">
        <v>183</v>
      </c>
      <c r="T69" s="336"/>
      <c r="U69" s="336"/>
      <c r="V69" s="121"/>
      <c r="W69" s="336"/>
    </row>
    <row r="70" spans="1:23">
      <c r="A70" s="332" t="s">
        <v>24</v>
      </c>
      <c r="B70" s="167" t="s">
        <v>31</v>
      </c>
      <c r="C70" s="333" t="s">
        <v>193</v>
      </c>
      <c r="D70" s="167" t="s">
        <v>194</v>
      </c>
      <c r="E70" s="167" t="s">
        <v>183</v>
      </c>
      <c r="F70" s="167" t="s">
        <v>183</v>
      </c>
      <c r="G70" s="167" t="s">
        <v>195</v>
      </c>
      <c r="H70" s="167" t="s">
        <v>196</v>
      </c>
      <c r="I70" s="167" t="s">
        <v>197</v>
      </c>
      <c r="J70" s="167" t="s">
        <v>198</v>
      </c>
      <c r="K70" s="167" t="s">
        <v>40</v>
      </c>
      <c r="L70" s="167" t="s">
        <v>185</v>
      </c>
      <c r="M70" s="167" t="s">
        <v>35</v>
      </c>
      <c r="N70" s="167" t="s">
        <v>36</v>
      </c>
      <c r="O70" s="167" t="s">
        <v>199</v>
      </c>
      <c r="P70" s="167" t="s">
        <v>32</v>
      </c>
      <c r="Q70" s="335"/>
      <c r="R70" s="335"/>
      <c r="S70" s="337"/>
      <c r="T70" s="336"/>
      <c r="U70" s="121"/>
      <c r="V70" s="336"/>
      <c r="W70" s="121"/>
    </row>
    <row r="71" spans="1:23">
      <c r="A71" s="332" t="s">
        <v>200</v>
      </c>
      <c r="B71" s="167" t="s">
        <v>38</v>
      </c>
      <c r="C71" s="333" t="s">
        <v>201</v>
      </c>
      <c r="D71" s="167" t="s">
        <v>185</v>
      </c>
      <c r="E71" s="167" t="s">
        <v>202</v>
      </c>
      <c r="F71" s="167" t="s">
        <v>202</v>
      </c>
      <c r="G71" s="167" t="s">
        <v>203</v>
      </c>
      <c r="H71" s="167" t="s">
        <v>204</v>
      </c>
      <c r="I71" s="167" t="s">
        <v>205</v>
      </c>
      <c r="J71" s="167" t="s">
        <v>206</v>
      </c>
      <c r="K71" s="167" t="s">
        <v>185</v>
      </c>
      <c r="L71" s="167" t="s">
        <v>183</v>
      </c>
      <c r="M71" s="167" t="s">
        <v>317</v>
      </c>
      <c r="N71" s="167" t="s">
        <v>194</v>
      </c>
      <c r="O71" s="167" t="s">
        <v>185</v>
      </c>
      <c r="P71" s="167" t="s">
        <v>34</v>
      </c>
      <c r="Q71" s="335"/>
      <c r="R71" s="335"/>
      <c r="S71" s="337"/>
      <c r="T71" s="336"/>
      <c r="U71" s="37"/>
      <c r="W71" s="37"/>
    </row>
    <row r="72" spans="1:23">
      <c r="A72" s="332" t="s">
        <v>208</v>
      </c>
      <c r="B72" s="167" t="s">
        <v>209</v>
      </c>
      <c r="C72" s="333" t="s">
        <v>210</v>
      </c>
      <c r="D72" s="167" t="s">
        <v>183</v>
      </c>
      <c r="E72" s="167"/>
      <c r="F72" s="167"/>
      <c r="G72" s="167" t="s">
        <v>37</v>
      </c>
      <c r="H72" s="167" t="s">
        <v>194</v>
      </c>
      <c r="I72" s="167" t="s">
        <v>211</v>
      </c>
      <c r="J72" s="167" t="s">
        <v>212</v>
      </c>
      <c r="K72" s="167" t="s">
        <v>183</v>
      </c>
      <c r="L72" s="167" t="s">
        <v>202</v>
      </c>
      <c r="M72" s="167" t="s">
        <v>72</v>
      </c>
      <c r="N72" s="335" t="s">
        <v>185</v>
      </c>
      <c r="O72" s="167" t="s">
        <v>183</v>
      </c>
      <c r="P72" s="167" t="s">
        <v>213</v>
      </c>
      <c r="Q72" s="335"/>
      <c r="R72" s="335"/>
      <c r="S72" s="337"/>
      <c r="T72" s="336"/>
      <c r="U72" s="37"/>
      <c r="V72" s="37"/>
      <c r="W72" s="37"/>
    </row>
    <row r="73" spans="1:23">
      <c r="A73" s="332" t="s">
        <v>214</v>
      </c>
      <c r="B73" s="167" t="s">
        <v>39</v>
      </c>
      <c r="C73" s="333" t="s">
        <v>215</v>
      </c>
      <c r="D73" s="167" t="s">
        <v>202</v>
      </c>
      <c r="E73" s="335"/>
      <c r="F73" s="335"/>
      <c r="G73" s="167" t="s">
        <v>185</v>
      </c>
      <c r="H73" s="167" t="s">
        <v>185</v>
      </c>
      <c r="I73" s="167" t="s">
        <v>318</v>
      </c>
      <c r="J73" s="167" t="s">
        <v>216</v>
      </c>
      <c r="K73" s="167" t="s">
        <v>202</v>
      </c>
      <c r="L73" s="167"/>
      <c r="M73" s="167" t="s">
        <v>194</v>
      </c>
      <c r="N73" s="335" t="s">
        <v>183</v>
      </c>
      <c r="O73" s="167" t="s">
        <v>202</v>
      </c>
      <c r="P73" s="167" t="s">
        <v>207</v>
      </c>
      <c r="Q73" s="335"/>
      <c r="R73" s="335"/>
      <c r="S73" s="337"/>
      <c r="T73" s="336"/>
      <c r="U73" s="37"/>
      <c r="V73" s="37"/>
      <c r="W73" s="37"/>
    </row>
    <row r="74" spans="1:23">
      <c r="A74" s="332" t="s">
        <v>217</v>
      </c>
      <c r="B74" s="167" t="s">
        <v>218</v>
      </c>
      <c r="C74" s="333" t="s">
        <v>194</v>
      </c>
      <c r="D74" s="335"/>
      <c r="E74" s="335"/>
      <c r="F74" s="335"/>
      <c r="G74" s="167" t="s">
        <v>183</v>
      </c>
      <c r="H74" s="167" t="s">
        <v>183</v>
      </c>
      <c r="I74" s="167" t="s">
        <v>185</v>
      </c>
      <c r="J74" s="167" t="s">
        <v>185</v>
      </c>
      <c r="K74" s="167"/>
      <c r="L74" s="335"/>
      <c r="M74" s="167" t="s">
        <v>185</v>
      </c>
      <c r="N74" s="335" t="s">
        <v>202</v>
      </c>
      <c r="O74" s="167"/>
      <c r="P74" s="167" t="s">
        <v>194</v>
      </c>
      <c r="Q74" s="335"/>
      <c r="R74" s="335"/>
      <c r="S74" s="337"/>
      <c r="T74" s="336"/>
      <c r="U74" s="37"/>
      <c r="V74" s="37"/>
      <c r="W74" s="37"/>
    </row>
    <row r="75" spans="1:23">
      <c r="A75" s="332" t="s">
        <v>26</v>
      </c>
      <c r="B75" s="167" t="s">
        <v>185</v>
      </c>
      <c r="C75" s="333" t="s">
        <v>185</v>
      </c>
      <c r="D75" s="335"/>
      <c r="E75" s="335"/>
      <c r="F75" s="335"/>
      <c r="G75" s="167" t="s">
        <v>202</v>
      </c>
      <c r="H75" s="167" t="s">
        <v>202</v>
      </c>
      <c r="I75" s="167" t="s">
        <v>183</v>
      </c>
      <c r="J75" s="167" t="s">
        <v>183</v>
      </c>
      <c r="K75" s="335"/>
      <c r="L75" s="335"/>
      <c r="M75" s="167" t="s">
        <v>183</v>
      </c>
      <c r="N75" s="335"/>
      <c r="O75" s="335"/>
      <c r="P75" s="167" t="s">
        <v>185</v>
      </c>
      <c r="Q75" s="335"/>
      <c r="R75" s="335"/>
      <c r="S75" s="337"/>
      <c r="T75" s="336"/>
      <c r="U75" s="37"/>
      <c r="V75" s="37"/>
      <c r="W75" s="37"/>
    </row>
    <row r="76" spans="1:23">
      <c r="A76" s="332" t="s">
        <v>219</v>
      </c>
      <c r="B76" s="167" t="s">
        <v>183</v>
      </c>
      <c r="C76" s="333" t="s">
        <v>183</v>
      </c>
      <c r="D76" s="335"/>
      <c r="E76" s="335"/>
      <c r="F76" s="335"/>
      <c r="G76" s="167"/>
      <c r="H76" s="335"/>
      <c r="I76" s="167" t="s">
        <v>202</v>
      </c>
      <c r="J76" s="167" t="s">
        <v>202</v>
      </c>
      <c r="K76" s="335"/>
      <c r="L76" s="335"/>
      <c r="M76" s="335" t="s">
        <v>202</v>
      </c>
      <c r="N76" s="167"/>
      <c r="O76" s="167"/>
      <c r="P76" s="167" t="s">
        <v>183</v>
      </c>
      <c r="Q76" s="335"/>
      <c r="R76" s="335"/>
      <c r="S76" s="337"/>
      <c r="T76" s="336"/>
      <c r="U76" s="37"/>
      <c r="V76" s="37"/>
      <c r="W76" s="37"/>
    </row>
    <row r="77" spans="1:23">
      <c r="A77" s="332" t="s">
        <v>220</v>
      </c>
      <c r="B77" s="167" t="s">
        <v>202</v>
      </c>
      <c r="C77" s="333" t="s">
        <v>202</v>
      </c>
      <c r="D77" s="335"/>
      <c r="E77" s="335"/>
      <c r="F77" s="335"/>
      <c r="G77" s="335"/>
      <c r="H77" s="335"/>
      <c r="I77" s="335"/>
      <c r="J77" s="167"/>
      <c r="K77" s="335"/>
      <c r="L77" s="335"/>
      <c r="M77" s="335"/>
      <c r="N77" s="335"/>
      <c r="O77" s="335"/>
      <c r="P77" s="167" t="s">
        <v>202</v>
      </c>
      <c r="Q77" s="335"/>
      <c r="R77" s="335"/>
      <c r="S77" s="337"/>
      <c r="T77" s="336"/>
      <c r="U77" s="37"/>
      <c r="V77" s="37"/>
      <c r="W77" s="37"/>
    </row>
    <row r="78" spans="1:23">
      <c r="A78" s="332" t="s">
        <v>221</v>
      </c>
      <c r="B78" s="167"/>
      <c r="C78" s="337"/>
      <c r="D78" s="335"/>
      <c r="E78" s="335"/>
      <c r="F78" s="335"/>
      <c r="G78" s="335"/>
      <c r="H78" s="335"/>
      <c r="I78" s="335"/>
      <c r="J78" s="335"/>
      <c r="K78" s="335"/>
      <c r="L78" s="335"/>
      <c r="M78" s="335"/>
      <c r="N78" s="335"/>
      <c r="O78" s="335"/>
      <c r="P78" s="335"/>
      <c r="Q78" s="335"/>
      <c r="R78" s="335"/>
      <c r="S78" s="337"/>
      <c r="T78" s="121"/>
      <c r="U78" s="37"/>
      <c r="V78" s="37"/>
      <c r="W78" s="37"/>
    </row>
    <row r="79" spans="1:23">
      <c r="A79" s="332" t="s">
        <v>222</v>
      </c>
      <c r="B79" s="335"/>
      <c r="C79" s="337"/>
      <c r="D79" s="335"/>
      <c r="E79" s="335"/>
      <c r="F79" s="335"/>
      <c r="G79" s="335"/>
      <c r="H79" s="335"/>
      <c r="I79" s="335"/>
      <c r="J79" s="335"/>
      <c r="K79" s="335"/>
      <c r="L79" s="335"/>
      <c r="M79" s="335"/>
      <c r="N79" s="335"/>
      <c r="O79" s="335"/>
      <c r="P79" s="335"/>
      <c r="Q79" s="335"/>
      <c r="R79" s="335"/>
      <c r="S79" s="337"/>
      <c r="T79" s="37"/>
      <c r="U79" s="37"/>
      <c r="V79" s="37"/>
      <c r="W79" s="37"/>
    </row>
    <row r="80" spans="1:23">
      <c r="A80" s="332" t="s">
        <v>27</v>
      </c>
      <c r="B80" s="335"/>
      <c r="C80" s="337"/>
      <c r="D80" s="335"/>
      <c r="E80" s="335"/>
      <c r="F80" s="335"/>
      <c r="G80" s="335"/>
      <c r="H80" s="335"/>
      <c r="I80" s="335"/>
      <c r="J80" s="335"/>
      <c r="K80" s="335"/>
      <c r="L80" s="335"/>
      <c r="M80" s="335"/>
      <c r="N80" s="335"/>
      <c r="O80" s="335"/>
      <c r="P80" s="335"/>
      <c r="Q80" s="335"/>
      <c r="R80" s="335"/>
      <c r="S80" s="337"/>
      <c r="T80" s="37"/>
      <c r="U80" s="37"/>
      <c r="V80" s="37"/>
      <c r="W80" s="37"/>
    </row>
    <row r="81" spans="1:23">
      <c r="A81" s="332" t="s">
        <v>223</v>
      </c>
      <c r="B81" s="335"/>
      <c r="C81" s="337"/>
      <c r="D81" s="335"/>
      <c r="E81" s="335"/>
      <c r="F81" s="335"/>
      <c r="G81" s="335"/>
      <c r="H81" s="335"/>
      <c r="I81" s="335"/>
      <c r="J81" s="335"/>
      <c r="K81" s="335"/>
      <c r="L81" s="335"/>
      <c r="M81" s="335"/>
      <c r="N81" s="335"/>
      <c r="O81" s="335"/>
      <c r="P81" s="335"/>
      <c r="Q81" s="335"/>
      <c r="R81" s="335"/>
      <c r="S81" s="337"/>
      <c r="T81" s="37"/>
      <c r="U81" s="37"/>
      <c r="V81" s="37"/>
      <c r="W81" s="37"/>
    </row>
    <row r="82" spans="1:23">
      <c r="A82" s="332" t="s">
        <v>28</v>
      </c>
      <c r="B82" s="335"/>
      <c r="C82" s="337"/>
      <c r="D82" s="335"/>
      <c r="E82" s="335"/>
      <c r="F82" s="335"/>
      <c r="G82" s="335"/>
      <c r="H82" s="335"/>
      <c r="I82" s="335"/>
      <c r="J82" s="335"/>
      <c r="K82" s="335"/>
      <c r="L82" s="335"/>
      <c r="M82" s="335"/>
      <c r="N82" s="335"/>
      <c r="O82" s="335"/>
      <c r="P82" s="335"/>
      <c r="Q82" s="335"/>
      <c r="R82" s="335"/>
      <c r="S82" s="337"/>
      <c r="T82" s="37"/>
      <c r="U82" s="37"/>
      <c r="V82" s="37"/>
      <c r="W82" s="37"/>
    </row>
    <row r="83" spans="1:23">
      <c r="A83" s="332" t="s">
        <v>224</v>
      </c>
      <c r="B83" s="335"/>
      <c r="C83" s="337"/>
      <c r="D83" s="335"/>
      <c r="E83" s="335"/>
      <c r="F83" s="335"/>
      <c r="G83" s="335"/>
      <c r="H83" s="335"/>
      <c r="I83" s="335"/>
      <c r="J83" s="335"/>
      <c r="K83" s="335"/>
      <c r="L83" s="335"/>
      <c r="M83" s="335"/>
      <c r="N83" s="335"/>
      <c r="O83" s="335"/>
      <c r="P83" s="335"/>
      <c r="Q83" s="335"/>
      <c r="R83" s="335"/>
      <c r="S83" s="337"/>
      <c r="T83" s="37"/>
      <c r="U83" s="37"/>
      <c r="V83" s="37"/>
      <c r="W83" s="37"/>
    </row>
    <row r="84" spans="1:23">
      <c r="A84" s="332" t="s">
        <v>225</v>
      </c>
      <c r="B84" s="335"/>
      <c r="C84" s="337"/>
      <c r="D84" s="335"/>
      <c r="E84" s="335"/>
      <c r="F84" s="335"/>
      <c r="G84" s="335"/>
      <c r="H84" s="335"/>
      <c r="I84" s="335"/>
      <c r="J84" s="335"/>
      <c r="K84" s="335"/>
      <c r="L84" s="335"/>
      <c r="M84" s="335"/>
      <c r="N84" s="335"/>
      <c r="O84" s="335"/>
      <c r="P84" s="335"/>
      <c r="Q84" s="335"/>
      <c r="R84" s="335"/>
      <c r="S84" s="337"/>
      <c r="T84" s="37"/>
      <c r="U84" s="37"/>
      <c r="V84" s="37"/>
      <c r="W84" s="37"/>
    </row>
    <row r="85" spans="1:23">
      <c r="A85" s="332" t="s">
        <v>29</v>
      </c>
      <c r="B85" s="335"/>
      <c r="C85" s="337"/>
      <c r="D85" s="335"/>
      <c r="E85" s="335"/>
      <c r="F85" s="335"/>
      <c r="G85" s="335"/>
      <c r="H85" s="335"/>
      <c r="I85" s="335"/>
      <c r="J85" s="335"/>
      <c r="K85" s="335"/>
      <c r="L85" s="335"/>
      <c r="M85" s="335"/>
      <c r="N85" s="335"/>
      <c r="O85" s="335"/>
      <c r="P85" s="335"/>
      <c r="Q85" s="335"/>
      <c r="R85" s="335"/>
      <c r="S85" s="337"/>
      <c r="T85" s="37"/>
      <c r="U85" s="37"/>
      <c r="V85" s="37"/>
      <c r="W85" s="37"/>
    </row>
    <row r="86" spans="1:23">
      <c r="A86" s="332" t="s">
        <v>185</v>
      </c>
      <c r="B86" s="335"/>
      <c r="C86" s="337"/>
      <c r="D86" s="335"/>
      <c r="E86" s="335"/>
      <c r="F86" s="335"/>
      <c r="G86" s="335"/>
      <c r="H86" s="335"/>
      <c r="I86" s="335"/>
      <c r="J86" s="335"/>
      <c r="K86" s="335"/>
      <c r="L86" s="335"/>
      <c r="M86" s="335"/>
      <c r="N86" s="335"/>
      <c r="O86" s="335"/>
      <c r="P86" s="335"/>
      <c r="Q86" s="335"/>
      <c r="R86" s="335"/>
      <c r="S86" s="337"/>
      <c r="T86" s="37"/>
      <c r="U86" s="37"/>
      <c r="V86" s="37"/>
      <c r="W86" s="37"/>
    </row>
    <row r="87" spans="1:23">
      <c r="A87" s="332" t="s">
        <v>183</v>
      </c>
      <c r="B87" s="335"/>
      <c r="C87" s="337"/>
      <c r="D87" s="335"/>
      <c r="E87" s="335"/>
      <c r="F87" s="335"/>
      <c r="G87" s="335"/>
      <c r="H87" s="335"/>
      <c r="I87" s="335"/>
      <c r="J87" s="335"/>
      <c r="K87" s="335"/>
      <c r="L87" s="335"/>
      <c r="M87" s="335"/>
      <c r="N87" s="335"/>
      <c r="O87" s="335"/>
      <c r="P87" s="335"/>
      <c r="Q87" s="335"/>
      <c r="R87" s="335"/>
      <c r="S87" s="337"/>
      <c r="T87" s="37"/>
      <c r="U87" s="37"/>
      <c r="V87" s="37"/>
      <c r="W87" s="37"/>
    </row>
    <row r="88" spans="1:23">
      <c r="A88" s="338" t="s">
        <v>202</v>
      </c>
      <c r="B88" s="339"/>
      <c r="C88" s="340"/>
      <c r="D88" s="335"/>
      <c r="E88" s="335"/>
      <c r="F88" s="335"/>
      <c r="G88" s="335"/>
      <c r="H88" s="335"/>
      <c r="I88" s="335"/>
      <c r="J88" s="335"/>
      <c r="K88" s="335"/>
      <c r="L88" s="335"/>
      <c r="M88" s="335"/>
      <c r="N88" s="335"/>
      <c r="O88" s="335"/>
      <c r="P88" s="335"/>
      <c r="Q88" s="335"/>
      <c r="R88" s="335"/>
      <c r="S88" s="337"/>
      <c r="T88" s="37"/>
      <c r="U88" s="37"/>
      <c r="V88" s="37"/>
      <c r="W88" s="37"/>
    </row>
    <row r="89" spans="1:23">
      <c r="A89" s="328"/>
      <c r="B89" s="341"/>
      <c r="C89" s="336"/>
      <c r="D89" s="35"/>
      <c r="E89" s="336"/>
      <c r="F89" s="121"/>
      <c r="G89" s="121"/>
      <c r="H89" s="121"/>
      <c r="I89" s="121"/>
      <c r="J89" s="121"/>
      <c r="K89" s="121"/>
      <c r="L89" s="121"/>
      <c r="M89" s="121"/>
      <c r="N89" s="121"/>
      <c r="O89" s="121"/>
      <c r="P89" s="121"/>
      <c r="Q89" s="121"/>
      <c r="R89" s="121"/>
      <c r="S89" s="121"/>
      <c r="T89" s="121"/>
      <c r="U89" s="121"/>
      <c r="V89" s="121"/>
      <c r="W89" s="121"/>
    </row>
    <row r="90" spans="1:23">
      <c r="A90" s="7"/>
      <c r="B90" s="203"/>
    </row>
    <row r="91" spans="1:23">
      <c r="A91" s="342" t="s">
        <v>71</v>
      </c>
      <c r="B91" s="426" t="s">
        <v>371</v>
      </c>
    </row>
    <row r="92" spans="1:23">
      <c r="A92" s="7"/>
      <c r="B92" s="343" t="s">
        <v>159</v>
      </c>
    </row>
    <row r="93" spans="1:23">
      <c r="A93" s="7"/>
      <c r="B93" s="343" t="s">
        <v>3</v>
      </c>
    </row>
    <row r="94" spans="1:23">
      <c r="A94" s="7"/>
      <c r="B94" s="343" t="s">
        <v>4</v>
      </c>
    </row>
    <row r="95" spans="1:23">
      <c r="B95" s="343" t="s">
        <v>151</v>
      </c>
    </row>
    <row r="97" spans="1:12" ht="13.9" thickBot="1">
      <c r="A97" s="394" t="s">
        <v>460</v>
      </c>
      <c r="B97" s="499" t="s">
        <v>461</v>
      </c>
    </row>
    <row r="98" spans="1:12" s="262" customFormat="1" ht="12" thickBot="1">
      <c r="A98" s="346" t="s">
        <v>18</v>
      </c>
      <c r="B98" s="346" t="s">
        <v>119</v>
      </c>
      <c r="C98" s="346" t="s">
        <v>121</v>
      </c>
      <c r="D98" s="346" t="s">
        <v>122</v>
      </c>
      <c r="E98" s="346" t="s">
        <v>123</v>
      </c>
      <c r="F98" s="346" t="s">
        <v>19</v>
      </c>
      <c r="G98" s="346" t="s">
        <v>78</v>
      </c>
      <c r="H98" s="346" t="s">
        <v>124</v>
      </c>
      <c r="I98" s="346" t="s">
        <v>125</v>
      </c>
      <c r="J98" s="346" t="s">
        <v>126</v>
      </c>
      <c r="K98" s="346" t="s">
        <v>127</v>
      </c>
      <c r="L98" s="346" t="s">
        <v>129</v>
      </c>
    </row>
    <row r="99" spans="1:12" s="262" customFormat="1" ht="12" thickBot="1">
      <c r="A99" s="347" t="str">
        <f>IF('Basic Data'!C6="","",'Basic Data'!C6)</f>
        <v>Not listed</v>
      </c>
      <c r="B99" s="348" t="str">
        <f>IF($A$99="","",VLOOKUP($A$99,$A$102:$J$157,2,FALSE))</f>
        <v>-----</v>
      </c>
      <c r="C99" s="348" t="str">
        <f>IF($A$99="","",VLOOKUP($A$99,$A$102:$J$157,3,FALSE))</f>
        <v>-----</v>
      </c>
      <c r="D99" s="348" t="str">
        <f>IF($A$99="","",VLOOKUP($A$99,$A$102:$J$157,4,FALSE))</f>
        <v>-----</v>
      </c>
      <c r="E99" s="348" t="str">
        <f>IF($A$99="","",VLOOKUP($A$99,$A$102:$J$157,5,FALSE))</f>
        <v>-----</v>
      </c>
      <c r="F99" s="348" t="str">
        <f>IF($A$99="","",VLOOKUP($A$99,$A$102:$J$157,6,FALSE))</f>
        <v>-----</v>
      </c>
      <c r="G99" s="349" t="str">
        <f>IF($A$99="","",VLOOKUP($A$99,$A$102:$J$157,7,FALSE))</f>
        <v>-----</v>
      </c>
      <c r="H99" s="348">
        <f>IF($A$99="","",VLOOKUP($A$99,$A$102:$J$157,8,FALSE))</f>
        <v>0</v>
      </c>
      <c r="I99" s="348">
        <f>IF($A$99="","",VLOOKUP($A$99,$A$102:$J$157,9,FALSE))</f>
        <v>0</v>
      </c>
      <c r="J99" s="349">
        <f>IF($A$99="","",VLOOKUP($A$99,$A$102:$J$157,10,FALSE))</f>
        <v>0</v>
      </c>
      <c r="K99" s="349"/>
      <c r="L99" s="348"/>
    </row>
    <row r="101" spans="1:12" s="325" customFormat="1" ht="12" customHeight="1">
      <c r="A101" s="71" t="s">
        <v>18</v>
      </c>
      <c r="B101" s="71" t="s">
        <v>119</v>
      </c>
      <c r="C101" s="71" t="s">
        <v>121</v>
      </c>
      <c r="D101" s="71" t="s">
        <v>122</v>
      </c>
      <c r="E101" s="71" t="s">
        <v>123</v>
      </c>
      <c r="F101" s="71" t="s">
        <v>19</v>
      </c>
      <c r="G101" s="71" t="s">
        <v>78</v>
      </c>
      <c r="H101" s="71" t="s">
        <v>124</v>
      </c>
      <c r="I101" s="71" t="s">
        <v>128</v>
      </c>
      <c r="J101" s="71" t="s">
        <v>126</v>
      </c>
      <c r="K101" s="71"/>
      <c r="L101" s="71"/>
    </row>
    <row r="102" spans="1:12">
      <c r="A102" s="193" t="s">
        <v>467</v>
      </c>
      <c r="B102" s="324" t="s">
        <v>251</v>
      </c>
      <c r="C102" s="324" t="s">
        <v>251</v>
      </c>
      <c r="D102" s="324" t="s">
        <v>251</v>
      </c>
      <c r="E102" s="324" t="s">
        <v>251</v>
      </c>
      <c r="F102" s="324" t="s">
        <v>251</v>
      </c>
      <c r="G102" s="326" t="s">
        <v>251</v>
      </c>
      <c r="H102" s="121"/>
      <c r="I102" s="121"/>
      <c r="J102" s="344"/>
      <c r="K102" s="344"/>
      <c r="L102" s="121"/>
    </row>
    <row r="103" spans="1:12">
      <c r="A103" s="70"/>
      <c r="B103" s="121"/>
      <c r="C103" s="121"/>
      <c r="D103" s="70"/>
      <c r="E103" s="70"/>
      <c r="F103" s="121"/>
      <c r="G103" s="345"/>
      <c r="H103" s="121"/>
      <c r="I103" s="121"/>
      <c r="J103" s="344"/>
      <c r="K103" s="344"/>
      <c r="L103" s="121"/>
    </row>
    <row r="104" spans="1:12">
      <c r="A104" s="70"/>
      <c r="B104" s="121"/>
      <c r="C104" s="121"/>
      <c r="D104" s="70"/>
      <c r="E104" s="70"/>
      <c r="F104" s="121"/>
      <c r="G104" s="345"/>
      <c r="H104" s="121"/>
      <c r="I104" s="121"/>
      <c r="J104" s="344"/>
      <c r="K104" s="344"/>
      <c r="L104" s="121"/>
    </row>
    <row r="105" spans="1:12">
      <c r="A105" s="70"/>
      <c r="B105" s="121"/>
      <c r="C105" s="121"/>
      <c r="D105" s="70"/>
      <c r="E105" s="70"/>
      <c r="F105" s="121"/>
      <c r="G105" s="345"/>
      <c r="H105" s="121"/>
      <c r="I105" s="121"/>
      <c r="J105" s="344"/>
      <c r="K105" s="344"/>
      <c r="L105" s="121"/>
    </row>
    <row r="106" spans="1:12">
      <c r="A106" s="70"/>
      <c r="B106" s="121"/>
      <c r="C106" s="121"/>
      <c r="D106" s="70"/>
      <c r="E106" s="70"/>
      <c r="F106" s="121"/>
      <c r="G106" s="345"/>
      <c r="H106" s="121"/>
      <c r="I106" s="121"/>
      <c r="J106" s="344"/>
      <c r="K106" s="344"/>
      <c r="L106" s="121"/>
    </row>
    <row r="107" spans="1:12">
      <c r="A107" s="70"/>
      <c r="B107" s="121"/>
      <c r="C107" s="121"/>
      <c r="D107" s="70"/>
      <c r="E107" s="70"/>
      <c r="F107" s="121"/>
      <c r="G107" s="345"/>
      <c r="H107" s="121"/>
      <c r="I107" s="121"/>
      <c r="J107" s="344"/>
      <c r="K107" s="344"/>
      <c r="L107" s="121"/>
    </row>
    <row r="108" spans="1:12">
      <c r="A108" s="70"/>
      <c r="B108" s="121"/>
      <c r="C108" s="121"/>
      <c r="D108" s="70"/>
      <c r="E108" s="70"/>
      <c r="F108" s="121"/>
      <c r="G108" s="345"/>
      <c r="H108" s="121"/>
      <c r="I108" s="121"/>
      <c r="J108" s="344"/>
      <c r="K108" s="344"/>
      <c r="L108" s="121"/>
    </row>
    <row r="109" spans="1:12">
      <c r="A109" s="70"/>
      <c r="B109" s="121"/>
      <c r="C109" s="121"/>
      <c r="D109" s="70"/>
      <c r="E109" s="70"/>
      <c r="F109" s="121"/>
      <c r="G109" s="345"/>
      <c r="H109" s="121"/>
      <c r="I109" s="121"/>
      <c r="J109" s="344"/>
      <c r="K109" s="344"/>
      <c r="L109" s="121"/>
    </row>
    <row r="110" spans="1:12">
      <c r="A110" s="145" t="s">
        <v>471</v>
      </c>
      <c r="B110" s="121"/>
      <c r="C110" s="121"/>
      <c r="D110" s="70"/>
      <c r="E110" s="70"/>
      <c r="F110" s="121"/>
      <c r="G110" s="345"/>
      <c r="H110" s="121"/>
      <c r="I110" s="121"/>
      <c r="J110" s="344"/>
      <c r="K110" s="344"/>
      <c r="L110" s="121"/>
    </row>
    <row r="111" spans="1:12">
      <c r="A111" s="145" t="s">
        <v>472</v>
      </c>
      <c r="B111" s="121"/>
      <c r="C111" s="121"/>
      <c r="D111" s="70"/>
      <c r="E111" s="70"/>
      <c r="F111" s="121"/>
      <c r="G111" s="345"/>
      <c r="H111" s="121"/>
      <c r="I111" s="121"/>
      <c r="J111" s="344"/>
      <c r="K111" s="344"/>
      <c r="L111" s="121"/>
    </row>
    <row r="112" spans="1:12">
      <c r="A112" s="145" t="s">
        <v>473</v>
      </c>
      <c r="B112" s="121"/>
      <c r="C112" s="121"/>
      <c r="D112" s="70"/>
      <c r="E112" s="70"/>
      <c r="F112" s="121"/>
      <c r="G112" s="345"/>
      <c r="H112" s="121"/>
      <c r="I112" s="121"/>
      <c r="J112" s="344"/>
      <c r="K112" s="344"/>
      <c r="L112" s="121"/>
    </row>
    <row r="113" spans="1:12">
      <c r="A113" s="145" t="s">
        <v>474</v>
      </c>
      <c r="B113" s="121"/>
      <c r="C113" s="121"/>
      <c r="D113" s="70"/>
      <c r="E113" s="70"/>
      <c r="F113" s="121"/>
      <c r="G113" s="345"/>
      <c r="H113" s="121"/>
      <c r="I113" s="121"/>
      <c r="J113" s="344"/>
      <c r="K113" s="344"/>
      <c r="L113" s="121"/>
    </row>
    <row r="114" spans="1:12">
      <c r="A114" s="145" t="s">
        <v>475</v>
      </c>
      <c r="B114" s="121"/>
      <c r="C114" s="121"/>
      <c r="D114" s="70"/>
      <c r="E114" s="70"/>
      <c r="F114" s="121"/>
      <c r="G114" s="345"/>
      <c r="H114" s="121"/>
      <c r="I114" s="121"/>
      <c r="J114" s="344"/>
      <c r="K114" s="344"/>
      <c r="L114" s="121"/>
    </row>
    <row r="115" spans="1:12">
      <c r="A115" s="145" t="s">
        <v>476</v>
      </c>
      <c r="B115" s="121"/>
      <c r="C115" s="121"/>
      <c r="D115" s="70"/>
      <c r="E115" s="70"/>
      <c r="F115" s="121"/>
      <c r="G115" s="345"/>
      <c r="H115" s="121"/>
      <c r="I115" s="121"/>
      <c r="J115" s="344"/>
      <c r="K115" s="344"/>
      <c r="L115" s="121"/>
    </row>
    <row r="116" spans="1:12">
      <c r="A116" s="145" t="s">
        <v>477</v>
      </c>
      <c r="B116" s="121"/>
      <c r="C116" s="121"/>
      <c r="D116" s="70"/>
      <c r="E116" s="70"/>
      <c r="F116" s="121"/>
      <c r="G116" s="345"/>
      <c r="H116" s="121"/>
      <c r="I116" s="121"/>
      <c r="J116" s="344"/>
      <c r="K116" s="344"/>
      <c r="L116" s="121"/>
    </row>
    <row r="117" spans="1:12">
      <c r="A117" s="145" t="s">
        <v>478</v>
      </c>
      <c r="B117" s="121"/>
      <c r="C117" s="121"/>
      <c r="D117" s="70"/>
      <c r="E117" s="70"/>
      <c r="F117" s="121"/>
      <c r="G117" s="345"/>
      <c r="H117" s="121"/>
      <c r="I117" s="121"/>
      <c r="J117" s="344"/>
      <c r="K117" s="344"/>
      <c r="L117" s="121"/>
    </row>
    <row r="118" spans="1:12">
      <c r="A118" s="145" t="s">
        <v>479</v>
      </c>
      <c r="B118" s="121"/>
      <c r="C118" s="121"/>
      <c r="D118" s="70"/>
      <c r="E118" s="70"/>
      <c r="F118" s="121"/>
      <c r="G118" s="345"/>
      <c r="H118" s="121"/>
      <c r="I118" s="121"/>
      <c r="J118" s="344"/>
      <c r="K118" s="344"/>
      <c r="L118" s="121"/>
    </row>
    <row r="119" spans="1:12">
      <c r="A119" s="145" t="s">
        <v>480</v>
      </c>
      <c r="B119" s="121"/>
      <c r="C119" s="121"/>
      <c r="D119" s="70"/>
      <c r="E119" s="70"/>
      <c r="F119" s="121"/>
      <c r="G119" s="345"/>
      <c r="H119" s="121"/>
      <c r="I119" s="121"/>
      <c r="J119" s="344"/>
      <c r="K119" s="344"/>
      <c r="L119" s="121"/>
    </row>
    <row r="120" spans="1:12">
      <c r="A120" s="145" t="s">
        <v>481</v>
      </c>
      <c r="B120" s="121"/>
      <c r="C120" s="121"/>
      <c r="D120" s="70"/>
      <c r="E120" s="70"/>
      <c r="F120" s="121"/>
      <c r="G120" s="345"/>
      <c r="H120" s="121"/>
      <c r="I120" s="121"/>
      <c r="J120" s="344"/>
      <c r="K120" s="344"/>
      <c r="L120" s="121"/>
    </row>
    <row r="121" spans="1:12">
      <c r="A121" s="145" t="s">
        <v>482</v>
      </c>
      <c r="B121" s="121"/>
      <c r="C121" s="121"/>
      <c r="D121" s="70"/>
      <c r="E121" s="70"/>
      <c r="F121" s="121"/>
      <c r="G121" s="345"/>
      <c r="H121" s="121"/>
      <c r="I121" s="121"/>
      <c r="J121" s="344"/>
      <c r="K121" s="344"/>
      <c r="L121" s="121"/>
    </row>
    <row r="122" spans="1:12">
      <c r="A122" s="145" t="s">
        <v>483</v>
      </c>
      <c r="B122" s="121"/>
      <c r="C122" s="121"/>
      <c r="D122" s="70"/>
      <c r="E122" s="70"/>
      <c r="F122" s="121"/>
      <c r="G122" s="345"/>
      <c r="H122" s="121"/>
      <c r="I122" s="121"/>
      <c r="J122" s="344"/>
      <c r="K122" s="344"/>
      <c r="L122" s="121"/>
    </row>
    <row r="123" spans="1:12">
      <c r="A123" s="145" t="s">
        <v>484</v>
      </c>
      <c r="B123" s="121"/>
      <c r="C123" s="121"/>
      <c r="D123" s="70"/>
      <c r="E123" s="70"/>
      <c r="F123" s="121"/>
      <c r="G123" s="345"/>
      <c r="H123" s="121"/>
      <c r="I123" s="121"/>
      <c r="J123" s="344"/>
      <c r="K123" s="344"/>
      <c r="L123" s="121"/>
    </row>
    <row r="124" spans="1:12">
      <c r="A124" s="145" t="s">
        <v>485</v>
      </c>
      <c r="B124" s="121"/>
      <c r="C124" s="121"/>
      <c r="D124" s="70"/>
      <c r="E124" s="70"/>
      <c r="F124" s="121"/>
      <c r="G124" s="345"/>
      <c r="H124" s="121"/>
      <c r="I124" s="121"/>
      <c r="J124" s="344"/>
      <c r="K124" s="344"/>
      <c r="L124" s="121"/>
    </row>
    <row r="125" spans="1:12">
      <c r="A125" s="145" t="s">
        <v>486</v>
      </c>
      <c r="B125" s="121"/>
      <c r="C125" s="121"/>
      <c r="D125" s="70"/>
      <c r="E125" s="70"/>
      <c r="F125" s="121"/>
      <c r="G125" s="345"/>
      <c r="H125" s="121"/>
      <c r="I125" s="121"/>
      <c r="J125" s="344"/>
      <c r="K125" s="344"/>
      <c r="L125" s="121"/>
    </row>
    <row r="126" spans="1:12">
      <c r="A126" s="145" t="s">
        <v>487</v>
      </c>
      <c r="B126" s="121"/>
      <c r="C126" s="121"/>
      <c r="D126" s="70"/>
      <c r="E126" s="70"/>
      <c r="F126" s="121"/>
      <c r="G126" s="345"/>
      <c r="H126" s="121"/>
      <c r="I126" s="121"/>
      <c r="J126" s="344"/>
      <c r="K126" s="344"/>
      <c r="L126" s="121"/>
    </row>
    <row r="127" spans="1:12">
      <c r="A127" s="145" t="s">
        <v>488</v>
      </c>
      <c r="B127" s="121"/>
      <c r="C127" s="121"/>
      <c r="D127" s="70"/>
      <c r="E127" s="70"/>
      <c r="F127" s="121"/>
      <c r="G127" s="345"/>
      <c r="H127" s="121"/>
      <c r="I127" s="121"/>
      <c r="J127" s="344"/>
      <c r="K127" s="344"/>
      <c r="L127" s="121"/>
    </row>
    <row r="128" spans="1:12">
      <c r="A128" s="145" t="s">
        <v>489</v>
      </c>
      <c r="B128" s="121"/>
      <c r="C128" s="121"/>
      <c r="D128" s="70"/>
      <c r="E128" s="70"/>
      <c r="F128" s="121"/>
      <c r="G128" s="345"/>
      <c r="H128" s="121"/>
      <c r="I128" s="121"/>
      <c r="J128" s="344"/>
      <c r="K128" s="344"/>
      <c r="L128" s="121"/>
    </row>
    <row r="129" spans="1:12">
      <c r="A129" s="145" t="s">
        <v>490</v>
      </c>
      <c r="B129" s="121"/>
      <c r="C129" s="121"/>
      <c r="D129" s="70"/>
      <c r="E129" s="70"/>
      <c r="F129" s="121"/>
      <c r="G129" s="345"/>
      <c r="H129" s="121"/>
      <c r="I129" s="121"/>
      <c r="J129" s="344"/>
      <c r="K129" s="344"/>
      <c r="L129" s="121"/>
    </row>
    <row r="130" spans="1:12">
      <c r="A130" s="145" t="s">
        <v>491</v>
      </c>
      <c r="B130" s="121"/>
      <c r="C130" s="121"/>
      <c r="D130" s="70"/>
      <c r="E130" s="70"/>
      <c r="F130" s="121"/>
      <c r="G130" s="345"/>
      <c r="H130" s="121"/>
      <c r="I130" s="121"/>
      <c r="J130" s="344"/>
      <c r="K130" s="344"/>
      <c r="L130" s="121"/>
    </row>
    <row r="131" spans="1:12">
      <c r="A131" s="145" t="s">
        <v>492</v>
      </c>
      <c r="B131" s="121"/>
      <c r="C131" s="121"/>
      <c r="D131" s="70"/>
      <c r="E131" s="70"/>
      <c r="F131" s="121"/>
      <c r="G131" s="345"/>
      <c r="H131" s="121"/>
      <c r="I131" s="121"/>
      <c r="J131" s="344"/>
      <c r="K131" s="344"/>
      <c r="L131" s="121"/>
    </row>
    <row r="132" spans="1:12">
      <c r="A132" s="145" t="s">
        <v>493</v>
      </c>
      <c r="B132" s="121"/>
      <c r="C132" s="121"/>
      <c r="D132" s="70"/>
      <c r="E132" s="70"/>
      <c r="F132" s="121"/>
      <c r="G132" s="345"/>
      <c r="H132" s="121"/>
      <c r="I132" s="121"/>
      <c r="J132" s="344"/>
      <c r="K132" s="344"/>
      <c r="L132" s="121"/>
    </row>
    <row r="133" spans="1:12">
      <c r="A133" s="145" t="s">
        <v>494</v>
      </c>
      <c r="B133" s="121"/>
      <c r="C133" s="121"/>
      <c r="D133" s="70"/>
      <c r="E133" s="70"/>
      <c r="F133" s="121"/>
      <c r="G133" s="345"/>
      <c r="H133" s="121"/>
      <c r="I133" s="121"/>
      <c r="J133" s="344"/>
      <c r="K133" s="344"/>
      <c r="L133" s="121"/>
    </row>
    <row r="134" spans="1:12">
      <c r="A134" s="145" t="s">
        <v>495</v>
      </c>
      <c r="B134" s="121"/>
      <c r="C134" s="121"/>
      <c r="D134" s="70"/>
      <c r="E134" s="70"/>
      <c r="F134" s="121"/>
      <c r="G134" s="345"/>
      <c r="H134" s="121"/>
      <c r="I134" s="121"/>
      <c r="J134" s="344"/>
      <c r="K134" s="344"/>
      <c r="L134" s="121"/>
    </row>
    <row r="135" spans="1:12">
      <c r="A135" s="145" t="s">
        <v>496</v>
      </c>
      <c r="B135" s="121"/>
      <c r="C135" s="121"/>
      <c r="D135" s="70"/>
      <c r="E135" s="70"/>
      <c r="F135" s="121"/>
      <c r="G135" s="345"/>
      <c r="H135" s="121"/>
      <c r="I135" s="121"/>
      <c r="J135" s="344"/>
      <c r="K135" s="344"/>
      <c r="L135" s="121"/>
    </row>
    <row r="136" spans="1:12">
      <c r="A136" s="145" t="s">
        <v>497</v>
      </c>
      <c r="B136" s="121"/>
      <c r="C136" s="121"/>
      <c r="D136" s="70"/>
      <c r="E136" s="70"/>
      <c r="F136" s="121"/>
      <c r="G136" s="345"/>
      <c r="H136" s="121"/>
      <c r="I136" s="121"/>
      <c r="J136" s="344"/>
      <c r="K136" s="344"/>
      <c r="L136" s="121"/>
    </row>
    <row r="137" spans="1:12">
      <c r="A137" s="145" t="s">
        <v>498</v>
      </c>
      <c r="B137" s="121"/>
      <c r="C137" s="121"/>
      <c r="D137" s="70"/>
      <c r="E137" s="70"/>
      <c r="F137" s="121"/>
      <c r="G137" s="345"/>
      <c r="H137" s="121"/>
      <c r="I137" s="121"/>
      <c r="J137" s="344"/>
      <c r="K137" s="344"/>
      <c r="L137" s="121"/>
    </row>
    <row r="138" spans="1:12">
      <c r="A138" s="145" t="s">
        <v>499</v>
      </c>
      <c r="B138" s="121"/>
      <c r="C138" s="121"/>
      <c r="D138" s="70"/>
      <c r="E138" s="70"/>
      <c r="F138" s="121"/>
      <c r="G138" s="345"/>
      <c r="H138" s="121"/>
      <c r="I138" s="121"/>
      <c r="J138" s="344"/>
      <c r="K138" s="344"/>
      <c r="L138" s="121"/>
    </row>
    <row r="139" spans="1:12">
      <c r="A139" s="145" t="s">
        <v>500</v>
      </c>
      <c r="B139" s="121"/>
      <c r="C139" s="121"/>
      <c r="D139" s="70"/>
      <c r="E139" s="70"/>
      <c r="F139" s="121"/>
      <c r="G139" s="345"/>
      <c r="H139" s="121"/>
      <c r="I139" s="121"/>
      <c r="J139" s="344"/>
      <c r="K139" s="344"/>
      <c r="L139" s="121"/>
    </row>
    <row r="140" spans="1:12">
      <c r="A140" s="145" t="s">
        <v>501</v>
      </c>
      <c r="B140" s="121"/>
      <c r="C140" s="121"/>
      <c r="D140" s="70"/>
      <c r="E140" s="70"/>
      <c r="F140" s="121"/>
      <c r="G140" s="345"/>
      <c r="H140" s="121"/>
      <c r="I140" s="121"/>
      <c r="J140" s="344"/>
      <c r="K140" s="344"/>
      <c r="L140" s="121"/>
    </row>
    <row r="141" spans="1:12">
      <c r="A141" s="145" t="s">
        <v>502</v>
      </c>
      <c r="B141" s="121"/>
      <c r="C141" s="121"/>
      <c r="D141" s="70"/>
      <c r="E141" s="70"/>
      <c r="F141" s="121"/>
      <c r="G141" s="345"/>
      <c r="H141" s="121"/>
      <c r="I141" s="121"/>
      <c r="J141" s="344"/>
      <c r="K141" s="344"/>
      <c r="L141" s="121"/>
    </row>
    <row r="142" spans="1:12">
      <c r="A142" s="145" t="s">
        <v>503</v>
      </c>
      <c r="B142" s="121"/>
      <c r="C142" s="121"/>
      <c r="D142" s="70"/>
      <c r="E142" s="70"/>
      <c r="F142" s="121"/>
      <c r="G142" s="345"/>
      <c r="H142" s="121"/>
      <c r="I142" s="121"/>
      <c r="J142" s="344"/>
      <c r="K142" s="344"/>
      <c r="L142" s="121"/>
    </row>
    <row r="143" spans="1:12">
      <c r="A143" s="145" t="s">
        <v>504</v>
      </c>
      <c r="B143" s="121"/>
      <c r="C143" s="121"/>
      <c r="D143" s="70"/>
      <c r="E143" s="70"/>
      <c r="F143" s="121"/>
      <c r="G143" s="345"/>
      <c r="H143" s="121"/>
      <c r="I143" s="121"/>
      <c r="J143" s="344"/>
      <c r="K143" s="344"/>
      <c r="L143" s="121"/>
    </row>
    <row r="144" spans="1:12">
      <c r="A144" s="145" t="s">
        <v>505</v>
      </c>
      <c r="B144" s="121"/>
      <c r="C144" s="121"/>
      <c r="D144" s="70"/>
      <c r="E144" s="70"/>
      <c r="F144" s="121"/>
      <c r="G144" s="345"/>
      <c r="H144" s="121"/>
      <c r="I144" s="121"/>
      <c r="J144" s="121"/>
      <c r="K144" s="121"/>
      <c r="L144" s="121"/>
    </row>
    <row r="145" spans="1:12">
      <c r="A145" s="145" t="s">
        <v>506</v>
      </c>
      <c r="B145" s="121"/>
      <c r="C145" s="121"/>
      <c r="D145" s="70"/>
      <c r="E145" s="70"/>
      <c r="F145" s="121"/>
      <c r="G145" s="345"/>
      <c r="H145" s="121"/>
      <c r="I145" s="121"/>
      <c r="J145" s="121"/>
      <c r="K145" s="121"/>
      <c r="L145" s="121"/>
    </row>
    <row r="146" spans="1:12">
      <c r="A146" s="145" t="s">
        <v>507</v>
      </c>
      <c r="B146" s="121"/>
      <c r="C146" s="121"/>
      <c r="D146" s="70"/>
      <c r="E146" s="70"/>
      <c r="F146" s="121"/>
      <c r="G146" s="345"/>
      <c r="H146" s="121"/>
      <c r="I146" s="121"/>
      <c r="J146" s="121"/>
      <c r="K146" s="121"/>
      <c r="L146" s="121"/>
    </row>
    <row r="147" spans="1:12">
      <c r="A147" s="145" t="s">
        <v>508</v>
      </c>
      <c r="B147" s="121"/>
      <c r="C147" s="121"/>
      <c r="D147" s="70"/>
      <c r="E147" s="70"/>
      <c r="F147" s="121"/>
      <c r="G147" s="345"/>
      <c r="H147" s="121"/>
      <c r="I147" s="121"/>
      <c r="J147" s="121"/>
      <c r="K147" s="121"/>
      <c r="L147" s="121"/>
    </row>
    <row r="148" spans="1:12">
      <c r="A148" s="145" t="s">
        <v>509</v>
      </c>
      <c r="B148" s="121"/>
      <c r="C148" s="121"/>
      <c r="D148" s="70"/>
      <c r="E148" s="70"/>
      <c r="F148" s="121"/>
      <c r="G148" s="345"/>
      <c r="H148" s="121"/>
      <c r="I148" s="121"/>
      <c r="J148" s="121"/>
      <c r="K148" s="121"/>
      <c r="L148" s="121"/>
    </row>
    <row r="149" spans="1:12">
      <c r="A149" s="145" t="s">
        <v>510</v>
      </c>
      <c r="B149" s="121"/>
      <c r="C149" s="121"/>
      <c r="D149" s="70"/>
      <c r="E149" s="70"/>
      <c r="F149" s="121"/>
      <c r="G149" s="345"/>
      <c r="H149" s="121"/>
      <c r="I149" s="121"/>
      <c r="J149" s="121"/>
      <c r="K149" s="121"/>
      <c r="L149" s="121"/>
    </row>
    <row r="150" spans="1:12">
      <c r="A150" s="145" t="s">
        <v>511</v>
      </c>
      <c r="B150" s="121"/>
      <c r="C150" s="121"/>
      <c r="D150" s="70"/>
      <c r="E150" s="70"/>
      <c r="F150" s="121"/>
      <c r="G150" s="345"/>
      <c r="H150" s="121"/>
      <c r="I150" s="121"/>
      <c r="J150" s="121"/>
      <c r="K150" s="121"/>
      <c r="L150" s="121"/>
    </row>
    <row r="151" spans="1:12">
      <c r="A151" s="145" t="s">
        <v>512</v>
      </c>
      <c r="B151" s="121"/>
      <c r="C151" s="121"/>
      <c r="D151" s="70"/>
      <c r="E151" s="70"/>
      <c r="F151" s="121"/>
      <c r="G151" s="345"/>
      <c r="H151" s="121"/>
      <c r="I151" s="121"/>
      <c r="J151" s="121"/>
      <c r="K151" s="121"/>
      <c r="L151" s="121"/>
    </row>
    <row r="152" spans="1:12">
      <c r="A152" s="145" t="s">
        <v>513</v>
      </c>
      <c r="B152" s="121"/>
      <c r="C152" s="121"/>
      <c r="D152" s="70"/>
      <c r="E152" s="70"/>
      <c r="F152" s="121"/>
      <c r="G152" s="345"/>
      <c r="H152" s="121"/>
      <c r="I152" s="121"/>
      <c r="J152" s="121"/>
      <c r="K152" s="121"/>
      <c r="L152" s="121"/>
    </row>
    <row r="153" spans="1:12">
      <c r="A153" s="145" t="s">
        <v>514</v>
      </c>
      <c r="B153" s="121"/>
      <c r="C153" s="121"/>
      <c r="D153" s="70"/>
      <c r="E153" s="70"/>
      <c r="F153" s="121"/>
      <c r="G153" s="345"/>
      <c r="H153" s="121"/>
      <c r="I153" s="121"/>
      <c r="J153" s="121"/>
      <c r="K153" s="121"/>
      <c r="L153" s="121"/>
    </row>
    <row r="154" spans="1:12">
      <c r="A154" s="145" t="s">
        <v>515</v>
      </c>
      <c r="B154" s="121"/>
      <c r="C154" s="121"/>
      <c r="D154" s="70"/>
      <c r="E154" s="70"/>
      <c r="F154" s="121"/>
      <c r="G154" s="345"/>
      <c r="H154" s="121"/>
      <c r="I154" s="121"/>
      <c r="J154" s="121"/>
      <c r="K154" s="121"/>
      <c r="L154" s="121"/>
    </row>
    <row r="155" spans="1:12">
      <c r="A155" s="145" t="s">
        <v>516</v>
      </c>
      <c r="B155" s="121"/>
      <c r="C155" s="121"/>
      <c r="D155" s="70"/>
      <c r="E155" s="70"/>
      <c r="F155" s="121"/>
      <c r="G155" s="345"/>
      <c r="H155" s="121"/>
      <c r="I155" s="121"/>
      <c r="J155" s="121"/>
      <c r="K155" s="121"/>
      <c r="L155" s="121"/>
    </row>
    <row r="156" spans="1:12">
      <c r="A156" s="145" t="s">
        <v>517</v>
      </c>
      <c r="B156" s="121"/>
      <c r="C156" s="121"/>
      <c r="D156" s="70"/>
      <c r="E156" s="70"/>
      <c r="F156" s="121"/>
      <c r="G156" s="345"/>
      <c r="H156" s="121"/>
      <c r="I156" s="121"/>
      <c r="J156" s="121"/>
      <c r="K156" s="121"/>
      <c r="L156" s="121"/>
    </row>
    <row r="157" spans="1:12">
      <c r="A157" s="145" t="s">
        <v>518</v>
      </c>
      <c r="B157" s="121"/>
      <c r="C157" s="121"/>
      <c r="D157" s="70"/>
      <c r="E157" s="70"/>
      <c r="F157" s="121"/>
      <c r="G157" s="345"/>
      <c r="H157" s="344"/>
      <c r="I157" s="121"/>
      <c r="J157" s="344"/>
      <c r="K157" s="344"/>
      <c r="L157" s="121"/>
    </row>
    <row r="158" spans="1:12">
      <c r="A158" s="145" t="s">
        <v>519</v>
      </c>
      <c r="B158" s="121"/>
      <c r="C158" s="121"/>
      <c r="D158" s="70"/>
      <c r="E158" s="70"/>
      <c r="F158" s="121"/>
      <c r="G158" s="344"/>
      <c r="H158" s="344"/>
      <c r="I158" s="121"/>
      <c r="J158" s="344"/>
      <c r="K158" s="344"/>
      <c r="L158" s="121"/>
    </row>
    <row r="159" spans="1:12">
      <c r="A159" s="145" t="s">
        <v>520</v>
      </c>
      <c r="B159" s="121"/>
      <c r="C159" s="121"/>
      <c r="D159" s="70"/>
      <c r="E159" s="70"/>
      <c r="F159" s="121"/>
      <c r="G159" s="344"/>
      <c r="H159" s="344"/>
      <c r="I159" s="121"/>
      <c r="J159" s="344"/>
      <c r="K159" s="344"/>
      <c r="L159" s="121"/>
    </row>
    <row r="160" spans="1:12">
      <c r="A160" s="145" t="s">
        <v>521</v>
      </c>
      <c r="B160" s="121"/>
      <c r="C160" s="121"/>
      <c r="D160" s="70"/>
      <c r="E160" s="70"/>
      <c r="F160" s="121"/>
      <c r="G160" s="344"/>
      <c r="H160" s="344"/>
      <c r="I160" s="121"/>
      <c r="J160" s="344"/>
      <c r="K160" s="344"/>
      <c r="L160" s="121"/>
    </row>
    <row r="161" spans="1:12">
      <c r="A161" s="145" t="s">
        <v>522</v>
      </c>
      <c r="B161" s="121"/>
      <c r="C161" s="121"/>
      <c r="D161" s="70"/>
      <c r="E161" s="70"/>
      <c r="F161" s="121"/>
      <c r="G161" s="344"/>
      <c r="H161" s="344"/>
      <c r="I161" s="121"/>
      <c r="J161" s="344"/>
      <c r="K161" s="344"/>
      <c r="L161" s="121"/>
    </row>
    <row r="162" spans="1:12">
      <c r="A162" s="145" t="s">
        <v>523</v>
      </c>
      <c r="B162" s="121"/>
      <c r="C162" s="121"/>
      <c r="D162" s="70"/>
      <c r="E162" s="70"/>
      <c r="F162" s="121"/>
      <c r="G162" s="344"/>
      <c r="H162" s="344"/>
      <c r="I162" s="121"/>
      <c r="J162" s="344"/>
      <c r="K162" s="344"/>
      <c r="L162" s="121"/>
    </row>
    <row r="163" spans="1:12">
      <c r="A163" s="145" t="s">
        <v>524</v>
      </c>
      <c r="B163" s="121"/>
      <c r="C163" s="121"/>
      <c r="D163" s="70"/>
      <c r="E163" s="70"/>
      <c r="F163" s="121"/>
      <c r="G163" s="344"/>
      <c r="H163" s="344"/>
      <c r="I163" s="121"/>
      <c r="J163" s="344"/>
      <c r="K163" s="344"/>
      <c r="L163" s="121"/>
    </row>
    <row r="164" spans="1:12">
      <c r="A164" s="145" t="s">
        <v>525</v>
      </c>
      <c r="B164" s="121"/>
      <c r="C164" s="121"/>
      <c r="D164" s="70"/>
      <c r="E164" s="70"/>
      <c r="F164" s="121"/>
      <c r="G164" s="344"/>
      <c r="H164" s="344"/>
      <c r="I164" s="121"/>
      <c r="J164" s="344"/>
      <c r="K164" s="344"/>
      <c r="L164" s="121"/>
    </row>
    <row r="165" spans="1:12">
      <c r="A165" s="145" t="s">
        <v>526</v>
      </c>
      <c r="B165" s="121"/>
      <c r="C165" s="121"/>
      <c r="D165" s="70"/>
      <c r="E165" s="70"/>
      <c r="F165" s="121"/>
      <c r="G165" s="344"/>
      <c r="H165" s="344"/>
      <c r="I165" s="121"/>
      <c r="J165" s="344"/>
      <c r="K165" s="344"/>
      <c r="L165" s="121"/>
    </row>
    <row r="166" spans="1:12">
      <c r="A166" s="500" t="s">
        <v>527</v>
      </c>
    </row>
    <row r="167" spans="1:12">
      <c r="A167" s="500" t="s">
        <v>528</v>
      </c>
    </row>
    <row r="168" spans="1:12">
      <c r="A168" s="500" t="s">
        <v>529</v>
      </c>
    </row>
    <row r="169" spans="1:12">
      <c r="A169" s="500" t="s">
        <v>530</v>
      </c>
    </row>
    <row r="170" spans="1:12">
      <c r="A170" s="500" t="s">
        <v>531</v>
      </c>
    </row>
    <row r="171" spans="1:12">
      <c r="A171" s="500" t="s">
        <v>532</v>
      </c>
    </row>
    <row r="172" spans="1:12">
      <c r="A172" s="500" t="s">
        <v>533</v>
      </c>
    </row>
    <row r="173" spans="1:12">
      <c r="A173" s="500" t="s">
        <v>534</v>
      </c>
    </row>
    <row r="174" spans="1:12">
      <c r="A174" s="500" t="s">
        <v>535</v>
      </c>
    </row>
    <row r="175" spans="1:12">
      <c r="A175" s="500" t="s">
        <v>536</v>
      </c>
    </row>
    <row r="176" spans="1:12">
      <c r="A176" s="500" t="s">
        <v>537</v>
      </c>
    </row>
    <row r="177" spans="1:12">
      <c r="A177" s="500" t="s">
        <v>538</v>
      </c>
    </row>
    <row r="178" spans="1:12">
      <c r="A178" s="500" t="s">
        <v>539</v>
      </c>
    </row>
    <row r="179" spans="1:12">
      <c r="A179" s="500" t="s">
        <v>540</v>
      </c>
    </row>
    <row r="180" spans="1:12">
      <c r="A180" s="500" t="s">
        <v>541</v>
      </c>
    </row>
    <row r="181" spans="1:12">
      <c r="A181" s="500" t="s">
        <v>542</v>
      </c>
    </row>
    <row r="182" spans="1:12">
      <c r="A182" s="145" t="s">
        <v>543</v>
      </c>
      <c r="B182" s="121"/>
      <c r="C182" s="121"/>
      <c r="D182" s="70"/>
      <c r="E182" s="70"/>
      <c r="F182" s="121"/>
      <c r="G182" s="344"/>
      <c r="H182" s="344"/>
      <c r="I182" s="121"/>
      <c r="J182" s="344"/>
      <c r="K182" s="344"/>
      <c r="L182" s="121"/>
    </row>
    <row r="183" spans="1:12">
      <c r="A183" s="145" t="s">
        <v>544</v>
      </c>
      <c r="B183" s="121"/>
      <c r="C183" s="121"/>
      <c r="D183" s="70"/>
      <c r="E183" s="70"/>
      <c r="F183" s="121"/>
      <c r="G183" s="344"/>
      <c r="H183" s="344"/>
      <c r="I183" s="121"/>
      <c r="J183" s="344"/>
      <c r="K183" s="344"/>
      <c r="L183" s="121"/>
    </row>
    <row r="184" spans="1:12">
      <c r="A184" s="145" t="s">
        <v>545</v>
      </c>
      <c r="B184" s="121"/>
      <c r="C184" s="121"/>
      <c r="D184" s="70"/>
      <c r="E184" s="70"/>
      <c r="F184" s="121"/>
      <c r="G184" s="344"/>
      <c r="H184" s="344"/>
      <c r="I184" s="121"/>
      <c r="J184" s="344"/>
      <c r="K184" s="344"/>
      <c r="L184" s="121"/>
    </row>
    <row r="185" spans="1:12">
      <c r="A185" s="145" t="s">
        <v>546</v>
      </c>
      <c r="B185" s="121"/>
      <c r="C185" s="121"/>
      <c r="D185" s="70"/>
      <c r="E185" s="70"/>
      <c r="F185" s="121"/>
      <c r="G185" s="344"/>
      <c r="H185" s="344"/>
      <c r="I185" s="121"/>
      <c r="J185" s="344"/>
      <c r="K185" s="344"/>
      <c r="L185" s="121"/>
    </row>
    <row r="186" spans="1:12">
      <c r="A186" s="145" t="s">
        <v>547</v>
      </c>
      <c r="B186" s="121"/>
      <c r="C186" s="121"/>
      <c r="D186" s="70"/>
      <c r="E186" s="70"/>
      <c r="F186" s="121"/>
      <c r="G186" s="344"/>
      <c r="H186" s="344"/>
      <c r="I186" s="121"/>
      <c r="J186" s="344"/>
      <c r="K186" s="344"/>
      <c r="L186" s="121"/>
    </row>
    <row r="187" spans="1:12">
      <c r="A187" s="145" t="s">
        <v>548</v>
      </c>
      <c r="B187" s="121"/>
      <c r="C187" s="121"/>
      <c r="D187" s="70"/>
      <c r="E187" s="70"/>
      <c r="F187" s="121"/>
      <c r="G187" s="344"/>
      <c r="H187" s="344"/>
      <c r="I187" s="121"/>
      <c r="J187" s="344"/>
      <c r="K187" s="344"/>
      <c r="L187" s="121"/>
    </row>
    <row r="188" spans="1:12">
      <c r="A188" s="145" t="s">
        <v>549</v>
      </c>
      <c r="B188" s="121"/>
      <c r="C188" s="121"/>
      <c r="D188" s="70"/>
      <c r="E188" s="70"/>
      <c r="F188" s="121"/>
      <c r="G188" s="344"/>
      <c r="H188" s="344"/>
      <c r="I188" s="121"/>
      <c r="J188" s="344"/>
      <c r="K188" s="344"/>
      <c r="L188" s="121"/>
    </row>
    <row r="189" spans="1:12">
      <c r="A189" s="145" t="s">
        <v>550</v>
      </c>
      <c r="B189" s="121"/>
      <c r="C189" s="121"/>
      <c r="D189" s="70"/>
      <c r="E189" s="70"/>
      <c r="F189" s="121"/>
      <c r="G189" s="344"/>
      <c r="H189" s="344"/>
      <c r="I189" s="121"/>
      <c r="J189" s="344"/>
      <c r="K189" s="344"/>
      <c r="L189" s="121"/>
    </row>
    <row r="190" spans="1:12">
      <c r="A190" s="145" t="s">
        <v>551</v>
      </c>
      <c r="B190" s="121"/>
      <c r="C190" s="121"/>
      <c r="D190" s="70"/>
      <c r="E190" s="70"/>
      <c r="F190" s="121"/>
      <c r="G190" s="344"/>
      <c r="H190" s="344"/>
      <c r="I190" s="121"/>
      <c r="J190" s="344"/>
      <c r="K190" s="344"/>
      <c r="L190" s="121"/>
    </row>
    <row r="191" spans="1:12">
      <c r="A191" s="145" t="s">
        <v>552</v>
      </c>
      <c r="B191" s="121"/>
      <c r="C191" s="121"/>
      <c r="D191" s="70"/>
      <c r="E191" s="70"/>
      <c r="F191" s="121"/>
      <c r="G191" s="344"/>
      <c r="H191" s="344"/>
      <c r="I191" s="121"/>
      <c r="J191" s="344"/>
      <c r="K191" s="344"/>
      <c r="L191" s="121"/>
    </row>
    <row r="192" spans="1:12">
      <c r="A192" s="145" t="s">
        <v>553</v>
      </c>
      <c r="B192" s="121"/>
      <c r="C192" s="121"/>
      <c r="D192" s="70"/>
      <c r="E192" s="70"/>
      <c r="F192" s="121"/>
      <c r="G192" s="344"/>
      <c r="H192" s="344"/>
      <c r="I192" s="121"/>
      <c r="J192" s="344"/>
      <c r="K192" s="344"/>
      <c r="L192" s="121"/>
    </row>
    <row r="193" spans="1:12">
      <c r="A193" s="145" t="s">
        <v>554</v>
      </c>
      <c r="B193" s="121"/>
      <c r="C193" s="121"/>
      <c r="D193" s="70"/>
      <c r="E193" s="70"/>
      <c r="F193" s="121"/>
      <c r="G193" s="344"/>
      <c r="H193" s="344"/>
      <c r="I193" s="121"/>
      <c r="J193" s="344"/>
      <c r="K193" s="344"/>
      <c r="L193" s="121"/>
    </row>
    <row r="194" spans="1:12">
      <c r="A194" s="145" t="s">
        <v>555</v>
      </c>
      <c r="B194" s="121"/>
      <c r="C194" s="121"/>
      <c r="D194" s="70"/>
      <c r="E194" s="70"/>
      <c r="F194" s="121"/>
      <c r="G194" s="344"/>
      <c r="H194" s="344"/>
      <c r="I194" s="121"/>
      <c r="J194" s="344"/>
      <c r="K194" s="344"/>
      <c r="L194" s="121"/>
    </row>
    <row r="195" spans="1:12">
      <c r="A195" s="145" t="s">
        <v>556</v>
      </c>
      <c r="B195" s="121"/>
      <c r="C195" s="121"/>
      <c r="D195" s="70"/>
      <c r="E195" s="70"/>
      <c r="F195" s="121"/>
      <c r="G195" s="344"/>
      <c r="H195" s="344"/>
      <c r="I195" s="121"/>
      <c r="J195" s="344"/>
      <c r="K195" s="344"/>
      <c r="L195" s="121"/>
    </row>
    <row r="196" spans="1:12">
      <c r="A196" s="145" t="s">
        <v>557</v>
      </c>
      <c r="B196" s="121"/>
      <c r="C196" s="121"/>
      <c r="D196" s="70"/>
      <c r="E196" s="70"/>
      <c r="F196" s="121"/>
      <c r="G196" s="344"/>
      <c r="H196" s="344"/>
      <c r="I196" s="121"/>
      <c r="J196" s="344"/>
      <c r="K196" s="344"/>
      <c r="L196" s="121"/>
    </row>
    <row r="197" spans="1:12">
      <c r="A197" s="145" t="s">
        <v>558</v>
      </c>
      <c r="B197" s="121"/>
      <c r="C197" s="121"/>
      <c r="D197" s="70"/>
      <c r="E197" s="70"/>
      <c r="F197" s="121"/>
      <c r="G197" s="344"/>
      <c r="H197" s="344"/>
      <c r="I197" s="121"/>
      <c r="J197" s="344"/>
      <c r="K197" s="344"/>
      <c r="L197" s="121"/>
    </row>
    <row r="198" spans="1:12">
      <c r="A198" s="145" t="s">
        <v>559</v>
      </c>
      <c r="B198" s="121"/>
      <c r="C198" s="121"/>
      <c r="D198" s="70"/>
      <c r="E198" s="70"/>
      <c r="F198" s="121"/>
      <c r="G198" s="344"/>
      <c r="H198" s="344"/>
      <c r="I198" s="121"/>
      <c r="J198" s="344"/>
      <c r="K198" s="344"/>
      <c r="L198" s="121"/>
    </row>
    <row r="199" spans="1:12">
      <c r="A199" s="145" t="s">
        <v>560</v>
      </c>
      <c r="B199" s="121"/>
      <c r="C199" s="121"/>
      <c r="D199" s="70"/>
      <c r="E199" s="70"/>
      <c r="F199" s="121"/>
      <c r="G199" s="344"/>
      <c r="H199" s="344"/>
      <c r="I199" s="121"/>
      <c r="J199" s="344"/>
      <c r="K199" s="344"/>
      <c r="L199" s="121"/>
    </row>
    <row r="200" spans="1:12">
      <c r="A200" s="145" t="s">
        <v>561</v>
      </c>
      <c r="B200" s="121"/>
      <c r="C200" s="121"/>
      <c r="D200" s="70"/>
      <c r="E200" s="70"/>
      <c r="F200" s="121"/>
      <c r="G200" s="344"/>
      <c r="H200" s="344"/>
      <c r="I200" s="121"/>
      <c r="J200" s="344"/>
      <c r="K200" s="344"/>
      <c r="L200" s="121"/>
    </row>
    <row r="201" spans="1:12">
      <c r="A201" s="145" t="s">
        <v>562</v>
      </c>
      <c r="B201" s="121"/>
      <c r="C201" s="121"/>
      <c r="D201" s="70"/>
      <c r="E201" s="70"/>
      <c r="F201" s="121"/>
      <c r="G201" s="344"/>
      <c r="H201" s="344"/>
      <c r="I201" s="121"/>
      <c r="J201" s="344"/>
      <c r="K201" s="344"/>
      <c r="L201" s="121"/>
    </row>
    <row r="202" spans="1:12">
      <c r="A202" s="145" t="s">
        <v>563</v>
      </c>
      <c r="B202" s="121"/>
      <c r="C202" s="121"/>
      <c r="D202" s="70"/>
      <c r="E202" s="70"/>
      <c r="F202" s="121"/>
      <c r="G202" s="344"/>
      <c r="H202" s="344"/>
      <c r="I202" s="121"/>
      <c r="J202" s="344"/>
      <c r="K202" s="344"/>
      <c r="L202" s="121"/>
    </row>
    <row r="203" spans="1:12">
      <c r="A203" s="145" t="s">
        <v>564</v>
      </c>
      <c r="B203" s="121"/>
      <c r="C203" s="121"/>
      <c r="D203" s="70"/>
      <c r="E203" s="70"/>
      <c r="F203" s="121"/>
      <c r="G203" s="344"/>
      <c r="H203" s="344"/>
      <c r="I203" s="121"/>
      <c r="J203" s="344"/>
      <c r="K203" s="344"/>
      <c r="L203" s="121"/>
    </row>
    <row r="204" spans="1:12">
      <c r="A204" s="145" t="s">
        <v>565</v>
      </c>
      <c r="B204" s="121"/>
      <c r="C204" s="121"/>
      <c r="D204" s="70"/>
      <c r="E204" s="70"/>
      <c r="F204" s="121"/>
      <c r="G204" s="344"/>
      <c r="H204" s="344"/>
      <c r="I204" s="121"/>
      <c r="J204" s="344"/>
      <c r="K204" s="344"/>
      <c r="L204" s="121"/>
    </row>
    <row r="205" spans="1:12">
      <c r="A205" s="145" t="s">
        <v>566</v>
      </c>
      <c r="B205" s="121"/>
      <c r="C205" s="121"/>
      <c r="D205" s="70"/>
      <c r="E205" s="70"/>
      <c r="F205" s="121"/>
      <c r="G205" s="344"/>
      <c r="H205" s="344"/>
      <c r="I205" s="121"/>
      <c r="J205" s="344"/>
      <c r="K205" s="344"/>
      <c r="L205" s="121"/>
    </row>
    <row r="206" spans="1:12">
      <c r="A206" s="145" t="s">
        <v>567</v>
      </c>
      <c r="B206" s="121"/>
      <c r="C206" s="121"/>
      <c r="D206" s="70"/>
      <c r="E206" s="70"/>
      <c r="F206" s="121"/>
      <c r="G206" s="344"/>
      <c r="H206" s="344"/>
      <c r="I206" s="121"/>
      <c r="J206" s="344"/>
      <c r="K206" s="344"/>
      <c r="L206" s="121"/>
    </row>
    <row r="207" spans="1:12">
      <c r="A207" s="145" t="s">
        <v>568</v>
      </c>
      <c r="B207" s="121"/>
      <c r="C207" s="121"/>
      <c r="D207" s="70"/>
      <c r="E207" s="70"/>
      <c r="F207" s="121"/>
      <c r="G207" s="344"/>
      <c r="H207" s="344"/>
      <c r="I207" s="121"/>
      <c r="J207" s="344"/>
      <c r="K207" s="344"/>
      <c r="L207" s="121"/>
    </row>
    <row r="208" spans="1:12">
      <c r="A208" s="145" t="s">
        <v>569</v>
      </c>
      <c r="B208" s="121"/>
      <c r="C208" s="121"/>
      <c r="D208" s="70"/>
      <c r="E208" s="70"/>
      <c r="F208" s="121"/>
      <c r="G208" s="344"/>
      <c r="H208" s="344"/>
      <c r="I208" s="121"/>
      <c r="J208" s="344"/>
      <c r="K208" s="344"/>
      <c r="L208" s="121"/>
    </row>
    <row r="209" spans="1:12">
      <c r="A209" s="145" t="s">
        <v>570</v>
      </c>
      <c r="B209" s="121"/>
      <c r="C209" s="121"/>
      <c r="D209" s="70"/>
      <c r="E209" s="70"/>
      <c r="F209" s="121"/>
      <c r="G209" s="344"/>
      <c r="H209" s="344"/>
      <c r="I209" s="121"/>
      <c r="J209" s="344"/>
      <c r="K209" s="344"/>
      <c r="L209" s="121"/>
    </row>
    <row r="210" spans="1:12">
      <c r="A210" s="145" t="s">
        <v>571</v>
      </c>
      <c r="B210" s="121"/>
      <c r="C210" s="121"/>
      <c r="D210" s="70"/>
      <c r="E210" s="70"/>
      <c r="F210" s="121"/>
      <c r="G210" s="344"/>
      <c r="H210" s="344"/>
      <c r="I210" s="121"/>
      <c r="J210" s="344"/>
      <c r="K210" s="344"/>
      <c r="L210" s="121"/>
    </row>
    <row r="211" spans="1:12">
      <c r="A211" s="145" t="s">
        <v>572</v>
      </c>
      <c r="B211" s="121"/>
      <c r="C211" s="121"/>
      <c r="D211" s="70"/>
      <c r="E211" s="70"/>
      <c r="F211" s="121"/>
      <c r="G211" s="344"/>
      <c r="H211" s="344"/>
      <c r="I211" s="121"/>
      <c r="J211" s="344"/>
      <c r="K211" s="344"/>
      <c r="L211" s="121"/>
    </row>
    <row r="212" spans="1:12">
      <c r="A212" s="145" t="s">
        <v>573</v>
      </c>
      <c r="B212" s="121"/>
      <c r="C212" s="121"/>
      <c r="D212" s="70"/>
      <c r="E212" s="70"/>
      <c r="F212" s="121"/>
      <c r="G212" s="344"/>
      <c r="H212" s="344"/>
      <c r="I212" s="121"/>
      <c r="J212" s="344"/>
      <c r="K212" s="344"/>
      <c r="L212" s="121"/>
    </row>
    <row r="213" spans="1:12">
      <c r="A213" s="145" t="s">
        <v>574</v>
      </c>
      <c r="B213" s="121"/>
      <c r="C213" s="121"/>
      <c r="D213" s="70"/>
      <c r="E213" s="70"/>
      <c r="F213" s="121"/>
      <c r="G213" s="344"/>
      <c r="H213" s="344"/>
      <c r="I213" s="121"/>
      <c r="J213" s="344"/>
      <c r="K213" s="344"/>
      <c r="L213" s="121"/>
    </row>
    <row r="214" spans="1:12">
      <c r="A214" s="145" t="s">
        <v>575</v>
      </c>
      <c r="B214" s="121"/>
      <c r="C214" s="121"/>
      <c r="D214" s="70"/>
      <c r="E214" s="70"/>
      <c r="F214" s="121"/>
      <c r="G214" s="344"/>
      <c r="H214" s="344"/>
      <c r="I214" s="121"/>
      <c r="J214" s="344"/>
      <c r="K214" s="344"/>
      <c r="L214" s="121"/>
    </row>
    <row r="215" spans="1:12">
      <c r="A215" s="145" t="s">
        <v>576</v>
      </c>
      <c r="B215" s="121"/>
      <c r="C215" s="121"/>
      <c r="D215" s="70"/>
      <c r="E215" s="70"/>
      <c r="F215" s="121"/>
      <c r="G215" s="344"/>
      <c r="H215" s="344"/>
      <c r="I215" s="121"/>
      <c r="J215" s="344"/>
      <c r="K215" s="344"/>
      <c r="L215" s="121"/>
    </row>
    <row r="216" spans="1:12">
      <c r="A216" s="145" t="s">
        <v>577</v>
      </c>
      <c r="B216" s="121"/>
      <c r="C216" s="121"/>
      <c r="D216" s="70"/>
      <c r="E216" s="70"/>
      <c r="F216" s="121"/>
      <c r="G216" s="344"/>
      <c r="H216" s="344"/>
      <c r="I216" s="121"/>
      <c r="J216" s="344"/>
      <c r="K216" s="344"/>
      <c r="L216" s="121"/>
    </row>
    <row r="217" spans="1:12">
      <c r="A217" s="145" t="s">
        <v>578</v>
      </c>
      <c r="B217" s="121"/>
      <c r="C217" s="121"/>
      <c r="D217" s="70"/>
      <c r="E217" s="70"/>
      <c r="F217" s="121"/>
      <c r="G217" s="344"/>
      <c r="H217" s="344"/>
      <c r="I217" s="121"/>
      <c r="J217" s="344"/>
      <c r="K217" s="344"/>
      <c r="L217" s="121"/>
    </row>
    <row r="218" spans="1:12">
      <c r="A218" s="145" t="s">
        <v>579</v>
      </c>
      <c r="B218" s="121"/>
      <c r="C218" s="121"/>
      <c r="D218" s="70"/>
      <c r="E218" s="70"/>
      <c r="F218" s="121"/>
      <c r="G218" s="344"/>
      <c r="H218" s="344"/>
      <c r="I218" s="121"/>
      <c r="J218" s="344"/>
      <c r="K218" s="344"/>
      <c r="L218" s="121"/>
    </row>
    <row r="219" spans="1:12">
      <c r="A219" s="145" t="s">
        <v>580</v>
      </c>
      <c r="B219" s="121"/>
      <c r="C219" s="121"/>
      <c r="D219" s="70"/>
      <c r="E219" s="70"/>
      <c r="F219" s="121"/>
      <c r="G219" s="344"/>
      <c r="H219" s="344"/>
      <c r="I219" s="121"/>
      <c r="J219" s="344"/>
      <c r="K219" s="344"/>
      <c r="L219" s="121"/>
    </row>
    <row r="220" spans="1:12">
      <c r="A220" s="145" t="s">
        <v>581</v>
      </c>
      <c r="B220" s="121"/>
      <c r="C220" s="121"/>
      <c r="D220" s="70"/>
      <c r="E220" s="70"/>
      <c r="F220" s="121"/>
      <c r="G220" s="344"/>
      <c r="H220" s="344"/>
      <c r="I220" s="121"/>
      <c r="J220" s="344"/>
      <c r="K220" s="344"/>
      <c r="L220" s="121"/>
    </row>
    <row r="221" spans="1:12">
      <c r="A221" s="145" t="s">
        <v>582</v>
      </c>
      <c r="B221" s="121"/>
      <c r="C221" s="121"/>
      <c r="D221" s="70"/>
      <c r="E221" s="70"/>
      <c r="F221" s="121"/>
      <c r="G221" s="344"/>
      <c r="H221" s="344"/>
      <c r="I221" s="121"/>
      <c r="J221" s="344"/>
      <c r="K221" s="344"/>
      <c r="L221" s="121"/>
    </row>
    <row r="222" spans="1:12">
      <c r="A222" s="145" t="s">
        <v>583</v>
      </c>
      <c r="B222" s="121"/>
      <c r="C222" s="121"/>
      <c r="D222" s="70"/>
      <c r="E222" s="70"/>
      <c r="F222" s="121"/>
      <c r="G222" s="344"/>
      <c r="H222" s="344"/>
      <c r="I222" s="121"/>
      <c r="J222" s="344"/>
      <c r="K222" s="344"/>
      <c r="L222" s="121"/>
    </row>
    <row r="223" spans="1:12">
      <c r="A223" s="145" t="s">
        <v>584</v>
      </c>
      <c r="B223" s="121"/>
      <c r="C223" s="121"/>
      <c r="D223" s="70"/>
      <c r="E223" s="70"/>
      <c r="F223" s="121"/>
      <c r="G223" s="344"/>
      <c r="H223" s="344"/>
      <c r="I223" s="121"/>
      <c r="J223" s="344"/>
      <c r="K223" s="344"/>
      <c r="L223" s="121"/>
    </row>
    <row r="224" spans="1:12">
      <c r="A224" s="145" t="s">
        <v>585</v>
      </c>
      <c r="B224" s="121"/>
      <c r="C224" s="121"/>
      <c r="D224" s="70"/>
      <c r="E224" s="70"/>
      <c r="F224" s="121"/>
      <c r="G224" s="344"/>
      <c r="H224" s="344"/>
      <c r="I224" s="121"/>
      <c r="J224" s="344"/>
      <c r="K224" s="344"/>
      <c r="L224" s="121"/>
    </row>
    <row r="225" spans="1:12">
      <c r="A225" s="145" t="s">
        <v>586</v>
      </c>
      <c r="B225" s="121"/>
      <c r="C225" s="121"/>
      <c r="D225" s="70"/>
      <c r="E225" s="70"/>
      <c r="F225" s="121"/>
      <c r="G225" s="344"/>
      <c r="H225" s="344"/>
      <c r="I225" s="121"/>
      <c r="J225" s="344"/>
      <c r="K225" s="344"/>
      <c r="L225" s="121"/>
    </row>
    <row r="226" spans="1:12">
      <c r="A226" s="145" t="s">
        <v>587</v>
      </c>
      <c r="B226" s="121"/>
      <c r="C226" s="121"/>
      <c r="D226" s="70"/>
      <c r="E226" s="70"/>
      <c r="F226" s="121"/>
      <c r="G226" s="344"/>
      <c r="H226" s="344"/>
      <c r="I226" s="121"/>
      <c r="J226" s="344"/>
      <c r="K226" s="344"/>
      <c r="L226" s="121"/>
    </row>
    <row r="227" spans="1:12">
      <c r="A227" s="145" t="s">
        <v>588</v>
      </c>
      <c r="B227" s="121"/>
      <c r="C227" s="121"/>
      <c r="D227" s="70"/>
      <c r="E227" s="70"/>
      <c r="F227" s="121"/>
      <c r="G227" s="344"/>
      <c r="H227" s="344"/>
      <c r="I227" s="121"/>
      <c r="J227" s="344"/>
      <c r="K227" s="344"/>
      <c r="L227" s="121"/>
    </row>
    <row r="228" spans="1:12">
      <c r="A228" s="145" t="s">
        <v>589</v>
      </c>
      <c r="B228" s="121"/>
      <c r="C228" s="121"/>
      <c r="D228" s="70"/>
      <c r="E228" s="70"/>
      <c r="F228" s="121"/>
      <c r="G228" s="344"/>
      <c r="H228" s="344"/>
      <c r="I228" s="121"/>
      <c r="J228" s="344"/>
      <c r="K228" s="344"/>
      <c r="L228" s="121"/>
    </row>
    <row r="229" spans="1:12">
      <c r="A229" s="145" t="s">
        <v>590</v>
      </c>
      <c r="B229" s="121"/>
      <c r="C229" s="121"/>
      <c r="D229" s="70"/>
      <c r="E229" s="70"/>
      <c r="F229" s="121"/>
      <c r="G229" s="344"/>
      <c r="H229" s="344"/>
      <c r="I229" s="121"/>
      <c r="J229" s="344"/>
      <c r="K229" s="344"/>
      <c r="L229" s="121"/>
    </row>
    <row r="230" spans="1:12">
      <c r="A230" s="145" t="s">
        <v>591</v>
      </c>
      <c r="B230" s="121"/>
      <c r="C230" s="121"/>
      <c r="D230" s="70"/>
      <c r="E230" s="70"/>
      <c r="F230" s="121"/>
      <c r="G230" s="344"/>
      <c r="H230" s="344"/>
      <c r="I230" s="121"/>
      <c r="J230" s="344"/>
      <c r="K230" s="344"/>
      <c r="L230" s="121"/>
    </row>
    <row r="231" spans="1:12">
      <c r="A231" s="145" t="s">
        <v>592</v>
      </c>
      <c r="B231" s="121"/>
      <c r="C231" s="121"/>
      <c r="D231" s="70"/>
      <c r="E231" s="70"/>
      <c r="F231" s="121"/>
      <c r="G231" s="344"/>
      <c r="H231" s="344"/>
      <c r="I231" s="121"/>
      <c r="J231" s="344"/>
      <c r="K231" s="344"/>
      <c r="L231" s="121"/>
    </row>
    <row r="232" spans="1:12">
      <c r="A232" s="145" t="s">
        <v>593</v>
      </c>
      <c r="B232" s="121"/>
      <c r="C232" s="121"/>
      <c r="D232" s="70"/>
      <c r="E232" s="70"/>
      <c r="F232" s="121"/>
      <c r="G232" s="344"/>
      <c r="H232" s="344"/>
      <c r="I232" s="121"/>
      <c r="J232" s="344"/>
      <c r="K232" s="344"/>
      <c r="L232" s="121"/>
    </row>
    <row r="233" spans="1:12">
      <c r="A233" s="145" t="s">
        <v>594</v>
      </c>
      <c r="B233" s="121"/>
      <c r="C233" s="121"/>
      <c r="D233" s="70"/>
      <c r="E233" s="70"/>
      <c r="F233" s="121"/>
      <c r="G233" s="344"/>
      <c r="H233" s="344"/>
      <c r="I233" s="121"/>
      <c r="J233" s="344"/>
      <c r="K233" s="344"/>
      <c r="L233" s="121"/>
    </row>
    <row r="234" spans="1:12">
      <c r="A234" s="145" t="s">
        <v>595</v>
      </c>
      <c r="B234" s="121"/>
      <c r="C234" s="121"/>
      <c r="D234" s="70"/>
      <c r="E234" s="70"/>
      <c r="F234" s="121"/>
      <c r="G234" s="344"/>
      <c r="H234" s="344"/>
      <c r="I234" s="121"/>
      <c r="J234" s="344"/>
      <c r="K234" s="344"/>
      <c r="L234" s="121"/>
    </row>
    <row r="235" spans="1:12">
      <c r="A235" s="145" t="s">
        <v>596</v>
      </c>
      <c r="B235" s="121"/>
      <c r="C235" s="121"/>
      <c r="D235" s="70"/>
      <c r="E235" s="70"/>
      <c r="F235" s="121"/>
      <c r="G235" s="344"/>
      <c r="H235" s="344"/>
      <c r="I235" s="121"/>
      <c r="J235" s="344"/>
      <c r="K235" s="344"/>
      <c r="L235" s="121"/>
    </row>
    <row r="236" spans="1:12">
      <c r="A236" s="145" t="s">
        <v>597</v>
      </c>
      <c r="B236" s="121"/>
      <c r="C236" s="121"/>
      <c r="D236" s="70"/>
      <c r="E236" s="70"/>
      <c r="F236" s="121"/>
      <c r="G236" s="344"/>
      <c r="H236" s="344"/>
      <c r="I236" s="121"/>
      <c r="J236" s="344"/>
      <c r="K236" s="344"/>
      <c r="L236" s="121"/>
    </row>
    <row r="237" spans="1:12">
      <c r="A237" s="145" t="s">
        <v>598</v>
      </c>
      <c r="B237" s="121"/>
      <c r="C237" s="121"/>
      <c r="D237" s="70"/>
      <c r="E237" s="70"/>
      <c r="F237" s="121"/>
      <c r="G237" s="344"/>
      <c r="H237" s="344"/>
      <c r="I237" s="121"/>
      <c r="J237" s="344"/>
      <c r="K237" s="344"/>
      <c r="L237" s="121"/>
    </row>
    <row r="238" spans="1:12">
      <c r="A238" s="145" t="s">
        <v>599</v>
      </c>
      <c r="B238" s="121"/>
      <c r="C238" s="121"/>
      <c r="D238" s="70"/>
      <c r="E238" s="70"/>
      <c r="F238" s="121"/>
      <c r="G238" s="344"/>
      <c r="H238" s="344"/>
      <c r="I238" s="121"/>
      <c r="J238" s="344"/>
      <c r="K238" s="344"/>
      <c r="L238" s="121"/>
    </row>
    <row r="239" spans="1:12">
      <c r="A239" s="145" t="s">
        <v>600</v>
      </c>
      <c r="B239" s="121"/>
      <c r="C239" s="121"/>
      <c r="D239" s="70"/>
      <c r="E239" s="70"/>
      <c r="F239" s="121"/>
      <c r="G239" s="344"/>
      <c r="H239" s="344"/>
      <c r="I239" s="121"/>
      <c r="J239" s="344"/>
      <c r="K239" s="344"/>
      <c r="L239" s="121"/>
    </row>
    <row r="240" spans="1:12">
      <c r="A240" s="145" t="s">
        <v>601</v>
      </c>
      <c r="B240" s="121"/>
      <c r="C240" s="121"/>
      <c r="D240" s="70"/>
      <c r="E240" s="70"/>
      <c r="F240" s="121"/>
      <c r="G240" s="344"/>
      <c r="H240" s="344"/>
      <c r="I240" s="121"/>
      <c r="J240" s="344"/>
      <c r="K240" s="344"/>
      <c r="L240" s="121"/>
    </row>
    <row r="241" spans="1:12">
      <c r="A241" s="145" t="s">
        <v>602</v>
      </c>
      <c r="B241" s="121"/>
      <c r="C241" s="121"/>
      <c r="D241" s="70"/>
      <c r="E241" s="70"/>
      <c r="F241" s="121"/>
      <c r="G241" s="344"/>
      <c r="H241" s="344"/>
      <c r="I241" s="121"/>
      <c r="J241" s="344"/>
      <c r="K241" s="344"/>
      <c r="L241" s="121"/>
    </row>
    <row r="242" spans="1:12">
      <c r="A242" s="145" t="s">
        <v>603</v>
      </c>
      <c r="B242" s="121"/>
      <c r="C242" s="121"/>
      <c r="D242" s="70"/>
      <c r="E242" s="70"/>
      <c r="F242" s="121"/>
      <c r="G242" s="344"/>
      <c r="H242" s="344"/>
      <c r="I242" s="121"/>
      <c r="J242" s="344"/>
      <c r="K242" s="344"/>
      <c r="L242" s="121"/>
    </row>
    <row r="243" spans="1:12">
      <c r="A243" s="145" t="s">
        <v>604</v>
      </c>
      <c r="B243" s="121"/>
      <c r="C243" s="121"/>
      <c r="D243" s="70"/>
      <c r="E243" s="70"/>
      <c r="F243" s="121"/>
      <c r="G243" s="344"/>
      <c r="H243" s="344"/>
      <c r="I243" s="121"/>
      <c r="J243" s="344"/>
      <c r="K243" s="344"/>
      <c r="L243" s="121"/>
    </row>
    <row r="244" spans="1:12">
      <c r="A244" s="145" t="s">
        <v>605</v>
      </c>
      <c r="B244" s="121"/>
      <c r="C244" s="121"/>
      <c r="D244" s="70"/>
      <c r="E244" s="70"/>
      <c r="F244" s="121"/>
      <c r="G244" s="344"/>
      <c r="H244" s="344"/>
      <c r="I244" s="121"/>
      <c r="J244" s="344"/>
      <c r="K244" s="344"/>
      <c r="L244" s="121"/>
    </row>
    <row r="245" spans="1:12">
      <c r="A245" s="145" t="s">
        <v>606</v>
      </c>
      <c r="B245" s="121"/>
      <c r="C245" s="121"/>
      <c r="D245" s="70"/>
      <c r="E245" s="70"/>
      <c r="F245" s="121"/>
      <c r="G245" s="344"/>
      <c r="H245" s="344"/>
      <c r="I245" s="121"/>
      <c r="J245" s="344"/>
      <c r="K245" s="344"/>
      <c r="L245" s="121"/>
    </row>
    <row r="246" spans="1:12">
      <c r="A246" s="145" t="s">
        <v>607</v>
      </c>
      <c r="B246" s="121"/>
      <c r="C246" s="121"/>
      <c r="D246" s="70"/>
      <c r="E246" s="70"/>
      <c r="F246" s="121"/>
      <c r="G246" s="344"/>
      <c r="H246" s="344"/>
      <c r="I246" s="121"/>
      <c r="J246" s="344"/>
      <c r="K246" s="344"/>
      <c r="L246" s="121"/>
    </row>
    <row r="247" spans="1:12">
      <c r="A247" s="145" t="s">
        <v>608</v>
      </c>
      <c r="B247" s="121"/>
      <c r="C247" s="121"/>
      <c r="D247" s="70"/>
      <c r="E247" s="70"/>
      <c r="F247" s="121"/>
      <c r="G247" s="344"/>
      <c r="H247" s="344"/>
      <c r="I247" s="121"/>
      <c r="J247" s="344"/>
      <c r="K247" s="344"/>
      <c r="L247" s="121"/>
    </row>
    <row r="248" spans="1:12">
      <c r="A248" s="145" t="s">
        <v>609</v>
      </c>
      <c r="B248" s="121"/>
      <c r="C248" s="121"/>
      <c r="D248" s="70"/>
      <c r="E248" s="70"/>
      <c r="F248" s="121"/>
      <c r="G248" s="344"/>
      <c r="H248" s="344"/>
      <c r="I248" s="121"/>
      <c r="J248" s="344"/>
      <c r="K248" s="344"/>
      <c r="L248" s="121"/>
    </row>
    <row r="249" spans="1:12">
      <c r="A249" s="145" t="s">
        <v>610</v>
      </c>
      <c r="B249" s="121"/>
      <c r="C249" s="121"/>
      <c r="D249" s="70"/>
      <c r="E249" s="70"/>
      <c r="F249" s="121"/>
      <c r="G249" s="344"/>
      <c r="H249" s="344"/>
      <c r="I249" s="121"/>
      <c r="J249" s="344"/>
      <c r="K249" s="344"/>
      <c r="L249" s="121"/>
    </row>
    <row r="250" spans="1:12">
      <c r="A250" s="145" t="s">
        <v>611</v>
      </c>
      <c r="B250" s="121"/>
      <c r="C250" s="121"/>
      <c r="D250" s="70"/>
      <c r="E250" s="70"/>
      <c r="F250" s="121"/>
      <c r="G250" s="344"/>
      <c r="H250" s="344"/>
      <c r="I250" s="121"/>
      <c r="J250" s="344"/>
      <c r="K250" s="344"/>
      <c r="L250" s="121"/>
    </row>
    <row r="251" spans="1:12">
      <c r="A251" s="145" t="s">
        <v>612</v>
      </c>
      <c r="B251" s="121"/>
      <c r="C251" s="121"/>
      <c r="D251" s="70"/>
      <c r="E251" s="70"/>
      <c r="F251" s="121"/>
      <c r="G251" s="344"/>
      <c r="H251" s="344"/>
      <c r="I251" s="121"/>
      <c r="J251" s="344"/>
      <c r="K251" s="344"/>
      <c r="L251" s="121"/>
    </row>
    <row r="252" spans="1:12">
      <c r="A252" s="145" t="s">
        <v>613</v>
      </c>
      <c r="B252" s="121"/>
      <c r="C252" s="121"/>
      <c r="D252" s="70"/>
      <c r="E252" s="70"/>
      <c r="F252" s="121"/>
      <c r="G252" s="344"/>
      <c r="H252" s="344"/>
      <c r="I252" s="121"/>
      <c r="J252" s="344"/>
      <c r="K252" s="344"/>
      <c r="L252" s="121"/>
    </row>
    <row r="253" spans="1:12">
      <c r="A253" s="145" t="s">
        <v>614</v>
      </c>
      <c r="B253" s="121"/>
      <c r="C253" s="121"/>
      <c r="D253" s="70"/>
      <c r="E253" s="70"/>
      <c r="F253" s="121"/>
      <c r="G253" s="344"/>
      <c r="H253" s="344"/>
      <c r="I253" s="121"/>
      <c r="J253" s="344"/>
      <c r="K253" s="344"/>
      <c r="L253" s="121"/>
    </row>
    <row r="254" spans="1:12">
      <c r="A254" s="145" t="s">
        <v>615</v>
      </c>
      <c r="B254" s="121"/>
      <c r="C254" s="121"/>
      <c r="D254" s="70"/>
      <c r="E254" s="70"/>
      <c r="F254" s="121"/>
      <c r="G254" s="344"/>
      <c r="H254" s="344"/>
      <c r="I254" s="121"/>
      <c r="J254" s="344"/>
      <c r="K254" s="344"/>
      <c r="L254" s="121"/>
    </row>
    <row r="255" spans="1:12">
      <c r="A255" s="145" t="s">
        <v>616</v>
      </c>
      <c r="B255" s="121"/>
      <c r="C255" s="121"/>
      <c r="D255" s="70"/>
      <c r="E255" s="70"/>
      <c r="F255" s="121"/>
      <c r="G255" s="344"/>
      <c r="H255" s="344"/>
      <c r="I255" s="121"/>
      <c r="J255" s="344"/>
      <c r="K255" s="344"/>
      <c r="L255" s="121"/>
    </row>
    <row r="256" spans="1:12">
      <c r="A256" s="145" t="s">
        <v>617</v>
      </c>
      <c r="B256" s="121"/>
      <c r="C256" s="121"/>
      <c r="D256" s="70"/>
      <c r="E256" s="70"/>
      <c r="F256" s="121"/>
      <c r="G256" s="344"/>
      <c r="H256" s="344"/>
      <c r="I256" s="121"/>
      <c r="J256" s="344"/>
      <c r="K256" s="344"/>
      <c r="L256" s="121"/>
    </row>
    <row r="257" spans="1:12">
      <c r="A257" s="145" t="s">
        <v>618</v>
      </c>
      <c r="B257" s="121"/>
      <c r="C257" s="121"/>
      <c r="D257" s="70"/>
      <c r="E257" s="70"/>
      <c r="F257" s="121"/>
      <c r="G257" s="344"/>
      <c r="H257" s="344"/>
      <c r="I257" s="121"/>
      <c r="J257" s="344"/>
      <c r="K257" s="344"/>
      <c r="L257" s="121"/>
    </row>
    <row r="258" spans="1:12">
      <c r="A258" s="145" t="s">
        <v>619</v>
      </c>
      <c r="B258" s="121"/>
      <c r="C258" s="121"/>
      <c r="D258" s="70"/>
      <c r="E258" s="70"/>
      <c r="F258" s="121"/>
      <c r="G258" s="344"/>
      <c r="H258" s="344"/>
      <c r="I258" s="121"/>
      <c r="J258" s="344"/>
      <c r="K258" s="344"/>
      <c r="L258" s="121"/>
    </row>
    <row r="259" spans="1:12">
      <c r="A259" s="145" t="s">
        <v>620</v>
      </c>
      <c r="B259" s="121"/>
      <c r="C259" s="121"/>
      <c r="D259" s="70"/>
      <c r="E259" s="70"/>
      <c r="F259" s="121"/>
      <c r="G259" s="344"/>
      <c r="H259" s="344"/>
      <c r="I259" s="121"/>
      <c r="J259" s="344"/>
      <c r="K259" s="344"/>
      <c r="L259" s="121"/>
    </row>
    <row r="260" spans="1:12">
      <c r="A260" s="145" t="s">
        <v>621</v>
      </c>
      <c r="B260" s="121"/>
      <c r="C260" s="121"/>
      <c r="D260" s="70"/>
      <c r="E260" s="70"/>
      <c r="F260" s="121"/>
      <c r="G260" s="344"/>
      <c r="H260" s="344"/>
      <c r="I260" s="121"/>
      <c r="J260" s="344"/>
      <c r="K260" s="344"/>
      <c r="L260" s="121"/>
    </row>
    <row r="261" spans="1:12">
      <c r="A261" s="145" t="s">
        <v>622</v>
      </c>
      <c r="B261" s="121"/>
      <c r="C261" s="121"/>
      <c r="D261" s="70"/>
      <c r="E261" s="70"/>
      <c r="F261" s="121"/>
      <c r="G261" s="344"/>
      <c r="H261" s="344"/>
      <c r="I261" s="121"/>
      <c r="J261" s="344"/>
      <c r="K261" s="344"/>
      <c r="L261" s="121"/>
    </row>
    <row r="262" spans="1:12">
      <c r="A262" s="145" t="s">
        <v>623</v>
      </c>
      <c r="B262" s="121"/>
      <c r="C262" s="121"/>
      <c r="D262" s="70"/>
      <c r="E262" s="70"/>
      <c r="F262" s="121"/>
      <c r="G262" s="344"/>
      <c r="H262" s="344"/>
      <c r="I262" s="121"/>
      <c r="J262" s="344"/>
      <c r="K262" s="344"/>
      <c r="L262" s="121"/>
    </row>
    <row r="263" spans="1:12">
      <c r="A263" s="145" t="s">
        <v>624</v>
      </c>
      <c r="B263" s="121"/>
      <c r="C263" s="121"/>
      <c r="D263" s="70"/>
      <c r="E263" s="70"/>
      <c r="F263" s="121"/>
      <c r="G263" s="344"/>
      <c r="H263" s="344"/>
      <c r="I263" s="121"/>
      <c r="J263" s="344"/>
      <c r="K263" s="344"/>
      <c r="L263" s="121"/>
    </row>
    <row r="264" spans="1:12">
      <c r="A264" s="145" t="s">
        <v>625</v>
      </c>
      <c r="B264" s="121"/>
      <c r="C264" s="121"/>
      <c r="D264" s="70"/>
      <c r="E264" s="70"/>
      <c r="F264" s="121"/>
      <c r="G264" s="344"/>
      <c r="H264" s="344"/>
      <c r="I264" s="121"/>
      <c r="J264" s="344"/>
      <c r="K264" s="344"/>
      <c r="L264" s="121"/>
    </row>
    <row r="265" spans="1:12">
      <c r="A265" s="145" t="s">
        <v>626</v>
      </c>
      <c r="B265" s="121"/>
      <c r="C265" s="121"/>
      <c r="D265" s="70"/>
      <c r="E265" s="70"/>
      <c r="F265" s="121"/>
      <c r="G265" s="344"/>
      <c r="H265" s="344"/>
      <c r="I265" s="121"/>
      <c r="J265" s="344"/>
      <c r="K265" s="344"/>
      <c r="L265" s="121"/>
    </row>
    <row r="266" spans="1:12">
      <c r="A266" s="145" t="s">
        <v>627</v>
      </c>
      <c r="B266" s="121"/>
      <c r="C266" s="121"/>
      <c r="D266" s="70"/>
      <c r="E266" s="70"/>
      <c r="F266" s="121"/>
      <c r="G266" s="344"/>
      <c r="H266" s="344"/>
      <c r="I266" s="121"/>
      <c r="J266" s="344"/>
      <c r="K266" s="344"/>
      <c r="L266" s="121"/>
    </row>
    <row r="267" spans="1:12">
      <c r="A267" s="145" t="s">
        <v>628</v>
      </c>
      <c r="B267" s="121"/>
      <c r="C267" s="121"/>
      <c r="D267" s="70"/>
      <c r="E267" s="70"/>
      <c r="F267" s="121"/>
      <c r="G267" s="344"/>
      <c r="H267" s="344"/>
      <c r="I267" s="121"/>
      <c r="J267" s="344"/>
      <c r="K267" s="344"/>
      <c r="L267" s="121"/>
    </row>
    <row r="268" spans="1:12">
      <c r="A268" s="145" t="s">
        <v>629</v>
      </c>
      <c r="B268" s="121"/>
      <c r="C268" s="121"/>
      <c r="D268" s="70"/>
      <c r="E268" s="70"/>
      <c r="F268" s="121"/>
      <c r="G268" s="344"/>
      <c r="H268" s="344"/>
      <c r="I268" s="121"/>
      <c r="J268" s="344"/>
      <c r="K268" s="344"/>
      <c r="L268" s="121"/>
    </row>
    <row r="269" spans="1:12">
      <c r="A269" s="145" t="s">
        <v>630</v>
      </c>
      <c r="B269" s="121"/>
      <c r="C269" s="121"/>
      <c r="D269" s="70"/>
      <c r="E269" s="70"/>
      <c r="F269" s="121"/>
      <c r="G269" s="344"/>
      <c r="H269" s="344"/>
      <c r="I269" s="121"/>
      <c r="J269" s="344"/>
      <c r="K269" s="344"/>
      <c r="L269" s="121"/>
    </row>
    <row r="270" spans="1:12">
      <c r="A270" s="145" t="s">
        <v>631</v>
      </c>
      <c r="B270" s="121"/>
      <c r="C270" s="121"/>
      <c r="D270" s="70"/>
      <c r="E270" s="70"/>
      <c r="F270" s="121"/>
      <c r="G270" s="344"/>
      <c r="H270" s="344"/>
      <c r="I270" s="121"/>
      <c r="J270" s="344"/>
      <c r="K270" s="344"/>
      <c r="L270" s="121"/>
    </row>
    <row r="271" spans="1:12">
      <c r="A271" s="145" t="s">
        <v>632</v>
      </c>
      <c r="B271" s="121"/>
      <c r="C271" s="121"/>
      <c r="D271" s="70"/>
      <c r="E271" s="70"/>
      <c r="F271" s="121"/>
      <c r="G271" s="344"/>
      <c r="H271" s="344"/>
      <c r="I271" s="121"/>
      <c r="J271" s="344"/>
      <c r="K271" s="344"/>
      <c r="L271" s="121"/>
    </row>
    <row r="272" spans="1:12">
      <c r="A272" s="145" t="s">
        <v>633</v>
      </c>
      <c r="B272" s="121"/>
      <c r="C272" s="121"/>
      <c r="D272" s="70"/>
      <c r="E272" s="70"/>
      <c r="F272" s="121"/>
      <c r="G272" s="344"/>
      <c r="H272" s="344"/>
      <c r="I272" s="121"/>
      <c r="J272" s="344"/>
      <c r="K272" s="344"/>
      <c r="L272" s="121"/>
    </row>
    <row r="273" spans="1:12">
      <c r="A273" s="145" t="s">
        <v>634</v>
      </c>
      <c r="B273" s="121"/>
      <c r="C273" s="121"/>
      <c r="D273" s="70"/>
      <c r="E273" s="70"/>
      <c r="F273" s="121"/>
      <c r="G273" s="344"/>
      <c r="H273" s="344"/>
      <c r="I273" s="121"/>
      <c r="J273" s="344"/>
      <c r="K273" s="344"/>
      <c r="L273" s="121"/>
    </row>
    <row r="274" spans="1:12">
      <c r="A274" s="145" t="s">
        <v>635</v>
      </c>
      <c r="B274" s="121"/>
      <c r="C274" s="121"/>
      <c r="D274" s="70"/>
      <c r="E274" s="70"/>
      <c r="F274" s="121"/>
      <c r="G274" s="344"/>
      <c r="H274" s="344"/>
      <c r="I274" s="121"/>
      <c r="J274" s="344"/>
      <c r="K274" s="344"/>
      <c r="L274" s="121"/>
    </row>
    <row r="275" spans="1:12">
      <c r="A275" s="145" t="s">
        <v>636</v>
      </c>
      <c r="B275" s="121"/>
      <c r="C275" s="121"/>
      <c r="D275" s="70"/>
      <c r="E275" s="70"/>
      <c r="F275" s="121"/>
      <c r="G275" s="344"/>
      <c r="H275" s="344"/>
      <c r="I275" s="121"/>
      <c r="J275" s="344"/>
      <c r="K275" s="344"/>
      <c r="L275" s="121"/>
    </row>
    <row r="276" spans="1:12">
      <c r="A276" s="145" t="s">
        <v>637</v>
      </c>
      <c r="B276" s="121"/>
      <c r="C276" s="121"/>
      <c r="D276" s="70"/>
      <c r="E276" s="70"/>
      <c r="F276" s="121"/>
      <c r="G276" s="344"/>
      <c r="H276" s="344"/>
      <c r="I276" s="121"/>
      <c r="J276" s="344"/>
      <c r="K276" s="344"/>
      <c r="L276" s="121"/>
    </row>
    <row r="277" spans="1:12">
      <c r="A277" s="145" t="s">
        <v>638</v>
      </c>
      <c r="B277" s="121"/>
      <c r="C277" s="121"/>
      <c r="D277" s="70"/>
      <c r="E277" s="70"/>
      <c r="F277" s="121"/>
      <c r="G277" s="344"/>
      <c r="H277" s="344"/>
      <c r="I277" s="121"/>
      <c r="J277" s="344"/>
      <c r="K277" s="344"/>
      <c r="L277" s="121"/>
    </row>
    <row r="278" spans="1:12">
      <c r="A278" s="145" t="s">
        <v>639</v>
      </c>
      <c r="B278" s="121"/>
      <c r="C278" s="121"/>
      <c r="D278" s="70"/>
      <c r="E278" s="70"/>
      <c r="F278" s="121"/>
      <c r="G278" s="344"/>
      <c r="H278" s="344"/>
      <c r="I278" s="121"/>
      <c r="J278" s="344"/>
      <c r="K278" s="344"/>
      <c r="L278" s="121"/>
    </row>
    <row r="279" spans="1:12">
      <c r="A279" s="145" t="s">
        <v>640</v>
      </c>
      <c r="B279" s="121"/>
      <c r="C279" s="121"/>
      <c r="D279" s="70"/>
      <c r="E279" s="70"/>
      <c r="F279" s="121"/>
      <c r="G279" s="344"/>
      <c r="H279" s="344"/>
      <c r="I279" s="121"/>
      <c r="J279" s="344"/>
      <c r="K279" s="344"/>
      <c r="L279" s="121"/>
    </row>
    <row r="280" spans="1:12">
      <c r="A280" s="145" t="s">
        <v>641</v>
      </c>
      <c r="B280" s="121"/>
      <c r="C280" s="121"/>
      <c r="D280" s="70"/>
      <c r="E280" s="70"/>
      <c r="F280" s="121"/>
      <c r="G280" s="344"/>
      <c r="H280" s="344"/>
      <c r="I280" s="121"/>
      <c r="J280" s="344"/>
      <c r="K280" s="344"/>
      <c r="L280" s="121"/>
    </row>
    <row r="281" spans="1:12">
      <c r="A281" s="145" t="s">
        <v>642</v>
      </c>
      <c r="B281" s="121"/>
      <c r="C281" s="121"/>
      <c r="D281" s="70"/>
      <c r="E281" s="70"/>
      <c r="F281" s="121"/>
      <c r="G281" s="344"/>
      <c r="H281" s="344"/>
      <c r="I281" s="121"/>
      <c r="J281" s="344"/>
      <c r="K281" s="344"/>
      <c r="L281" s="121"/>
    </row>
    <row r="282" spans="1:12">
      <c r="A282" s="145" t="s">
        <v>643</v>
      </c>
      <c r="B282" s="121"/>
      <c r="C282" s="121"/>
      <c r="D282" s="70"/>
      <c r="E282" s="70"/>
      <c r="F282" s="121"/>
      <c r="G282" s="344"/>
      <c r="H282" s="344"/>
      <c r="I282" s="121"/>
      <c r="J282" s="344"/>
      <c r="K282" s="344"/>
      <c r="L282" s="121"/>
    </row>
    <row r="283" spans="1:12">
      <c r="A283" s="145" t="s">
        <v>644</v>
      </c>
      <c r="B283" s="121"/>
      <c r="C283" s="121"/>
      <c r="D283" s="70"/>
      <c r="E283" s="70"/>
      <c r="F283" s="121"/>
      <c r="G283" s="344"/>
      <c r="H283" s="344"/>
      <c r="I283" s="121"/>
      <c r="J283" s="344"/>
      <c r="K283" s="344"/>
      <c r="L283" s="121"/>
    </row>
    <row r="284" spans="1:12">
      <c r="A284" s="145" t="s">
        <v>645</v>
      </c>
      <c r="B284" s="121"/>
      <c r="C284" s="121"/>
      <c r="D284" s="70"/>
      <c r="E284" s="70"/>
      <c r="F284" s="121"/>
      <c r="G284" s="344"/>
      <c r="H284" s="344"/>
      <c r="I284" s="121"/>
      <c r="J284" s="344"/>
      <c r="K284" s="344"/>
      <c r="L284" s="121"/>
    </row>
    <row r="285" spans="1:12">
      <c r="A285" s="145" t="s">
        <v>646</v>
      </c>
      <c r="B285" s="121"/>
      <c r="C285" s="121"/>
      <c r="D285" s="70"/>
      <c r="E285" s="70"/>
      <c r="F285" s="121"/>
      <c r="G285" s="344"/>
      <c r="H285" s="344"/>
      <c r="I285" s="121"/>
      <c r="J285" s="344"/>
      <c r="K285" s="344"/>
      <c r="L285" s="121"/>
    </row>
    <row r="286" spans="1:12">
      <c r="A286" s="145" t="s">
        <v>647</v>
      </c>
      <c r="B286" s="121"/>
      <c r="C286" s="121"/>
      <c r="D286" s="70"/>
      <c r="E286" s="70"/>
      <c r="F286" s="121"/>
      <c r="G286" s="344"/>
      <c r="H286" s="344"/>
      <c r="I286" s="121"/>
      <c r="J286" s="344"/>
      <c r="K286" s="344"/>
      <c r="L286" s="121"/>
    </row>
    <row r="287" spans="1:12">
      <c r="A287" s="145" t="s">
        <v>648</v>
      </c>
      <c r="B287" s="121"/>
      <c r="C287" s="121"/>
      <c r="D287" s="70"/>
      <c r="E287" s="70"/>
      <c r="F287" s="121"/>
      <c r="G287" s="344"/>
      <c r="H287" s="344"/>
      <c r="I287" s="121"/>
      <c r="J287" s="344"/>
      <c r="K287" s="344"/>
      <c r="L287" s="121"/>
    </row>
    <row r="288" spans="1:12">
      <c r="A288" s="145" t="s">
        <v>649</v>
      </c>
      <c r="B288" s="121"/>
      <c r="C288" s="121"/>
      <c r="D288" s="70"/>
      <c r="E288" s="70"/>
      <c r="F288" s="121"/>
      <c r="G288" s="344"/>
      <c r="H288" s="344"/>
      <c r="I288" s="121"/>
      <c r="J288" s="344"/>
      <c r="K288" s="344"/>
      <c r="L288" s="121"/>
    </row>
    <row r="289" spans="1:12">
      <c r="A289" s="145" t="s">
        <v>650</v>
      </c>
      <c r="B289" s="121"/>
      <c r="C289" s="121"/>
      <c r="D289" s="70"/>
      <c r="E289" s="70"/>
      <c r="F289" s="121"/>
      <c r="G289" s="344"/>
      <c r="H289" s="344"/>
      <c r="I289" s="121"/>
      <c r="J289" s="344"/>
      <c r="K289" s="344"/>
      <c r="L289" s="121"/>
    </row>
    <row r="290" spans="1:12">
      <c r="A290" s="145" t="s">
        <v>651</v>
      </c>
      <c r="B290" s="121"/>
      <c r="C290" s="121"/>
      <c r="D290" s="70"/>
      <c r="E290" s="70"/>
      <c r="F290" s="121"/>
      <c r="G290" s="344"/>
      <c r="H290" s="344"/>
      <c r="I290" s="121"/>
      <c r="J290" s="344"/>
      <c r="K290" s="344"/>
      <c r="L290" s="121"/>
    </row>
    <row r="291" spans="1:12">
      <c r="A291" s="145" t="s">
        <v>652</v>
      </c>
      <c r="B291" s="121"/>
      <c r="C291" s="121"/>
      <c r="D291" s="70"/>
      <c r="E291" s="70"/>
      <c r="F291" s="121"/>
      <c r="G291" s="344"/>
      <c r="H291" s="344"/>
      <c r="I291" s="121"/>
      <c r="J291" s="344"/>
      <c r="K291" s="344"/>
      <c r="L291" s="121"/>
    </row>
    <row r="292" spans="1:12">
      <c r="A292" s="145" t="s">
        <v>653</v>
      </c>
      <c r="B292" s="121"/>
      <c r="C292" s="121"/>
      <c r="D292" s="70"/>
      <c r="E292" s="70"/>
      <c r="F292" s="121"/>
      <c r="G292" s="344"/>
      <c r="H292" s="344"/>
      <c r="I292" s="121"/>
      <c r="J292" s="344"/>
      <c r="K292" s="344"/>
      <c r="L292" s="121"/>
    </row>
    <row r="293" spans="1:12">
      <c r="A293" s="145" t="s">
        <v>654</v>
      </c>
      <c r="B293" s="121"/>
      <c r="C293" s="121"/>
      <c r="D293" s="70"/>
      <c r="E293" s="70"/>
      <c r="F293" s="121"/>
      <c r="G293" s="344"/>
      <c r="H293" s="344"/>
      <c r="I293" s="121"/>
      <c r="J293" s="344"/>
      <c r="K293" s="344"/>
      <c r="L293" s="121"/>
    </row>
    <row r="294" spans="1:12">
      <c r="A294" s="145" t="s">
        <v>655</v>
      </c>
      <c r="B294" s="121"/>
      <c r="C294" s="121"/>
      <c r="D294" s="70"/>
      <c r="E294" s="70"/>
      <c r="F294" s="121"/>
      <c r="G294" s="344"/>
      <c r="H294" s="344"/>
      <c r="I294" s="121"/>
      <c r="J294" s="344"/>
      <c r="K294" s="344"/>
      <c r="L294" s="121"/>
    </row>
    <row r="295" spans="1:12">
      <c r="A295" s="145" t="s">
        <v>656</v>
      </c>
      <c r="B295" s="121"/>
      <c r="C295" s="121"/>
      <c r="D295" s="70"/>
      <c r="E295" s="70"/>
      <c r="F295" s="121"/>
      <c r="G295" s="344"/>
      <c r="H295" s="344"/>
      <c r="I295" s="121"/>
      <c r="J295" s="344"/>
      <c r="K295" s="344"/>
      <c r="L295" s="121"/>
    </row>
    <row r="296" spans="1:12">
      <c r="A296" s="145" t="s">
        <v>657</v>
      </c>
      <c r="B296" s="121"/>
      <c r="C296" s="121"/>
      <c r="D296" s="70"/>
      <c r="E296" s="70"/>
      <c r="F296" s="121"/>
      <c r="G296" s="344"/>
      <c r="H296" s="344"/>
      <c r="I296" s="121"/>
      <c r="J296" s="344"/>
      <c r="K296" s="344"/>
      <c r="L296" s="121"/>
    </row>
    <row r="297" spans="1:12">
      <c r="A297" s="145" t="s">
        <v>658</v>
      </c>
      <c r="B297" s="121"/>
      <c r="C297" s="121"/>
      <c r="D297" s="70"/>
      <c r="E297" s="70"/>
      <c r="F297" s="121"/>
      <c r="G297" s="344"/>
      <c r="H297" s="344"/>
      <c r="I297" s="121"/>
      <c r="J297" s="344"/>
      <c r="K297" s="344"/>
      <c r="L297" s="121"/>
    </row>
    <row r="298" spans="1:12">
      <c r="A298" s="145" t="s">
        <v>659</v>
      </c>
      <c r="B298" s="121"/>
      <c r="C298" s="121"/>
      <c r="D298" s="70"/>
      <c r="E298" s="70"/>
      <c r="F298" s="121"/>
      <c r="G298" s="344"/>
      <c r="H298" s="344"/>
      <c r="I298" s="121"/>
      <c r="J298" s="344"/>
      <c r="K298" s="344"/>
      <c r="L298" s="121"/>
    </row>
    <row r="299" spans="1:12">
      <c r="A299" s="145" t="s">
        <v>660</v>
      </c>
      <c r="B299" s="121"/>
      <c r="C299" s="121"/>
      <c r="D299" s="70"/>
      <c r="E299" s="70"/>
      <c r="F299" s="121"/>
      <c r="G299" s="344"/>
      <c r="H299" s="344"/>
      <c r="I299" s="121"/>
      <c r="J299" s="344"/>
      <c r="K299" s="344"/>
      <c r="L299" s="121"/>
    </row>
    <row r="300" spans="1:12">
      <c r="A300" s="145" t="s">
        <v>661</v>
      </c>
      <c r="B300" s="121"/>
      <c r="C300" s="121"/>
      <c r="D300" s="70"/>
      <c r="E300" s="70"/>
      <c r="F300" s="121"/>
      <c r="G300" s="344"/>
      <c r="H300" s="344"/>
      <c r="I300" s="121"/>
      <c r="J300" s="344"/>
      <c r="K300" s="344"/>
      <c r="L300" s="121"/>
    </row>
    <row r="301" spans="1:12">
      <c r="A301" s="145" t="s">
        <v>662</v>
      </c>
      <c r="B301" s="121"/>
      <c r="C301" s="121"/>
      <c r="D301" s="70"/>
      <c r="E301" s="70"/>
      <c r="F301" s="121"/>
      <c r="G301" s="344"/>
      <c r="H301" s="344"/>
      <c r="I301" s="121"/>
      <c r="J301" s="344"/>
      <c r="K301" s="344"/>
      <c r="L301" s="121"/>
    </row>
    <row r="302" spans="1:12">
      <c r="A302" s="145" t="s">
        <v>663</v>
      </c>
      <c r="B302" s="121"/>
      <c r="C302" s="121"/>
      <c r="D302" s="70"/>
      <c r="E302" s="70"/>
      <c r="F302" s="121"/>
      <c r="G302" s="344"/>
      <c r="H302" s="344"/>
      <c r="I302" s="121"/>
      <c r="J302" s="344"/>
      <c r="K302" s="344"/>
      <c r="L302" s="121"/>
    </row>
    <row r="303" spans="1:12">
      <c r="A303" s="145" t="s">
        <v>664</v>
      </c>
      <c r="B303" s="121"/>
      <c r="C303" s="121"/>
      <c r="D303" s="70"/>
      <c r="E303" s="70"/>
      <c r="F303" s="121"/>
      <c r="G303" s="344"/>
      <c r="H303" s="344"/>
      <c r="I303" s="121"/>
      <c r="J303" s="344"/>
      <c r="K303" s="344"/>
      <c r="L303" s="121"/>
    </row>
    <row r="304" spans="1:12">
      <c r="A304" s="145" t="s">
        <v>665</v>
      </c>
      <c r="B304" s="121"/>
      <c r="C304" s="121"/>
      <c r="D304" s="70"/>
      <c r="E304" s="70"/>
      <c r="F304" s="121"/>
      <c r="G304" s="344"/>
      <c r="H304" s="344"/>
      <c r="I304" s="121"/>
      <c r="J304" s="344"/>
      <c r="K304" s="344"/>
      <c r="L304" s="121"/>
    </row>
    <row r="305" spans="1:12">
      <c r="A305" s="145" t="s">
        <v>666</v>
      </c>
      <c r="B305" s="121"/>
      <c r="C305" s="121"/>
      <c r="D305" s="70"/>
      <c r="E305" s="70"/>
      <c r="F305" s="121"/>
      <c r="G305" s="344"/>
      <c r="H305" s="344"/>
      <c r="I305" s="121"/>
      <c r="J305" s="344"/>
      <c r="K305" s="344"/>
      <c r="L305" s="121"/>
    </row>
    <row r="306" spans="1:12">
      <c r="A306" s="121"/>
      <c r="B306" s="121"/>
      <c r="C306" s="121"/>
      <c r="D306" s="70"/>
      <c r="E306" s="70"/>
      <c r="F306" s="121"/>
      <c r="G306" s="344"/>
      <c r="H306" s="344"/>
      <c r="I306" s="121"/>
      <c r="J306" s="344"/>
      <c r="K306" s="344"/>
      <c r="L306" s="121"/>
    </row>
    <row r="307" spans="1:12">
      <c r="A307" s="121"/>
      <c r="B307" s="121"/>
      <c r="C307" s="121"/>
      <c r="D307" s="70"/>
      <c r="E307" s="70"/>
      <c r="F307" s="121"/>
      <c r="G307" s="344"/>
      <c r="H307" s="344"/>
      <c r="I307" s="121"/>
      <c r="J307" s="344"/>
      <c r="K307" s="344"/>
      <c r="L307" s="121"/>
    </row>
    <row r="308" spans="1:12">
      <c r="A308" s="121"/>
      <c r="B308" s="121"/>
      <c r="C308" s="121"/>
      <c r="D308" s="70"/>
      <c r="E308" s="70"/>
      <c r="F308" s="121"/>
      <c r="G308" s="344"/>
      <c r="H308" s="344"/>
      <c r="I308" s="121"/>
      <c r="J308" s="344"/>
      <c r="K308" s="344"/>
      <c r="L308" s="121"/>
    </row>
    <row r="309" spans="1:12">
      <c r="A309" s="121"/>
      <c r="B309" s="121"/>
      <c r="C309" s="121"/>
      <c r="D309" s="70"/>
      <c r="E309" s="70"/>
      <c r="F309" s="121"/>
      <c r="G309" s="344"/>
      <c r="H309" s="344"/>
      <c r="I309" s="121"/>
      <c r="J309" s="344"/>
      <c r="K309" s="344"/>
      <c r="L309" s="121"/>
    </row>
    <row r="310" spans="1:12">
      <c r="A310" s="121"/>
      <c r="B310" s="121"/>
      <c r="C310" s="121"/>
      <c r="D310" s="70"/>
      <c r="E310" s="70"/>
      <c r="F310" s="121"/>
      <c r="G310" s="344"/>
      <c r="H310" s="344"/>
      <c r="I310" s="121"/>
      <c r="J310" s="344"/>
      <c r="K310" s="344"/>
      <c r="L310" s="121"/>
    </row>
    <row r="311" spans="1:12">
      <c r="A311" s="121"/>
      <c r="B311" s="121"/>
      <c r="C311" s="121"/>
      <c r="D311" s="70"/>
      <c r="E311" s="70"/>
      <c r="F311" s="121"/>
      <c r="G311" s="344"/>
      <c r="H311" s="344"/>
      <c r="I311" s="121"/>
      <c r="J311" s="344"/>
      <c r="K311" s="344"/>
      <c r="L311" s="121"/>
    </row>
    <row r="312" spans="1:12">
      <c r="A312" s="121"/>
      <c r="B312" s="121"/>
      <c r="C312" s="121"/>
      <c r="D312" s="70"/>
      <c r="E312" s="70"/>
      <c r="F312" s="121"/>
      <c r="G312" s="344"/>
      <c r="H312" s="344"/>
      <c r="I312" s="121"/>
      <c r="J312" s="344"/>
      <c r="K312" s="344"/>
      <c r="L312" s="121"/>
    </row>
    <row r="313" spans="1:12">
      <c r="A313" s="121"/>
      <c r="B313" s="121"/>
      <c r="C313" s="121"/>
      <c r="D313" s="70"/>
      <c r="E313" s="70"/>
      <c r="F313" s="121"/>
      <c r="G313" s="344"/>
      <c r="H313" s="344"/>
      <c r="I313" s="121"/>
      <c r="J313" s="344"/>
      <c r="K313" s="344"/>
      <c r="L313" s="121"/>
    </row>
    <row r="314" spans="1:12">
      <c r="A314" s="121"/>
      <c r="B314" s="121"/>
      <c r="C314" s="121"/>
      <c r="D314" s="70"/>
      <c r="E314" s="70"/>
      <c r="F314" s="121"/>
      <c r="G314" s="344"/>
      <c r="H314" s="344"/>
      <c r="I314" s="121"/>
      <c r="J314" s="344"/>
      <c r="K314" s="344"/>
      <c r="L314" s="121"/>
    </row>
    <row r="315" spans="1:12">
      <c r="A315" s="121"/>
      <c r="B315" s="121"/>
      <c r="C315" s="121"/>
      <c r="D315" s="70"/>
      <c r="E315" s="70"/>
      <c r="F315" s="121"/>
      <c r="G315" s="344"/>
      <c r="H315" s="344"/>
      <c r="I315" s="121"/>
      <c r="J315" s="344"/>
      <c r="K315" s="344"/>
      <c r="L315" s="121"/>
    </row>
    <row r="316" spans="1:12">
      <c r="A316" s="121"/>
      <c r="B316" s="121"/>
      <c r="C316" s="121"/>
      <c r="D316" s="70"/>
      <c r="E316" s="70"/>
      <c r="F316" s="121"/>
      <c r="G316" s="344"/>
      <c r="H316" s="344"/>
      <c r="I316" s="121"/>
      <c r="J316" s="344"/>
      <c r="K316" s="344"/>
      <c r="L316" s="121"/>
    </row>
    <row r="317" spans="1:12">
      <c r="A317" s="121"/>
      <c r="B317" s="121"/>
      <c r="C317" s="121"/>
      <c r="D317" s="70"/>
      <c r="E317" s="70"/>
      <c r="F317" s="121"/>
      <c r="G317" s="344"/>
      <c r="H317" s="344"/>
      <c r="I317" s="121"/>
      <c r="J317" s="344"/>
      <c r="K317" s="344"/>
      <c r="L317" s="121"/>
    </row>
    <row r="318" spans="1:12">
      <c r="A318" s="121"/>
      <c r="B318" s="121"/>
      <c r="C318" s="121"/>
      <c r="D318" s="70"/>
      <c r="E318" s="70"/>
      <c r="F318" s="121"/>
      <c r="G318" s="344"/>
      <c r="H318" s="344"/>
      <c r="I318" s="121"/>
      <c r="J318" s="344"/>
      <c r="K318" s="344"/>
      <c r="L318" s="121"/>
    </row>
    <row r="319" spans="1:12">
      <c r="A319" s="121"/>
      <c r="B319" s="121"/>
      <c r="C319" s="121"/>
      <c r="D319" s="70"/>
      <c r="E319" s="70"/>
      <c r="F319" s="121"/>
      <c r="G319" s="344"/>
      <c r="H319" s="344"/>
      <c r="I319" s="121"/>
      <c r="J319" s="344"/>
      <c r="K319" s="344"/>
      <c r="L319" s="121"/>
    </row>
    <row r="320" spans="1:12">
      <c r="A320" s="121"/>
      <c r="B320" s="121"/>
      <c r="C320" s="121"/>
      <c r="D320" s="70"/>
      <c r="E320" s="70"/>
      <c r="F320" s="121"/>
      <c r="G320" s="344"/>
      <c r="H320" s="344"/>
      <c r="I320" s="121"/>
      <c r="J320" s="344"/>
      <c r="K320" s="344"/>
      <c r="L320" s="121"/>
    </row>
    <row r="321" spans="1:12">
      <c r="A321" s="121"/>
      <c r="B321" s="121"/>
      <c r="C321" s="121"/>
      <c r="D321" s="70"/>
      <c r="E321" s="70"/>
      <c r="F321" s="121"/>
      <c r="G321" s="344"/>
      <c r="H321" s="344"/>
      <c r="I321" s="121"/>
      <c r="J321" s="344"/>
      <c r="K321" s="344"/>
      <c r="L321" s="121"/>
    </row>
    <row r="322" spans="1:12">
      <c r="A322" s="121"/>
      <c r="B322" s="121"/>
      <c r="C322" s="121"/>
      <c r="D322" s="70"/>
      <c r="E322" s="70"/>
      <c r="F322" s="121"/>
      <c r="G322" s="344"/>
      <c r="H322" s="344"/>
      <c r="I322" s="121"/>
      <c r="J322" s="344"/>
      <c r="K322" s="344"/>
      <c r="L322" s="121"/>
    </row>
    <row r="323" spans="1:12">
      <c r="A323" s="121"/>
      <c r="B323" s="121"/>
      <c r="C323" s="121"/>
      <c r="D323" s="70"/>
      <c r="E323" s="70"/>
      <c r="F323" s="121"/>
      <c r="G323" s="344"/>
      <c r="H323" s="344"/>
      <c r="I323" s="121"/>
      <c r="J323" s="344"/>
      <c r="K323" s="344"/>
      <c r="L323" s="121"/>
    </row>
    <row r="324" spans="1:12">
      <c r="A324" s="121"/>
      <c r="B324" s="121"/>
      <c r="C324" s="121"/>
      <c r="D324" s="70"/>
      <c r="E324" s="70"/>
      <c r="F324" s="121"/>
      <c r="G324" s="344"/>
      <c r="H324" s="344"/>
      <c r="I324" s="121"/>
      <c r="J324" s="344"/>
      <c r="K324" s="344"/>
      <c r="L324" s="121"/>
    </row>
    <row r="325" spans="1:12">
      <c r="A325" s="121"/>
      <c r="B325" s="121"/>
      <c r="C325" s="121"/>
      <c r="D325" s="70"/>
      <c r="E325" s="70"/>
      <c r="F325" s="121"/>
      <c r="G325" s="344"/>
      <c r="H325" s="344"/>
      <c r="I325" s="121"/>
      <c r="J325" s="344"/>
      <c r="K325" s="344"/>
      <c r="L325" s="121"/>
    </row>
    <row r="326" spans="1:12">
      <c r="A326" s="121"/>
      <c r="B326" s="121"/>
      <c r="C326" s="121"/>
      <c r="D326" s="70"/>
      <c r="E326" s="70"/>
      <c r="F326" s="121"/>
      <c r="G326" s="344"/>
      <c r="H326" s="344"/>
      <c r="I326" s="121"/>
      <c r="J326" s="344"/>
      <c r="K326" s="344"/>
      <c r="L326" s="121"/>
    </row>
    <row r="327" spans="1:12">
      <c r="A327" s="121"/>
      <c r="B327" s="121"/>
      <c r="C327" s="121"/>
      <c r="D327" s="70"/>
      <c r="E327" s="70"/>
      <c r="F327" s="121"/>
      <c r="G327" s="344"/>
      <c r="H327" s="344"/>
      <c r="I327" s="121"/>
      <c r="J327" s="344"/>
      <c r="K327" s="344"/>
      <c r="L327" s="121"/>
    </row>
    <row r="328" spans="1:12">
      <c r="A328" s="121"/>
      <c r="B328" s="121"/>
      <c r="C328" s="121"/>
      <c r="D328" s="70"/>
      <c r="E328" s="70"/>
      <c r="F328" s="121"/>
      <c r="G328" s="344"/>
      <c r="H328" s="344"/>
      <c r="I328" s="121"/>
      <c r="J328" s="344"/>
      <c r="K328" s="344"/>
      <c r="L328" s="121"/>
    </row>
    <row r="329" spans="1:12">
      <c r="A329" s="121"/>
      <c r="B329" s="121"/>
      <c r="C329" s="121"/>
      <c r="D329" s="70"/>
      <c r="E329" s="70"/>
      <c r="F329" s="121"/>
      <c r="G329" s="344"/>
      <c r="H329" s="344"/>
      <c r="I329" s="121"/>
      <c r="J329" s="344"/>
      <c r="K329" s="344"/>
      <c r="L329" s="121"/>
    </row>
    <row r="330" spans="1:12">
      <c r="A330" s="121"/>
      <c r="B330" s="121"/>
      <c r="C330" s="121"/>
      <c r="D330" s="70"/>
      <c r="E330" s="70"/>
      <c r="F330" s="121"/>
      <c r="G330" s="344"/>
      <c r="H330" s="344"/>
      <c r="I330" s="121"/>
      <c r="J330" s="344"/>
      <c r="K330" s="344"/>
      <c r="L330" s="121"/>
    </row>
    <row r="331" spans="1:12">
      <c r="A331" s="121"/>
      <c r="B331" s="121"/>
      <c r="C331" s="121"/>
      <c r="D331" s="70"/>
      <c r="E331" s="70"/>
      <c r="F331" s="121"/>
      <c r="G331" s="344"/>
      <c r="H331" s="344"/>
      <c r="I331" s="121"/>
      <c r="J331" s="344"/>
      <c r="K331" s="344"/>
      <c r="L331" s="121"/>
    </row>
    <row r="332" spans="1:12">
      <c r="A332" s="121"/>
      <c r="B332" s="121"/>
      <c r="C332" s="121"/>
      <c r="D332" s="70"/>
      <c r="E332" s="70"/>
      <c r="F332" s="121"/>
      <c r="G332" s="344"/>
      <c r="H332" s="344"/>
      <c r="I332" s="121"/>
      <c r="J332" s="344"/>
      <c r="K332" s="344"/>
      <c r="L332" s="121"/>
    </row>
    <row r="333" spans="1:12">
      <c r="A333" s="121"/>
      <c r="B333" s="121"/>
      <c r="C333" s="121"/>
      <c r="D333" s="70"/>
      <c r="E333" s="70"/>
      <c r="F333" s="121"/>
      <c r="G333" s="121"/>
      <c r="H333" s="121"/>
      <c r="I333" s="121"/>
      <c r="J333" s="344"/>
      <c r="K333" s="344"/>
      <c r="L333" s="121"/>
    </row>
    <row r="334" spans="1:12">
      <c r="A334" s="121"/>
      <c r="B334" s="121"/>
      <c r="C334" s="121"/>
      <c r="D334" s="70"/>
      <c r="E334" s="70"/>
      <c r="F334" s="121"/>
      <c r="G334" s="344"/>
      <c r="H334" s="344"/>
      <c r="I334" s="121"/>
      <c r="J334" s="344"/>
      <c r="K334" s="344"/>
      <c r="L334" s="121"/>
    </row>
    <row r="335" spans="1:12">
      <c r="A335" s="121"/>
      <c r="B335" s="121"/>
      <c r="C335" s="121"/>
      <c r="D335" s="70"/>
      <c r="E335" s="70"/>
      <c r="F335" s="121"/>
      <c r="G335" s="344"/>
      <c r="H335" s="344"/>
      <c r="I335" s="121"/>
      <c r="J335" s="344"/>
      <c r="K335" s="344"/>
      <c r="L335" s="121"/>
    </row>
    <row r="336" spans="1:12">
      <c r="A336" s="121"/>
      <c r="B336" s="121"/>
      <c r="C336" s="121"/>
      <c r="D336" s="70"/>
      <c r="E336" s="70"/>
      <c r="F336" s="121"/>
      <c r="G336" s="344"/>
      <c r="H336" s="344"/>
      <c r="I336" s="121"/>
      <c r="J336" s="344"/>
      <c r="K336" s="344"/>
      <c r="L336" s="121"/>
    </row>
    <row r="337" spans="1:12">
      <c r="A337" s="121"/>
      <c r="B337" s="121"/>
      <c r="C337" s="121"/>
      <c r="D337" s="70"/>
      <c r="E337" s="70"/>
      <c r="F337" s="121"/>
      <c r="G337" s="344"/>
      <c r="H337" s="344"/>
      <c r="I337" s="121"/>
      <c r="J337" s="344"/>
      <c r="K337" s="344"/>
      <c r="L337" s="121"/>
    </row>
    <row r="338" spans="1:12">
      <c r="A338" s="121"/>
      <c r="B338" s="121"/>
      <c r="C338" s="121"/>
      <c r="D338" s="70"/>
      <c r="E338" s="70"/>
      <c r="F338" s="121"/>
      <c r="G338" s="344"/>
      <c r="H338" s="344"/>
      <c r="I338" s="121"/>
      <c r="J338" s="344"/>
      <c r="K338" s="344"/>
      <c r="L338" s="121"/>
    </row>
    <row r="339" spans="1:12">
      <c r="A339" s="121"/>
      <c r="B339" s="121"/>
      <c r="C339" s="121"/>
      <c r="D339" s="70"/>
      <c r="E339" s="70"/>
      <c r="F339" s="121"/>
      <c r="G339" s="344"/>
      <c r="H339" s="344"/>
      <c r="I339" s="121"/>
      <c r="J339" s="344"/>
      <c r="K339" s="344"/>
      <c r="L339" s="121"/>
    </row>
    <row r="340" spans="1:12">
      <c r="A340" s="121"/>
      <c r="B340" s="121"/>
      <c r="C340" s="121"/>
      <c r="D340" s="70"/>
      <c r="E340" s="70"/>
      <c r="F340" s="121"/>
      <c r="G340" s="121"/>
      <c r="H340" s="121"/>
      <c r="I340" s="121"/>
      <c r="J340" s="344"/>
      <c r="K340" s="344"/>
      <c r="L340" s="121"/>
    </row>
    <row r="341" spans="1:12">
      <c r="A341" s="121"/>
      <c r="B341" s="121"/>
      <c r="C341" s="121"/>
      <c r="D341" s="70"/>
      <c r="E341" s="70"/>
      <c r="F341" s="121"/>
      <c r="G341" s="121"/>
      <c r="H341" s="121"/>
      <c r="I341" s="121"/>
      <c r="J341" s="344"/>
      <c r="K341" s="344"/>
      <c r="L341" s="121"/>
    </row>
    <row r="342" spans="1:12">
      <c r="A342" s="121"/>
      <c r="B342" s="121"/>
      <c r="C342" s="121"/>
      <c r="D342" s="70"/>
      <c r="E342" s="70"/>
      <c r="F342" s="121"/>
      <c r="G342" s="121"/>
      <c r="H342" s="121"/>
      <c r="I342" s="121"/>
      <c r="J342" s="344"/>
      <c r="K342" s="344"/>
      <c r="L342" s="121"/>
    </row>
    <row r="343" spans="1:12">
      <c r="A343" s="121"/>
      <c r="B343" s="121"/>
      <c r="C343" s="121"/>
      <c r="D343" s="70"/>
      <c r="E343" s="70"/>
      <c r="F343" s="121"/>
      <c r="G343" s="121"/>
      <c r="H343" s="121"/>
      <c r="I343" s="121"/>
      <c r="J343" s="344"/>
      <c r="K343" s="344"/>
      <c r="L343" s="121"/>
    </row>
    <row r="344" spans="1:12">
      <c r="A344" s="121"/>
      <c r="B344" s="121"/>
      <c r="C344" s="121"/>
      <c r="D344" s="70"/>
      <c r="E344" s="70"/>
      <c r="F344" s="121"/>
      <c r="G344" s="121"/>
      <c r="H344" s="121"/>
      <c r="I344" s="121"/>
      <c r="J344" s="344"/>
      <c r="K344" s="344"/>
      <c r="L344" s="121"/>
    </row>
    <row r="345" spans="1:12">
      <c r="A345" s="121"/>
      <c r="B345" s="121"/>
      <c r="C345" s="121"/>
      <c r="D345" s="70"/>
      <c r="E345" s="70"/>
      <c r="F345" s="121"/>
      <c r="G345" s="344"/>
      <c r="H345" s="344"/>
      <c r="I345" s="121"/>
      <c r="J345" s="344"/>
      <c r="K345" s="344"/>
      <c r="L345" s="121"/>
    </row>
    <row r="346" spans="1:12">
      <c r="A346" s="121"/>
      <c r="B346" s="121"/>
      <c r="C346" s="121"/>
      <c r="D346" s="70"/>
      <c r="E346" s="70"/>
      <c r="F346" s="121"/>
      <c r="G346" s="121"/>
      <c r="H346" s="121"/>
      <c r="I346" s="121"/>
      <c r="J346" s="344"/>
      <c r="K346" s="344"/>
      <c r="L346" s="121"/>
    </row>
    <row r="347" spans="1:12">
      <c r="A347" s="121"/>
      <c r="B347" s="121"/>
      <c r="C347" s="121"/>
      <c r="D347" s="70"/>
      <c r="E347" s="70"/>
      <c r="F347" s="121"/>
      <c r="G347" s="121"/>
      <c r="H347" s="121"/>
      <c r="I347" s="121"/>
      <c r="J347" s="344"/>
      <c r="K347" s="344"/>
      <c r="L347" s="121"/>
    </row>
    <row r="348" spans="1:12">
      <c r="A348" s="121"/>
      <c r="B348" s="121"/>
      <c r="C348" s="121"/>
      <c r="D348" s="70"/>
      <c r="E348" s="70"/>
      <c r="F348" s="121"/>
      <c r="G348" s="121"/>
      <c r="H348" s="121"/>
      <c r="I348" s="121"/>
      <c r="J348" s="344"/>
      <c r="K348" s="344"/>
      <c r="L348" s="121"/>
    </row>
  </sheetData>
  <autoFilter ref="A101:J102" xr:uid="{00000000-0009-0000-0000-000003000000}"/>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1"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AD87"/>
  <sheetViews>
    <sheetView showGridLines="0" tabSelected="1" zoomScaleNormal="100" zoomScaleSheetLayoutView="100" workbookViewId="0">
      <pane xSplit="1" ySplit="11" topLeftCell="B39" activePane="bottomRight" state="frozen"/>
      <selection pane="topRight" activeCell="B1" sqref="B1"/>
      <selection pane="bottomLeft" activeCell="A13" sqref="A13"/>
      <selection pane="bottomRight" activeCell="S21" sqref="S21:S23"/>
    </sheetView>
  </sheetViews>
  <sheetFormatPr baseColWidth="10" defaultColWidth="11.3984375" defaultRowHeight="13.5"/>
  <cols>
    <col min="1" max="1" width="0.86328125" style="1" customWidth="1"/>
    <col min="2" max="2" width="3.265625" style="1" customWidth="1"/>
    <col min="3" max="3" width="3.265625" style="10" customWidth="1"/>
    <col min="4" max="4" width="7.59765625" style="1" customWidth="1"/>
    <col min="5" max="5" width="17.3984375" style="1" customWidth="1"/>
    <col min="6" max="6" width="13.265625" style="1" customWidth="1"/>
    <col min="7" max="7" width="16.73046875" style="1" customWidth="1"/>
    <col min="8" max="8" width="11" style="1" customWidth="1"/>
    <col min="9" max="9" width="13.59765625" style="1" customWidth="1"/>
    <col min="10" max="10" width="9.86328125" style="1" customWidth="1"/>
    <col min="11" max="11" width="9.59765625" style="1" customWidth="1"/>
    <col min="12" max="12" width="7.265625" style="1" customWidth="1"/>
    <col min="13" max="13" width="4.265625" style="1" customWidth="1"/>
    <col min="14" max="14" width="4.59765625" style="1" customWidth="1"/>
    <col min="15" max="15" width="7.265625" style="1" customWidth="1"/>
    <col min="16" max="16" width="9.3984375" style="1" customWidth="1"/>
    <col min="17" max="17" width="8.3984375" style="44" customWidth="1"/>
    <col min="18" max="18" width="9" style="1" customWidth="1"/>
    <col min="19" max="20" width="68.59765625" style="1" customWidth="1"/>
    <col min="21" max="21" width="9.3984375" style="1" hidden="1" customWidth="1"/>
    <col min="22" max="16384" width="11.3984375" style="1"/>
  </cols>
  <sheetData>
    <row r="1" spans="1:20" ht="5.25" customHeight="1">
      <c r="A1" s="5"/>
      <c r="Q1" s="1"/>
    </row>
    <row r="2" spans="1:20" ht="14.25" customHeight="1">
      <c r="A2" s="2"/>
      <c r="B2" s="396" t="str">
        <f>'Basic Data'!B2</f>
        <v>Annex CR Version J2.1  (Audit year 2023 / Indicator year 2022)</v>
      </c>
      <c r="Q2" s="1"/>
    </row>
    <row r="3" spans="1:20" ht="15.75" customHeight="1">
      <c r="A3" s="34"/>
      <c r="B3" s="34" t="s">
        <v>797</v>
      </c>
      <c r="P3" s="20"/>
      <c r="Q3" s="1"/>
    </row>
    <row r="4" spans="1:20" ht="7.5" customHeight="1">
      <c r="A4" s="34"/>
      <c r="P4" s="20"/>
      <c r="Q4" s="1"/>
    </row>
    <row r="5" spans="1:20" ht="5.25" customHeight="1">
      <c r="F5" s="8"/>
      <c r="G5" s="8"/>
      <c r="H5" s="8"/>
      <c r="I5" s="8"/>
      <c r="J5" s="8"/>
      <c r="K5" s="8"/>
      <c r="L5" s="8"/>
      <c r="M5" s="8"/>
      <c r="N5" s="8"/>
      <c r="O5" s="8"/>
      <c r="P5" s="20"/>
      <c r="Q5" s="1"/>
    </row>
    <row r="6" spans="1:20" s="22" customFormat="1" ht="15" customHeight="1">
      <c r="B6" s="24" t="s">
        <v>464</v>
      </c>
      <c r="C6" s="36"/>
      <c r="D6" s="24"/>
      <c r="F6" s="690" t="str">
        <f>IF('Basic Data'!C8=0,"",'Basic Data'!C8)</f>
        <v/>
      </c>
      <c r="G6" s="691"/>
      <c r="H6" s="692"/>
      <c r="I6" s="692"/>
      <c r="J6" s="692"/>
      <c r="K6" s="692"/>
      <c r="L6" s="692"/>
      <c r="M6" s="692"/>
      <c r="N6" s="693"/>
      <c r="O6"/>
      <c r="P6" s="20"/>
      <c r="Q6" s="20"/>
      <c r="R6" s="18"/>
      <c r="S6" s="20"/>
      <c r="T6" s="20"/>
    </row>
    <row r="7" spans="1:20" s="22" customFormat="1" ht="4.5" customHeight="1">
      <c r="B7" s="4"/>
      <c r="C7" s="74"/>
      <c r="D7" s="4"/>
      <c r="E7" s="21"/>
      <c r="F7" s="8"/>
      <c r="G7" s="8"/>
      <c r="H7" s="8"/>
      <c r="I7" s="8"/>
      <c r="J7" s="8"/>
      <c r="K7" s="8"/>
      <c r="L7" s="8"/>
      <c r="M7" s="8"/>
      <c r="N7" s="8"/>
      <c r="O7" s="8"/>
      <c r="P7" s="20"/>
      <c r="Q7" s="20"/>
      <c r="R7" s="18"/>
      <c r="S7" s="20"/>
      <c r="T7" s="20"/>
    </row>
    <row r="8" spans="1:20" s="22" customFormat="1" ht="15" customHeight="1">
      <c r="B8" s="24" t="s">
        <v>712</v>
      </c>
      <c r="C8" s="36"/>
      <c r="D8" s="24"/>
      <c r="E8" s="23"/>
      <c r="F8" s="690" t="str">
        <f>IF('Basic Data'!C6=0,"",'Basic Data'!C6)</f>
        <v>Not listed</v>
      </c>
      <c r="G8" s="694"/>
      <c r="H8" s="20"/>
      <c r="I8" s="20"/>
      <c r="J8" s="129" t="s">
        <v>709</v>
      </c>
      <c r="K8" s="695" t="str">
        <f>IF('Basic Data'!O12=0,"",'Basic Data'!O12)</f>
        <v/>
      </c>
      <c r="L8" s="696"/>
      <c r="M8" s="696"/>
      <c r="N8" s="697"/>
      <c r="O8" s="350"/>
      <c r="P8" s="20"/>
      <c r="Q8" s="20"/>
      <c r="R8" s="18"/>
      <c r="S8" s="20"/>
      <c r="T8" s="20"/>
    </row>
    <row r="9" spans="1:20" ht="9" customHeight="1" thickBot="1">
      <c r="F9" s="8"/>
      <c r="G9" s="8"/>
      <c r="H9" s="8"/>
      <c r="I9" s="8"/>
      <c r="J9" s="8"/>
      <c r="K9" s="8"/>
      <c r="L9" s="8"/>
      <c r="M9" s="8"/>
      <c r="N9" s="8"/>
      <c r="O9" s="8"/>
      <c r="P9" s="20"/>
      <c r="Q9" s="1"/>
    </row>
    <row r="10" spans="1:20" s="7" customFormat="1" ht="15" customHeight="1" thickBot="1">
      <c r="B10" s="713" t="s">
        <v>721</v>
      </c>
      <c r="C10" s="720"/>
      <c r="D10" s="704" t="s">
        <v>799</v>
      </c>
      <c r="E10" s="717" t="s">
        <v>722</v>
      </c>
      <c r="F10" s="717" t="s">
        <v>723</v>
      </c>
      <c r="G10" s="718"/>
      <c r="H10" s="717" t="s">
        <v>724</v>
      </c>
      <c r="I10" s="718"/>
      <c r="J10" s="717" t="s">
        <v>725</v>
      </c>
      <c r="K10" s="718"/>
      <c r="L10" s="704" t="s">
        <v>726</v>
      </c>
      <c r="M10" s="717" t="s">
        <v>727</v>
      </c>
      <c r="N10" s="717"/>
      <c r="O10" s="704" t="s">
        <v>726</v>
      </c>
      <c r="P10" s="713" t="s">
        <v>728</v>
      </c>
      <c r="Q10" s="714"/>
      <c r="R10" s="704" t="s">
        <v>729</v>
      </c>
      <c r="S10" s="701" t="s">
        <v>730</v>
      </c>
      <c r="T10" s="702"/>
    </row>
    <row r="11" spans="1:20" s="7" customFormat="1" ht="23.25" customHeight="1" thickBot="1">
      <c r="B11" s="721"/>
      <c r="C11" s="722"/>
      <c r="D11" s="706"/>
      <c r="E11" s="719"/>
      <c r="F11" s="719"/>
      <c r="G11" s="718"/>
      <c r="H11" s="719"/>
      <c r="I11" s="718"/>
      <c r="J11" s="719"/>
      <c r="K11" s="718"/>
      <c r="L11" s="706"/>
      <c r="M11" s="717"/>
      <c r="N11" s="717"/>
      <c r="O11" s="706"/>
      <c r="P11" s="715"/>
      <c r="Q11" s="716"/>
      <c r="R11" s="705"/>
      <c r="S11" s="379" t="s">
        <v>731</v>
      </c>
      <c r="T11" s="379" t="s">
        <v>732</v>
      </c>
    </row>
    <row r="12" spans="1:20" ht="21.75" customHeight="1" thickBot="1">
      <c r="B12" s="727" t="s">
        <v>244</v>
      </c>
      <c r="C12" s="637"/>
      <c r="D12" s="661" t="s">
        <v>153</v>
      </c>
      <c r="E12" s="610" t="s">
        <v>740</v>
      </c>
      <c r="F12" s="723" t="s">
        <v>741</v>
      </c>
      <c r="G12" s="724"/>
      <c r="H12" s="723" t="s">
        <v>742</v>
      </c>
      <c r="I12" s="724"/>
      <c r="J12" s="707" t="s">
        <v>251</v>
      </c>
      <c r="K12" s="708"/>
      <c r="L12" s="670"/>
      <c r="M12" s="689" t="s">
        <v>157</v>
      </c>
      <c r="N12" s="689"/>
      <c r="O12" s="670"/>
      <c r="P12" s="703" t="s">
        <v>746</v>
      </c>
      <c r="Q12" s="698">
        <f>IF('Basic Data'!D42="",0,'Basic Data'!D42)</f>
        <v>0</v>
      </c>
      <c r="R12" s="676" t="str">
        <f>IF(Q12="",Berechnung1!$F$5,IF(Q12=0, Berechnung1!F5,IF(OR(Q12&lt; Berechnung1!E35,Q12&gt; Berechnung1!F35),Berechnung1!$G$5,IF(OR(ROUND(Q12,4)&lt;Berechnung1!J35,ROUND(Q12,4)&gt;Berechnung1!K35),Berechnung1!$D$5,IF(OR(ROUND(Q12,4)&lt;Berechnung1!G35,ROUND(Q12,4)&gt;Berechnung1!H35),Berechnung1!$E$5,Berechnung1!$C$5)))))</f>
        <v>Incomplete</v>
      </c>
      <c r="S12" s="642"/>
      <c r="T12" s="644"/>
    </row>
    <row r="13" spans="1:20" ht="21.75" customHeight="1" thickBot="1">
      <c r="B13" s="638"/>
      <c r="C13" s="639"/>
      <c r="D13" s="662"/>
      <c r="E13" s="610"/>
      <c r="F13" s="709"/>
      <c r="G13" s="725"/>
      <c r="H13" s="709"/>
      <c r="I13" s="725"/>
      <c r="J13" s="709"/>
      <c r="K13" s="710"/>
      <c r="L13" s="671"/>
      <c r="M13" s="689"/>
      <c r="N13" s="689"/>
      <c r="O13" s="671"/>
      <c r="P13" s="703"/>
      <c r="Q13" s="699"/>
      <c r="R13" s="677"/>
      <c r="S13" s="643"/>
      <c r="T13" s="645"/>
    </row>
    <row r="14" spans="1:20" ht="21.75" customHeight="1" thickBot="1">
      <c r="B14" s="640"/>
      <c r="C14" s="641"/>
      <c r="D14" s="662"/>
      <c r="E14" s="610"/>
      <c r="F14" s="709"/>
      <c r="G14" s="725"/>
      <c r="H14" s="709"/>
      <c r="I14" s="725"/>
      <c r="J14" s="711"/>
      <c r="K14" s="712"/>
      <c r="L14" s="672"/>
      <c r="M14" s="689"/>
      <c r="N14" s="689"/>
      <c r="O14" s="672"/>
      <c r="P14" s="703"/>
      <c r="Q14" s="700"/>
      <c r="R14" s="678"/>
      <c r="S14" s="643"/>
      <c r="T14" s="646"/>
    </row>
    <row r="15" spans="1:20" ht="23.25" customHeight="1" thickBot="1">
      <c r="B15" s="638" t="s">
        <v>245</v>
      </c>
      <c r="C15" s="639"/>
      <c r="D15" s="662"/>
      <c r="E15" s="610" t="s">
        <v>743</v>
      </c>
      <c r="F15" s="709"/>
      <c r="G15" s="725"/>
      <c r="H15" s="709"/>
      <c r="I15" s="725"/>
      <c r="J15" s="707" t="s">
        <v>251</v>
      </c>
      <c r="K15" s="708"/>
      <c r="L15" s="670"/>
      <c r="M15" s="689" t="s">
        <v>158</v>
      </c>
      <c r="N15" s="689"/>
      <c r="O15" s="670"/>
      <c r="P15" s="703" t="s">
        <v>746</v>
      </c>
      <c r="Q15" s="698">
        <f>IF('Basic Data'!R37="",0,'Basic Data'!R37)</f>
        <v>0</v>
      </c>
      <c r="R15" s="676" t="str">
        <f>IF(Q15="",Berechnung1!$F$5,IF(Q15=0, Berechnung1!F5,IF(OR(Q15&lt; Berechnung1!E38,Q15&gt; Berechnung1!F38),Berechnung1!$G$5,IF(OR(ROUND(Q15,4)&lt;Berechnung1!J38,ROUND(Q15,4)&gt;Berechnung1!K38),Berechnung1!$D$5,IF(OR(ROUND(Q15,4)&lt;Berechnung1!G38,ROUND(Q15,4)&gt;Berechnung1!H38),Berechnung1!$E$5,Berechnung1!$C$5)))))</f>
        <v>Incomplete</v>
      </c>
      <c r="S15" s="644"/>
      <c r="T15" s="644"/>
    </row>
    <row r="16" spans="1:20" ht="23.25" customHeight="1" thickBot="1">
      <c r="B16" s="638"/>
      <c r="C16" s="639"/>
      <c r="D16" s="662"/>
      <c r="E16" s="610"/>
      <c r="F16" s="709"/>
      <c r="G16" s="725"/>
      <c r="H16" s="709"/>
      <c r="I16" s="725"/>
      <c r="J16" s="709"/>
      <c r="K16" s="710"/>
      <c r="L16" s="671"/>
      <c r="M16" s="689"/>
      <c r="N16" s="689"/>
      <c r="O16" s="671"/>
      <c r="P16" s="703"/>
      <c r="Q16" s="699"/>
      <c r="R16" s="677"/>
      <c r="S16" s="643"/>
      <c r="T16" s="645"/>
    </row>
    <row r="17" spans="2:21" ht="23.25" customHeight="1" thickBot="1">
      <c r="B17" s="638"/>
      <c r="C17" s="639"/>
      <c r="D17" s="662"/>
      <c r="E17" s="610"/>
      <c r="F17" s="709"/>
      <c r="G17" s="725"/>
      <c r="H17" s="709"/>
      <c r="I17" s="725"/>
      <c r="J17" s="711"/>
      <c r="K17" s="712"/>
      <c r="L17" s="672"/>
      <c r="M17" s="689"/>
      <c r="N17" s="689"/>
      <c r="O17" s="672"/>
      <c r="P17" s="703"/>
      <c r="Q17" s="700"/>
      <c r="R17" s="678"/>
      <c r="S17" s="643"/>
      <c r="T17" s="646"/>
    </row>
    <row r="18" spans="2:21" ht="23.25" customHeight="1" thickBot="1">
      <c r="B18" s="727" t="s">
        <v>246</v>
      </c>
      <c r="C18" s="637"/>
      <c r="D18" s="662"/>
      <c r="E18" s="610" t="s">
        <v>744</v>
      </c>
      <c r="F18" s="709"/>
      <c r="G18" s="725"/>
      <c r="H18" s="709"/>
      <c r="I18" s="725"/>
      <c r="J18" s="707" t="s">
        <v>251</v>
      </c>
      <c r="K18" s="708"/>
      <c r="L18" s="670"/>
      <c r="M18" s="689" t="s">
        <v>745</v>
      </c>
      <c r="N18" s="689"/>
      <c r="O18" s="670"/>
      <c r="P18" s="703" t="s">
        <v>746</v>
      </c>
      <c r="Q18" s="698">
        <f>IF('Basic Data'!D43="",0,'Basic Data'!D43)</f>
        <v>0</v>
      </c>
      <c r="R18" s="676" t="str">
        <f>IF(Q18="",Berechnung1!$F$5,IF(Q18=0, Berechnung1!F5,IF(OR(Q18&lt; Berechnung1!E41,Q18&gt; Berechnung1!F41),Berechnung1!$G$5,IF(OR(ROUND(Q18,4)&lt;Berechnung1!J41,ROUND(Q18,4)&gt;Berechnung1!K41),Berechnung1!$D$5,IF(OR(ROUND(Q18,4)&lt;Berechnung1!G41,ROUND(Q18,4)&gt;Berechnung1!H41),Berechnung1!$E$5,Berechnung1!$C$5)))))</f>
        <v>Incomplete</v>
      </c>
      <c r="S18" s="644"/>
      <c r="T18" s="644"/>
    </row>
    <row r="19" spans="2:21" ht="23.25" customHeight="1" thickBot="1">
      <c r="B19" s="638"/>
      <c r="C19" s="639"/>
      <c r="D19" s="662"/>
      <c r="E19" s="610"/>
      <c r="F19" s="709"/>
      <c r="G19" s="725"/>
      <c r="H19" s="709"/>
      <c r="I19" s="725"/>
      <c r="J19" s="709"/>
      <c r="K19" s="710"/>
      <c r="L19" s="671"/>
      <c r="M19" s="689"/>
      <c r="N19" s="689"/>
      <c r="O19" s="671"/>
      <c r="P19" s="703"/>
      <c r="Q19" s="699"/>
      <c r="R19" s="677"/>
      <c r="S19" s="643"/>
      <c r="T19" s="645"/>
    </row>
    <row r="20" spans="2:21" ht="23.25" customHeight="1" thickBot="1">
      <c r="B20" s="640"/>
      <c r="C20" s="641"/>
      <c r="D20" s="663"/>
      <c r="E20" s="610"/>
      <c r="F20" s="711"/>
      <c r="G20" s="726"/>
      <c r="H20" s="711"/>
      <c r="I20" s="726"/>
      <c r="J20" s="711"/>
      <c r="K20" s="712"/>
      <c r="L20" s="672"/>
      <c r="M20" s="689"/>
      <c r="N20" s="689"/>
      <c r="O20" s="672"/>
      <c r="P20" s="703"/>
      <c r="Q20" s="700"/>
      <c r="R20" s="678"/>
      <c r="S20" s="643"/>
      <c r="T20" s="646"/>
    </row>
    <row r="21" spans="2:21" ht="23.25" customHeight="1">
      <c r="B21" s="727" t="s">
        <v>800</v>
      </c>
      <c r="C21" s="637"/>
      <c r="D21" s="661"/>
      <c r="E21" s="622" t="s">
        <v>801</v>
      </c>
      <c r="F21" s="707" t="s">
        <v>251</v>
      </c>
      <c r="G21" s="724"/>
      <c r="H21" s="723" t="s">
        <v>801</v>
      </c>
      <c r="I21" s="724"/>
      <c r="J21" s="707" t="s">
        <v>251</v>
      </c>
      <c r="K21" s="724"/>
      <c r="L21" s="670"/>
      <c r="M21" s="664" t="s">
        <v>745</v>
      </c>
      <c r="N21" s="665"/>
      <c r="O21" s="670"/>
      <c r="P21" s="745" t="s">
        <v>746</v>
      </c>
      <c r="Q21" s="698">
        <f>IF('Basic Data'!R34="",0,'Basic Data'!R34)</f>
        <v>0</v>
      </c>
      <c r="R21" s="676" t="str">
        <f>IF(AND(U22="",Q21=0),Berechnung1!$F$5,IF(AND(U22=0,Q21=0),Berechnung1!$H$5,IF(OR(Q21&lt;Berechnung1!E44,Q21&gt;Berechnung1!F44),Berechnung1!$G$5,IF(OR(ROUND(Q21,4)&lt;Berechnung1!J44,ROUND(Q21,4)&gt;Berechnung1!K44),Berechnung1!$D$5,IF(OR(ROUND(Q21,4)&lt;Berechnung1!G44,ROUND(Q21,4)&gt;Berechnung1!H44),Berechnung1!$E$5,Berechnung1!$C$5)))))</f>
        <v>Incomplete</v>
      </c>
      <c r="S21" s="644"/>
      <c r="T21" s="728"/>
    </row>
    <row r="22" spans="2:21" ht="23.25" customHeight="1">
      <c r="B22" s="638"/>
      <c r="C22" s="639"/>
      <c r="D22" s="662"/>
      <c r="E22" s="623"/>
      <c r="F22" s="709"/>
      <c r="G22" s="725"/>
      <c r="H22" s="709"/>
      <c r="I22" s="725"/>
      <c r="J22" s="709"/>
      <c r="K22" s="725"/>
      <c r="L22" s="671"/>
      <c r="M22" s="666"/>
      <c r="N22" s="667"/>
      <c r="O22" s="671"/>
      <c r="P22" s="746"/>
      <c r="Q22" s="699"/>
      <c r="R22" s="677"/>
      <c r="S22" s="645"/>
      <c r="T22" s="729"/>
      <c r="U22" s="470" t="str">
        <f>IF(AND('Basic Data'!D34="",'Basic Data'!E34="",'Basic Data'!F34="",'Basic Data'!G34="",'Basic Data'!H34="",'Basic Data'!I34="",'Basic Data'!J34="",'Basic Data'!K34="",'Basic Data'!L34="",'Basic Data'!M34="",'Basic Data'!N34="",'Basic Data'!O34="",'Basic Data'!P34="",'Basic Data'!Q34=""),"",SUM('Basic Data'!D34:Q34))</f>
        <v/>
      </c>
    </row>
    <row r="23" spans="2:21" ht="23.25" customHeight="1" thickBot="1">
      <c r="B23" s="640"/>
      <c r="C23" s="641"/>
      <c r="D23" s="663"/>
      <c r="E23" s="624"/>
      <c r="F23" s="711"/>
      <c r="G23" s="726"/>
      <c r="H23" s="711"/>
      <c r="I23" s="726"/>
      <c r="J23" s="711"/>
      <c r="K23" s="726"/>
      <c r="L23" s="672"/>
      <c r="M23" s="668"/>
      <c r="N23" s="669"/>
      <c r="O23" s="672"/>
      <c r="P23" s="747"/>
      <c r="Q23" s="700"/>
      <c r="R23" s="678"/>
      <c r="S23" s="646"/>
      <c r="T23" s="730"/>
    </row>
    <row r="24" spans="2:21" s="45" customFormat="1" ht="30" customHeight="1" thickBot="1">
      <c r="B24" s="636">
        <v>2</v>
      </c>
      <c r="C24" s="637"/>
      <c r="D24" s="661" t="s">
        <v>802</v>
      </c>
      <c r="E24" s="622" t="s">
        <v>748</v>
      </c>
      <c r="F24" s="625" t="s">
        <v>803</v>
      </c>
      <c r="G24" s="626"/>
      <c r="H24" s="625" t="s">
        <v>804</v>
      </c>
      <c r="I24" s="626"/>
      <c r="J24" s="625" t="s">
        <v>805</v>
      </c>
      <c r="K24" s="626"/>
      <c r="L24" s="670"/>
      <c r="M24" s="664" t="s">
        <v>138</v>
      </c>
      <c r="N24" s="665"/>
      <c r="O24" s="670"/>
      <c r="P24" s="43" t="s">
        <v>724</v>
      </c>
      <c r="Q24" s="58"/>
      <c r="R24" s="676" t="str">
        <f>IF(Q26=Berechnung1!D47,Berechnung1!$F$5,IF(OR(Q26&lt; Berechnung1!E47,Q26&gt; Berechnung1!F47),Berechnung1!$G$5,IF(OR(ROUND(Q26,3)&lt;Berechnung1!J47,ROUND(Q26,4)&gt;Berechnung1!K47),Berechnung1!$D$5,IF(OR(ROUND(Q26,4)&lt;Berechnung1!G47,ROUND(Q26,4)&gt;Berechnung1!H47),Berechnung1!$E$5,Berechnung1!$C$5))))</f>
        <v>Incomplete</v>
      </c>
      <c r="S24" s="644"/>
      <c r="T24" s="644"/>
    </row>
    <row r="25" spans="2:21" s="45" customFormat="1" ht="30" customHeight="1" thickBot="1">
      <c r="B25" s="638"/>
      <c r="C25" s="639"/>
      <c r="D25" s="662"/>
      <c r="E25" s="623"/>
      <c r="F25" s="627"/>
      <c r="G25" s="628"/>
      <c r="H25" s="627"/>
      <c r="I25" s="628"/>
      <c r="J25" s="627"/>
      <c r="K25" s="628"/>
      <c r="L25" s="671"/>
      <c r="M25" s="666"/>
      <c r="N25" s="667"/>
      <c r="O25" s="671"/>
      <c r="P25" s="47" t="s">
        <v>747</v>
      </c>
      <c r="Q25" s="101">
        <f>U25</f>
        <v>0</v>
      </c>
      <c r="R25" s="677"/>
      <c r="S25" s="643"/>
      <c r="T25" s="645"/>
      <c r="U25" s="45">
        <f>'Basic Data'!R34+'Basic Data'!P37</f>
        <v>0</v>
      </c>
    </row>
    <row r="26" spans="2:21" s="45" customFormat="1" ht="30" customHeight="1" thickBot="1">
      <c r="B26" s="640"/>
      <c r="C26" s="641"/>
      <c r="D26" s="663"/>
      <c r="E26" s="624"/>
      <c r="F26" s="629"/>
      <c r="G26" s="630"/>
      <c r="H26" s="629"/>
      <c r="I26" s="630"/>
      <c r="J26" s="629"/>
      <c r="K26" s="630"/>
      <c r="L26" s="672"/>
      <c r="M26" s="668"/>
      <c r="N26" s="669"/>
      <c r="O26" s="672"/>
      <c r="P26" s="47" t="s">
        <v>8</v>
      </c>
      <c r="Q26" s="353" t="str">
        <f>IF(Q24="","n.d.",IF(Q25="","n.d.",IF(Q25=0,"",Q24/Q25)))</f>
        <v>n.d.</v>
      </c>
      <c r="R26" s="678"/>
      <c r="S26" s="643"/>
      <c r="T26" s="646"/>
    </row>
    <row r="27" spans="2:21" ht="30" customHeight="1" thickBot="1">
      <c r="B27" s="636">
        <v>3</v>
      </c>
      <c r="C27" s="637"/>
      <c r="D27" s="661"/>
      <c r="E27" s="622" t="s">
        <v>806</v>
      </c>
      <c r="F27" s="625" t="s">
        <v>807</v>
      </c>
      <c r="G27" s="626"/>
      <c r="H27" s="625" t="s">
        <v>749</v>
      </c>
      <c r="I27" s="626"/>
      <c r="J27" s="625" t="s">
        <v>808</v>
      </c>
      <c r="K27" s="626"/>
      <c r="L27" s="670" t="s">
        <v>372</v>
      </c>
      <c r="M27" s="664" t="s">
        <v>418</v>
      </c>
      <c r="N27" s="665"/>
      <c r="O27" s="670"/>
      <c r="P27" s="47" t="s">
        <v>724</v>
      </c>
      <c r="Q27" s="58"/>
      <c r="R27" s="676" t="str">
        <f>IF(Q29=Berechnung1!D50,Berechnung1!$F$5,IF(OR(Q29&lt; Berechnung1!E50,Q29&gt; Berechnung1!F50),Berechnung1!$G$5,IF(OR(ROUND(Q29,4)&lt;Berechnung1!J50,ROUND(Q29,4)&gt;Berechnung1!K50),Berechnung1!$D$5,IF(OR(ROUND(Q29,4)&lt;Berechnung1!G50,ROUND(Q29,4)&gt;Berechnung1!H50),Berechnung1!$E$5,Berechnung1!$C$5))))</f>
        <v>Incomplete</v>
      </c>
      <c r="S27" s="644"/>
      <c r="T27" s="644"/>
    </row>
    <row r="28" spans="2:21" ht="30" customHeight="1" thickBot="1">
      <c r="B28" s="638"/>
      <c r="C28" s="639"/>
      <c r="D28" s="662"/>
      <c r="E28" s="623"/>
      <c r="F28" s="627"/>
      <c r="G28" s="628"/>
      <c r="H28" s="627"/>
      <c r="I28" s="628"/>
      <c r="J28" s="627"/>
      <c r="K28" s="628"/>
      <c r="L28" s="671"/>
      <c r="M28" s="666"/>
      <c r="N28" s="667"/>
      <c r="O28" s="671"/>
      <c r="P28" s="47" t="s">
        <v>747</v>
      </c>
      <c r="Q28" s="101">
        <f>IF(OR(Q24="",Q24=0),0,Q24)</f>
        <v>0</v>
      </c>
      <c r="R28" s="677"/>
      <c r="S28" s="643"/>
      <c r="T28" s="645"/>
    </row>
    <row r="29" spans="2:21" ht="30" customHeight="1" thickBot="1">
      <c r="B29" s="638"/>
      <c r="C29" s="639"/>
      <c r="D29" s="663"/>
      <c r="E29" s="624"/>
      <c r="F29" s="629"/>
      <c r="G29" s="630"/>
      <c r="H29" s="629"/>
      <c r="I29" s="630"/>
      <c r="J29" s="629"/>
      <c r="K29" s="630"/>
      <c r="L29" s="672"/>
      <c r="M29" s="668"/>
      <c r="N29" s="669"/>
      <c r="O29" s="672"/>
      <c r="P29" s="104" t="s">
        <v>8</v>
      </c>
      <c r="Q29" s="354" t="str">
        <f>IF(Q27="","n.d.",IF(Q28="","n.d.",IF(Q28=0,"",Q27/Q28)))</f>
        <v>n.d.</v>
      </c>
      <c r="R29" s="678"/>
      <c r="S29" s="643"/>
      <c r="T29" s="646"/>
    </row>
    <row r="30" spans="2:21" ht="30" customHeight="1" thickBot="1">
      <c r="B30" s="636">
        <v>4</v>
      </c>
      <c r="C30" s="637"/>
      <c r="D30" s="661"/>
      <c r="E30" s="622" t="s">
        <v>750</v>
      </c>
      <c r="F30" s="625" t="s">
        <v>751</v>
      </c>
      <c r="G30" s="626"/>
      <c r="H30" s="625" t="s">
        <v>809</v>
      </c>
      <c r="I30" s="626"/>
      <c r="J30" s="625" t="s">
        <v>815</v>
      </c>
      <c r="K30" s="626"/>
      <c r="L30" s="670" t="s">
        <v>368</v>
      </c>
      <c r="M30" s="664" t="s">
        <v>745</v>
      </c>
      <c r="N30" s="665"/>
      <c r="O30" s="670" t="s">
        <v>369</v>
      </c>
      <c r="P30" s="103" t="s">
        <v>724</v>
      </c>
      <c r="Q30" s="58"/>
      <c r="R30" s="676" t="str">
        <f>IF(Q32=Berechnung1!D53,Berechnung1!$F$5,IF(OR(Q32&lt; Berechnung1!E53,Q32&gt; Berechnung1!F53),Berechnung1!$G$5,IF(OR(ROUND(Q32,4)&lt;Berechnung1!J53,ROUND(Q32,4)&gt;Berechnung1!K53),Berechnung1!$D$5,IF(OR(ROUND(Q32,4)&lt;Berechnung1!G53,ROUND(Q32,4)&gt;Berechnung1!H53),Berechnung1!$E$5,Berechnung1!$C$5))))</f>
        <v>Incomplete</v>
      </c>
      <c r="S30" s="644"/>
      <c r="T30" s="644"/>
    </row>
    <row r="31" spans="2:21" ht="30" customHeight="1" thickBot="1">
      <c r="B31" s="638"/>
      <c r="C31" s="639"/>
      <c r="D31" s="662"/>
      <c r="E31" s="623"/>
      <c r="F31" s="627"/>
      <c r="G31" s="628"/>
      <c r="H31" s="627"/>
      <c r="I31" s="628"/>
      <c r="J31" s="627"/>
      <c r="K31" s="628"/>
      <c r="L31" s="671"/>
      <c r="M31" s="666"/>
      <c r="N31" s="667"/>
      <c r="O31" s="671"/>
      <c r="P31" s="103" t="s">
        <v>747</v>
      </c>
      <c r="Q31" s="101">
        <f>IF(OR(Q15="",U31=""),0,SUM(Q15,U31))</f>
        <v>0</v>
      </c>
      <c r="R31" s="677"/>
      <c r="S31" s="643"/>
      <c r="T31" s="645"/>
      <c r="U31" s="45">
        <f>'Basic Data'!R34</f>
        <v>0</v>
      </c>
    </row>
    <row r="32" spans="2:21" ht="30" customHeight="1" thickBot="1">
      <c r="B32" s="640"/>
      <c r="C32" s="641"/>
      <c r="D32" s="663"/>
      <c r="E32" s="624"/>
      <c r="F32" s="629"/>
      <c r="G32" s="630"/>
      <c r="H32" s="629"/>
      <c r="I32" s="630"/>
      <c r="J32" s="629"/>
      <c r="K32" s="630"/>
      <c r="L32" s="672"/>
      <c r="M32" s="668"/>
      <c r="N32" s="669"/>
      <c r="O32" s="672"/>
      <c r="P32" s="103" t="s">
        <v>8</v>
      </c>
      <c r="Q32" s="353" t="str">
        <f>IF(Q30="","n.d.",IF(Q31="","n.d.",IF(Q31=0,"",Q30/Q31)))</f>
        <v>n.d.</v>
      </c>
      <c r="R32" s="678"/>
      <c r="S32" s="643"/>
      <c r="T32" s="646"/>
    </row>
    <row r="33" spans="2:30" s="45" customFormat="1" ht="30" customHeight="1" thickBot="1">
      <c r="B33" s="636">
        <v>5</v>
      </c>
      <c r="C33" s="637"/>
      <c r="D33" s="680" t="s">
        <v>802</v>
      </c>
      <c r="E33" s="622" t="s">
        <v>752</v>
      </c>
      <c r="F33" s="625" t="s">
        <v>830</v>
      </c>
      <c r="G33" s="626"/>
      <c r="H33" s="625" t="s">
        <v>753</v>
      </c>
      <c r="I33" s="626"/>
      <c r="J33" s="625" t="s">
        <v>815</v>
      </c>
      <c r="K33" s="626"/>
      <c r="L33" s="670" t="s">
        <v>825</v>
      </c>
      <c r="M33" s="664" t="s">
        <v>745</v>
      </c>
      <c r="N33" s="665"/>
      <c r="O33" s="670"/>
      <c r="P33" s="103" t="s">
        <v>724</v>
      </c>
      <c r="Q33" s="58"/>
      <c r="R33" s="676" t="str">
        <f>IF(Q35=Berechnung1!D56,Berechnung1!$F$5,IF(OR(Q35&lt; Berechnung1!E56,Q35&gt; Berechnung1!F56),Berechnung1!$G$5,IF(OR(ROUND(Q35,4)&lt;Berechnung1!J56,ROUND(Q35,4)&gt;Berechnung1!K56),Berechnung1!$D$5,IF(OR(ROUND(Q35,4)&lt;Berechnung1!G56,ROUND(Q35,4)&gt;Berechnung1!H56),Berechnung1!$E$5,Berechnung1!$C$5))))</f>
        <v>Incomplete</v>
      </c>
      <c r="S33" s="644"/>
      <c r="T33" s="644"/>
    </row>
    <row r="34" spans="2:30" s="45" customFormat="1" ht="30" customHeight="1" thickBot="1">
      <c r="B34" s="638"/>
      <c r="C34" s="639"/>
      <c r="D34" s="681"/>
      <c r="E34" s="623"/>
      <c r="F34" s="627"/>
      <c r="G34" s="628"/>
      <c r="H34" s="627"/>
      <c r="I34" s="628"/>
      <c r="J34" s="627"/>
      <c r="K34" s="628"/>
      <c r="L34" s="671"/>
      <c r="M34" s="666"/>
      <c r="N34" s="667"/>
      <c r="O34" s="671"/>
      <c r="P34" s="103" t="s">
        <v>747</v>
      </c>
      <c r="Q34" s="101">
        <f>Q31</f>
        <v>0</v>
      </c>
      <c r="R34" s="677"/>
      <c r="S34" s="643"/>
      <c r="T34" s="645"/>
    </row>
    <row r="35" spans="2:30" s="45" customFormat="1" ht="30" customHeight="1" thickBot="1">
      <c r="B35" s="640"/>
      <c r="C35" s="641"/>
      <c r="D35" s="682"/>
      <c r="E35" s="624"/>
      <c r="F35" s="629"/>
      <c r="G35" s="630"/>
      <c r="H35" s="629"/>
      <c r="I35" s="630"/>
      <c r="J35" s="629"/>
      <c r="K35" s="630"/>
      <c r="L35" s="672"/>
      <c r="M35" s="668"/>
      <c r="N35" s="669"/>
      <c r="O35" s="672"/>
      <c r="P35" s="103" t="s">
        <v>8</v>
      </c>
      <c r="Q35" s="353" t="str">
        <f>IF(Q33="","n.d.",IF(Q34="","n.d.",IF(Q34=0,"",Q33/Q34)))</f>
        <v>n.d.</v>
      </c>
      <c r="R35" s="678"/>
      <c r="S35" s="643"/>
      <c r="T35" s="646"/>
    </row>
    <row r="36" spans="2:30" s="45" customFormat="1" ht="30" customHeight="1" thickBot="1">
      <c r="B36" s="636">
        <v>6</v>
      </c>
      <c r="C36" s="637"/>
      <c r="D36" s="680" t="s">
        <v>136</v>
      </c>
      <c r="E36" s="622" t="s">
        <v>831</v>
      </c>
      <c r="F36" s="625" t="s">
        <v>755</v>
      </c>
      <c r="G36" s="626"/>
      <c r="H36" s="625" t="s">
        <v>756</v>
      </c>
      <c r="I36" s="626"/>
      <c r="J36" s="624" t="s">
        <v>757</v>
      </c>
      <c r="K36" s="624"/>
      <c r="L36" s="670"/>
      <c r="M36" s="748" t="s">
        <v>137</v>
      </c>
      <c r="N36" s="672"/>
      <c r="O36" s="670" t="s">
        <v>252</v>
      </c>
      <c r="P36" s="106" t="s">
        <v>724</v>
      </c>
      <c r="Q36" s="105"/>
      <c r="R36" s="676" t="str">
        <f>IF(Q38=Berechnung1!D59,Berechnung1!$F$5,IF(OR(Q38&lt; Berechnung1!E59,Q38&gt; Berechnung1!F59),Berechnung1!$G$5,IF(OR(ROUND(Q38,4)&lt;Berechnung1!J59,ROUND(Q38,4)&gt;Berechnung1!K59),Berechnung1!$D$5,IF(OR(ROUND(Q38,4)&lt;Berechnung1!G59,ROUND(Q38,4)&gt;Berechnung1!H59),Berechnung1!$E$5,Berechnung1!$C$5))))</f>
        <v>Incomplete</v>
      </c>
      <c r="S36" s="644"/>
      <c r="T36" s="644"/>
    </row>
    <row r="37" spans="2:30" s="45" customFormat="1" ht="30" customHeight="1" thickBot="1">
      <c r="B37" s="638"/>
      <c r="C37" s="639"/>
      <c r="D37" s="681"/>
      <c r="E37" s="623"/>
      <c r="F37" s="627"/>
      <c r="G37" s="628"/>
      <c r="H37" s="627"/>
      <c r="I37" s="628"/>
      <c r="J37" s="610"/>
      <c r="K37" s="610"/>
      <c r="L37" s="671"/>
      <c r="M37" s="689"/>
      <c r="N37" s="689"/>
      <c r="O37" s="671"/>
      <c r="P37" s="47" t="s">
        <v>747</v>
      </c>
      <c r="Q37" s="105"/>
      <c r="R37" s="677"/>
      <c r="S37" s="643"/>
      <c r="T37" s="645"/>
      <c r="U37" s="45">
        <f>IF(SUM('Basic Data'!I37:O37)=0,0,SUM('Basic Data'!I37:O37))</f>
        <v>0</v>
      </c>
    </row>
    <row r="38" spans="2:30" s="45" customFormat="1" ht="30" customHeight="1" thickBot="1">
      <c r="B38" s="640"/>
      <c r="C38" s="641"/>
      <c r="D38" s="682"/>
      <c r="E38" s="624"/>
      <c r="F38" s="629"/>
      <c r="G38" s="630"/>
      <c r="H38" s="629"/>
      <c r="I38" s="630"/>
      <c r="J38" s="610"/>
      <c r="K38" s="610"/>
      <c r="L38" s="672"/>
      <c r="M38" s="689"/>
      <c r="N38" s="689"/>
      <c r="O38" s="672"/>
      <c r="P38" s="47" t="s">
        <v>8</v>
      </c>
      <c r="Q38" s="353" t="str">
        <f>IF(Q36="","n.d.",IF(Q37="","n.d.",IF(Q37=0,"",Q36/Q37)))</f>
        <v>n.d.</v>
      </c>
      <c r="R38" s="678"/>
      <c r="S38" s="643"/>
      <c r="T38" s="646"/>
      <c r="U38" s="45">
        <f>IF(SUM('Basic Data'!I37:Q37)=0,0,SUM('Basic Data'!I37:Q37))</f>
        <v>0</v>
      </c>
    </row>
    <row r="39" spans="2:30" ht="30" customHeight="1" thickBot="1">
      <c r="B39" s="636">
        <v>7</v>
      </c>
      <c r="C39" s="637"/>
      <c r="D39" s="681"/>
      <c r="E39" s="623" t="s">
        <v>758</v>
      </c>
      <c r="F39" s="627" t="s">
        <v>759</v>
      </c>
      <c r="G39" s="628"/>
      <c r="H39" s="625" t="s">
        <v>760</v>
      </c>
      <c r="I39" s="626"/>
      <c r="J39" s="610" t="s">
        <v>754</v>
      </c>
      <c r="K39" s="610"/>
      <c r="L39" s="670"/>
      <c r="M39" s="664" t="s">
        <v>419</v>
      </c>
      <c r="N39" s="665"/>
      <c r="O39" s="670"/>
      <c r="P39" s="47" t="s">
        <v>724</v>
      </c>
      <c r="Q39" s="58"/>
      <c r="R39" s="676" t="str">
        <f>IF(Q41=Berechnung1!D62,Berechnung1!$F$5,IF(OR(Q41&lt; Berechnung1!E62,Q41&gt; Berechnung1!F62),Berechnung1!$G$5,IF(OR(ROUND(Q41,4)&lt;Berechnung1!J62,ROUND(Q41,4)&gt;Berechnung1!K62),Berechnung1!$D$5,IF(OR(ROUND(Q41,4)&lt;Berechnung1!G62,ROUND(Q41,4)&gt;Berechnung1!H62),Berechnung1!$E$5,Berechnung1!$C$5))))</f>
        <v>Incomplete</v>
      </c>
      <c r="S39" s="642"/>
      <c r="T39" s="644"/>
    </row>
    <row r="40" spans="2:30" ht="30" customHeight="1" thickBot="1">
      <c r="B40" s="638"/>
      <c r="C40" s="639"/>
      <c r="D40" s="681"/>
      <c r="E40" s="623"/>
      <c r="F40" s="627"/>
      <c r="G40" s="628"/>
      <c r="H40" s="627"/>
      <c r="I40" s="628"/>
      <c r="J40" s="610"/>
      <c r="K40" s="610"/>
      <c r="L40" s="671"/>
      <c r="M40" s="666"/>
      <c r="N40" s="667"/>
      <c r="O40" s="671"/>
      <c r="P40" s="47" t="s">
        <v>747</v>
      </c>
      <c r="Q40" s="59"/>
      <c r="R40" s="677"/>
      <c r="S40" s="643"/>
      <c r="T40" s="645"/>
    </row>
    <row r="41" spans="2:30" ht="30" customHeight="1" thickBot="1">
      <c r="B41" s="640"/>
      <c r="C41" s="641"/>
      <c r="D41" s="682"/>
      <c r="E41" s="624"/>
      <c r="F41" s="629"/>
      <c r="G41" s="630"/>
      <c r="H41" s="629"/>
      <c r="I41" s="630"/>
      <c r="J41" s="610"/>
      <c r="K41" s="610"/>
      <c r="L41" s="672"/>
      <c r="M41" s="668"/>
      <c r="N41" s="669"/>
      <c r="O41" s="672"/>
      <c r="P41" s="47" t="s">
        <v>8</v>
      </c>
      <c r="Q41" s="353" t="str">
        <f>IF(Q39="","n.d.",IF(Q40="","n.d.",IF(Q40=0,"",Q39/Q40)))</f>
        <v>n.d.</v>
      </c>
      <c r="R41" s="678"/>
      <c r="S41" s="643"/>
      <c r="T41" s="646"/>
    </row>
    <row r="42" spans="2:30" s="46" customFormat="1" ht="35.1" customHeight="1" thickBot="1">
      <c r="B42" s="636">
        <v>8</v>
      </c>
      <c r="C42" s="637"/>
      <c r="D42" s="661"/>
      <c r="E42" s="610" t="s">
        <v>817</v>
      </c>
      <c r="F42" s="610" t="s">
        <v>761</v>
      </c>
      <c r="G42" s="631"/>
      <c r="H42" s="610" t="s">
        <v>818</v>
      </c>
      <c r="I42" s="631"/>
      <c r="J42" s="633" t="s">
        <v>251</v>
      </c>
      <c r="K42" s="634"/>
      <c r="L42" s="670"/>
      <c r="M42" s="664" t="s">
        <v>156</v>
      </c>
      <c r="N42" s="665"/>
      <c r="O42" s="670"/>
      <c r="P42" s="683" t="s">
        <v>746</v>
      </c>
      <c r="Q42" s="686"/>
      <c r="R42" s="676" t="str">
        <f>IF(Q42="",Berechnung1!$F$5,IF(Q42=Berechnung1!D65,Berechnung1!$F$5,IF(OR(Q42&lt; Berechnung1!E65,Q42&gt; Berechnung1!F65),Berechnung1!$G$5,IF(OR(ROUND(Q42,4)&lt;Berechnung1!J65,ROUND(Q42,4)&gt;Berechnung1!K65),Berechnung1!$D$5,IF(OR(ROUND(Q42,4)&lt;Berechnung1!G65,ROUND(Q42,4)&gt;Berechnung1!H65),Berechnung1!$E$5,Berechnung1!$C$5)))))</f>
        <v>Incomplete</v>
      </c>
      <c r="S42" s="644"/>
      <c r="T42" s="644"/>
    </row>
    <row r="43" spans="2:30" s="45" customFormat="1" ht="35.1" customHeight="1" thickBot="1">
      <c r="B43" s="638"/>
      <c r="C43" s="639"/>
      <c r="D43" s="662"/>
      <c r="E43" s="610"/>
      <c r="F43" s="610"/>
      <c r="G43" s="631"/>
      <c r="H43" s="610"/>
      <c r="I43" s="631"/>
      <c r="J43" s="635"/>
      <c r="K43" s="634"/>
      <c r="L43" s="671"/>
      <c r="M43" s="666"/>
      <c r="N43" s="667"/>
      <c r="O43" s="671"/>
      <c r="P43" s="684"/>
      <c r="Q43" s="687"/>
      <c r="R43" s="677"/>
      <c r="S43" s="643"/>
      <c r="T43" s="645"/>
    </row>
    <row r="44" spans="2:30" s="45" customFormat="1" ht="35.1" customHeight="1" thickBot="1">
      <c r="B44" s="640"/>
      <c r="C44" s="641"/>
      <c r="D44" s="663"/>
      <c r="E44" s="610"/>
      <c r="F44" s="610"/>
      <c r="G44" s="631"/>
      <c r="H44" s="610"/>
      <c r="I44" s="631"/>
      <c r="J44" s="635"/>
      <c r="K44" s="634"/>
      <c r="L44" s="672"/>
      <c r="M44" s="668"/>
      <c r="N44" s="669"/>
      <c r="O44" s="672"/>
      <c r="P44" s="685"/>
      <c r="Q44" s="688"/>
      <c r="R44" s="678"/>
      <c r="S44" s="643"/>
      <c r="T44" s="646"/>
    </row>
    <row r="45" spans="2:30" ht="23.1" customHeight="1" thickBot="1">
      <c r="B45" s="636">
        <v>9</v>
      </c>
      <c r="C45" s="637"/>
      <c r="D45" s="661"/>
      <c r="E45" s="610" t="s">
        <v>819</v>
      </c>
      <c r="F45" s="610" t="s">
        <v>761</v>
      </c>
      <c r="G45" s="631"/>
      <c r="H45" s="610" t="s">
        <v>820</v>
      </c>
      <c r="I45" s="631"/>
      <c r="J45" s="632" t="s">
        <v>251</v>
      </c>
      <c r="K45" s="631"/>
      <c r="L45" s="670"/>
      <c r="M45" s="664" t="s">
        <v>157</v>
      </c>
      <c r="N45" s="665"/>
      <c r="O45" s="670"/>
      <c r="P45" s="683" t="s">
        <v>746</v>
      </c>
      <c r="Q45" s="686"/>
      <c r="R45" s="676" t="str">
        <f>IF(Q45="",Berechnung1!$F$5,IF(Q45=Berechnung1!D68,Berechnung1!$F$5,IF(OR(Q45&lt; Berechnung1!E68,Q45&gt; Berechnung1!F68),Berechnung1!$G$5,IF(OR(ROUND(Q45,4)&lt;Berechnung1!J68,ROUND(Q45,4)&gt;Berechnung1!K68),Berechnung1!$D$5,IF(OR(ROUND(Q45,4)&lt;Berechnung1!G68,ROUND(Q45,4)&gt;Berechnung1!H68),Berechnung1!$E$5,Berechnung1!$C$5)))))</f>
        <v>Incomplete</v>
      </c>
      <c r="S45" s="644"/>
      <c r="T45" s="644"/>
    </row>
    <row r="46" spans="2:30" ht="23.1" customHeight="1" thickBot="1">
      <c r="B46" s="638"/>
      <c r="C46" s="639"/>
      <c r="D46" s="662"/>
      <c r="E46" s="610"/>
      <c r="F46" s="610"/>
      <c r="G46" s="631"/>
      <c r="H46" s="610"/>
      <c r="I46" s="631"/>
      <c r="J46" s="610"/>
      <c r="K46" s="631"/>
      <c r="L46" s="671"/>
      <c r="M46" s="666"/>
      <c r="N46" s="667"/>
      <c r="O46" s="671"/>
      <c r="P46" s="684"/>
      <c r="Q46" s="687"/>
      <c r="R46" s="677"/>
      <c r="S46" s="643"/>
      <c r="T46" s="645"/>
    </row>
    <row r="47" spans="2:30" ht="23.1" customHeight="1" thickBot="1">
      <c r="B47" s="640"/>
      <c r="C47" s="641"/>
      <c r="D47" s="663"/>
      <c r="E47" s="610"/>
      <c r="F47" s="610"/>
      <c r="G47" s="631"/>
      <c r="H47" s="610"/>
      <c r="I47" s="631"/>
      <c r="J47" s="610"/>
      <c r="K47" s="631"/>
      <c r="L47" s="672"/>
      <c r="M47" s="668"/>
      <c r="N47" s="669"/>
      <c r="O47" s="672"/>
      <c r="P47" s="685"/>
      <c r="Q47" s="688"/>
      <c r="R47" s="678"/>
      <c r="S47" s="643"/>
      <c r="T47" s="646"/>
    </row>
    <row r="48" spans="2:30" s="45" customFormat="1" ht="30" customHeight="1" thickBot="1">
      <c r="B48" s="636">
        <v>10</v>
      </c>
      <c r="C48" s="637"/>
      <c r="D48" s="661"/>
      <c r="E48" s="610" t="s">
        <v>762</v>
      </c>
      <c r="F48" s="610" t="s">
        <v>763</v>
      </c>
      <c r="G48" s="631"/>
      <c r="H48" s="610" t="s">
        <v>764</v>
      </c>
      <c r="I48" s="631"/>
      <c r="J48" s="610" t="s">
        <v>765</v>
      </c>
      <c r="K48" s="631"/>
      <c r="L48" s="670"/>
      <c r="M48" s="689" t="s">
        <v>343</v>
      </c>
      <c r="N48" s="689"/>
      <c r="O48" s="670"/>
      <c r="P48" s="47" t="s">
        <v>724</v>
      </c>
      <c r="Q48" s="58"/>
      <c r="R48" s="676" t="str">
        <f>IF(Q50=Berechnung1!D71,Berechnung1!$F$5,IF(OR(Q50&lt; Berechnung1!E71,Q50&gt; Berechnung1!F71),Berechnung1!$G$5,IF(OR(ROUND(Q50,4)&lt;Berechnung1!J71,ROUND(Q50,4)&gt;Berechnung1!K71),Berechnung1!$D$5,IF(OR(ROUND(Q50,4)&lt;Berechnung1!G71,ROUND(Q50,4)&gt;Berechnung1!H71),Berechnung1!$E$5,Berechnung1!$C$5))))</f>
        <v>Incomplete</v>
      </c>
      <c r="S48" s="644"/>
      <c r="T48" s="644"/>
      <c r="U48" s="434"/>
      <c r="V48" s="435"/>
      <c r="W48" s="435"/>
      <c r="X48" s="435"/>
      <c r="Y48" s="435"/>
      <c r="Z48" s="435"/>
      <c r="AA48" s="435"/>
      <c r="AB48" s="435"/>
      <c r="AC48" s="435"/>
      <c r="AD48" s="435"/>
    </row>
    <row r="49" spans="2:30" s="45" customFormat="1" ht="30" customHeight="1" thickBot="1">
      <c r="B49" s="638"/>
      <c r="C49" s="639"/>
      <c r="D49" s="662"/>
      <c r="E49" s="610"/>
      <c r="F49" s="610"/>
      <c r="G49" s="631"/>
      <c r="H49" s="610"/>
      <c r="I49" s="631"/>
      <c r="J49" s="610"/>
      <c r="K49" s="631"/>
      <c r="L49" s="671"/>
      <c r="M49" s="689"/>
      <c r="N49" s="689"/>
      <c r="O49" s="671"/>
      <c r="P49" s="47" t="s">
        <v>747</v>
      </c>
      <c r="Q49" s="48">
        <f>IF(AND(Q42="",Q45=""),0,SUM(Q42,Q45))</f>
        <v>0</v>
      </c>
      <c r="R49" s="677"/>
      <c r="S49" s="643"/>
      <c r="T49" s="645"/>
      <c r="U49" s="434"/>
      <c r="V49" s="435"/>
      <c r="W49" s="435"/>
      <c r="X49" s="435"/>
      <c r="Y49" s="435"/>
      <c r="Z49" s="435"/>
      <c r="AA49" s="435"/>
      <c r="AB49" s="435"/>
      <c r="AC49" s="435"/>
      <c r="AD49" s="435"/>
    </row>
    <row r="50" spans="2:30" s="45" customFormat="1" ht="30" customHeight="1" thickBot="1">
      <c r="B50" s="640"/>
      <c r="C50" s="641"/>
      <c r="D50" s="663"/>
      <c r="E50" s="610"/>
      <c r="F50" s="610"/>
      <c r="G50" s="631"/>
      <c r="H50" s="610"/>
      <c r="I50" s="631"/>
      <c r="J50" s="610"/>
      <c r="K50" s="631"/>
      <c r="L50" s="672"/>
      <c r="M50" s="689"/>
      <c r="N50" s="689"/>
      <c r="O50" s="672"/>
      <c r="P50" s="47" t="s">
        <v>8</v>
      </c>
      <c r="Q50" s="353" t="str">
        <f>IF(Q48="","n.d.",IF(Q49="","n.d.",IF(Q49=0,"",Q48/Q49)))</f>
        <v>n.d.</v>
      </c>
      <c r="R50" s="678"/>
      <c r="S50" s="643"/>
      <c r="T50" s="646"/>
      <c r="U50" s="434"/>
      <c r="V50" s="435"/>
      <c r="W50" s="435"/>
      <c r="X50" s="435"/>
      <c r="Y50" s="435"/>
      <c r="Z50" s="435"/>
      <c r="AA50" s="435"/>
      <c r="AB50" s="435"/>
      <c r="AC50" s="435"/>
      <c r="AD50" s="435"/>
    </row>
    <row r="51" spans="2:30" s="45" customFormat="1" ht="30" customHeight="1" thickBot="1">
      <c r="B51" s="636">
        <v>11</v>
      </c>
      <c r="C51" s="637"/>
      <c r="D51" s="661"/>
      <c r="E51" s="622" t="s">
        <v>766</v>
      </c>
      <c r="F51" s="625" t="s">
        <v>767</v>
      </c>
      <c r="G51" s="626"/>
      <c r="H51" s="625" t="s">
        <v>768</v>
      </c>
      <c r="I51" s="626"/>
      <c r="J51" s="625" t="s">
        <v>769</v>
      </c>
      <c r="K51" s="626"/>
      <c r="L51" s="670"/>
      <c r="M51" s="664" t="s">
        <v>343</v>
      </c>
      <c r="N51" s="665"/>
      <c r="O51" s="670"/>
      <c r="P51" s="47" t="s">
        <v>724</v>
      </c>
      <c r="Q51" s="408"/>
      <c r="R51" s="676" t="str">
        <f>IF(Q53=Berechnung1!D74,Berechnung1!$F$5,IF(OR(Q53&lt; Berechnung1!E74,Q53&gt; Berechnung1!F74),Berechnung1!$G$5,IF(OR(ROUND(Q53,4)&lt;Berechnung1!J74,ROUND(Q53,4)&gt;Berechnung1!K74),Berechnung1!$D$5,IF(OR(ROUND(Q53,4)&lt;Berechnung1!G74,ROUND(Q53,4)&gt;Berechnung1!H74),Berechnung1!$E$5,Berechnung1!$C$5))))</f>
        <v>Incomplete</v>
      </c>
      <c r="S51" s="642"/>
      <c r="T51" s="642"/>
      <c r="U51" s="434"/>
      <c r="V51" s="435"/>
      <c r="W51" s="435"/>
      <c r="X51" s="435"/>
      <c r="Y51" s="435"/>
      <c r="Z51" s="435"/>
      <c r="AA51" s="435"/>
      <c r="AB51" s="435"/>
      <c r="AC51" s="435"/>
      <c r="AD51" s="435"/>
    </row>
    <row r="52" spans="2:30" s="45" customFormat="1" ht="30" customHeight="1" thickBot="1">
      <c r="B52" s="638"/>
      <c r="C52" s="639"/>
      <c r="D52" s="662"/>
      <c r="E52" s="623"/>
      <c r="F52" s="627"/>
      <c r="G52" s="628"/>
      <c r="H52" s="627"/>
      <c r="I52" s="628"/>
      <c r="J52" s="627"/>
      <c r="K52" s="628"/>
      <c r="L52" s="671"/>
      <c r="M52" s="666"/>
      <c r="N52" s="667"/>
      <c r="O52" s="671"/>
      <c r="P52" s="47" t="s">
        <v>747</v>
      </c>
      <c r="Q52" s="405"/>
      <c r="R52" s="677"/>
      <c r="S52" s="643"/>
      <c r="T52" s="645"/>
      <c r="U52" s="434"/>
      <c r="V52" s="435"/>
      <c r="W52" s="435"/>
      <c r="X52" s="435"/>
      <c r="Y52" s="435"/>
      <c r="Z52" s="435"/>
      <c r="AA52" s="435"/>
      <c r="AB52" s="435"/>
      <c r="AC52" s="435"/>
      <c r="AD52" s="435"/>
    </row>
    <row r="53" spans="2:30" s="45" customFormat="1" ht="30" customHeight="1" thickBot="1">
      <c r="B53" s="640"/>
      <c r="C53" s="641"/>
      <c r="D53" s="663"/>
      <c r="E53" s="624"/>
      <c r="F53" s="629"/>
      <c r="G53" s="630"/>
      <c r="H53" s="629"/>
      <c r="I53" s="630"/>
      <c r="J53" s="629"/>
      <c r="K53" s="630"/>
      <c r="L53" s="672"/>
      <c r="M53" s="668"/>
      <c r="N53" s="669"/>
      <c r="O53" s="672"/>
      <c r="P53" s="47" t="s">
        <v>8</v>
      </c>
      <c r="Q53" s="353" t="str">
        <f>IF(Q51="","n.d.",IF(Q52="","n.d.",IF(Q52=0,"",Q51/Q52)))</f>
        <v>n.d.</v>
      </c>
      <c r="R53" s="678"/>
      <c r="S53" s="643"/>
      <c r="T53" s="646"/>
      <c r="U53" s="434"/>
      <c r="V53" s="435"/>
      <c r="W53" s="435"/>
      <c r="X53" s="435"/>
      <c r="Y53" s="435"/>
      <c r="Z53" s="435"/>
      <c r="AA53" s="435"/>
      <c r="AB53" s="435"/>
      <c r="AC53" s="435"/>
      <c r="AD53" s="435"/>
    </row>
    <row r="54" spans="2:30" ht="30" customHeight="1" thickBot="1">
      <c r="B54" s="636">
        <v>12</v>
      </c>
      <c r="C54" s="637"/>
      <c r="D54" s="661"/>
      <c r="E54" s="622" t="s">
        <v>772</v>
      </c>
      <c r="F54" s="610" t="s">
        <v>770</v>
      </c>
      <c r="G54" s="631"/>
      <c r="H54" s="610" t="s">
        <v>773</v>
      </c>
      <c r="I54" s="631"/>
      <c r="J54" s="635" t="s">
        <v>771</v>
      </c>
      <c r="K54" s="634"/>
      <c r="L54" s="670"/>
      <c r="M54" s="664" t="s">
        <v>343</v>
      </c>
      <c r="N54" s="665"/>
      <c r="O54" s="670"/>
      <c r="P54" s="47" t="s">
        <v>724</v>
      </c>
      <c r="Q54" s="58"/>
      <c r="R54" s="676" t="str">
        <f>IF(Q56=Berechnung1!D77,Berechnung1!$F$5,IF(OR(Q56&lt; Berechnung1!E77,Q56&gt; Berechnung1!F77),Berechnung1!$G$5,IF(OR(ROUND(Q56,4)&lt;Berechnung1!J77,ROUND(Q56,4)&gt;Berechnung1!K77),Berechnung1!$D$5,IF(OR(ROUND(Q56,4)&lt;Berechnung1!G77,ROUND(Q56,4)&gt;Berechnung1!H77),Berechnung1!$E$5,Berechnung1!$C$5))))</f>
        <v>Incomplete</v>
      </c>
      <c r="S54" s="644"/>
      <c r="T54" s="644"/>
    </row>
    <row r="55" spans="2:30" ht="30" customHeight="1" thickBot="1">
      <c r="B55" s="638"/>
      <c r="C55" s="639"/>
      <c r="D55" s="662"/>
      <c r="E55" s="623"/>
      <c r="F55" s="610"/>
      <c r="G55" s="631"/>
      <c r="H55" s="610"/>
      <c r="I55" s="631"/>
      <c r="J55" s="635"/>
      <c r="K55" s="634"/>
      <c r="L55" s="671"/>
      <c r="M55" s="666"/>
      <c r="N55" s="667"/>
      <c r="O55" s="671"/>
      <c r="P55" s="47" t="s">
        <v>747</v>
      </c>
      <c r="Q55" s="48">
        <f>IF(AND(Q42="",Q45=""),0,SUM(Q42,Q45))</f>
        <v>0</v>
      </c>
      <c r="R55" s="677"/>
      <c r="S55" s="643"/>
      <c r="T55" s="645"/>
    </row>
    <row r="56" spans="2:30" ht="30" customHeight="1" thickBot="1">
      <c r="B56" s="638"/>
      <c r="C56" s="639"/>
      <c r="D56" s="663"/>
      <c r="E56" s="624"/>
      <c r="F56" s="610"/>
      <c r="G56" s="631"/>
      <c r="H56" s="610"/>
      <c r="I56" s="631"/>
      <c r="J56" s="635"/>
      <c r="K56" s="634"/>
      <c r="L56" s="672"/>
      <c r="M56" s="668"/>
      <c r="N56" s="669"/>
      <c r="O56" s="672"/>
      <c r="P56" s="47" t="s">
        <v>8</v>
      </c>
      <c r="Q56" s="353" t="str">
        <f>IF(Q54="","n.d.",IF(Q55="","n.d.",IF(Q55=0,"",Q54/Q55)))</f>
        <v>n.d.</v>
      </c>
      <c r="R56" s="678"/>
      <c r="S56" s="643"/>
      <c r="T56" s="646"/>
    </row>
    <row r="57" spans="2:30" ht="30" customHeight="1" thickBot="1">
      <c r="B57" s="679" t="s">
        <v>401</v>
      </c>
      <c r="C57" s="614"/>
      <c r="D57" s="680" t="s">
        <v>810</v>
      </c>
      <c r="E57" s="610" t="s">
        <v>774</v>
      </c>
      <c r="F57" s="610" t="s">
        <v>775</v>
      </c>
      <c r="G57" s="613"/>
      <c r="H57" s="610" t="s">
        <v>776</v>
      </c>
      <c r="I57" s="613"/>
      <c r="J57" s="610" t="s">
        <v>777</v>
      </c>
      <c r="K57" s="613"/>
      <c r="L57" s="673"/>
      <c r="M57" s="749" t="s">
        <v>139</v>
      </c>
      <c r="N57" s="750"/>
      <c r="O57" s="673"/>
      <c r="P57" s="400" t="s">
        <v>724</v>
      </c>
      <c r="Q57" s="403"/>
      <c r="R57" s="676" t="str">
        <f>IF(Q59=Berechnung1!D80,Berechnung1!$F$5,IF(OR(Q59&lt; Berechnung1!E80,Q59&gt; Berechnung1!F80),Berechnung1!$G$5,IF(OR(ROUND(Q59,4)&lt;Berechnung1!J80,ROUND(Q59,4)&gt;Berechnung1!K80),Berechnung1!$D$5,IF(OR(ROUND(Q59,4)&lt;Berechnung1!G80,ROUND(Q59,4)&gt;Berechnung1!H80),Berechnung1!$E$5,Berechnung1!$C$5))))</f>
        <v>Incomplete</v>
      </c>
      <c r="S57" s="642"/>
      <c r="T57" s="644"/>
    </row>
    <row r="58" spans="2:30" ht="30" customHeight="1" thickBot="1">
      <c r="B58" s="615"/>
      <c r="C58" s="616"/>
      <c r="D58" s="681"/>
      <c r="E58" s="610"/>
      <c r="F58" s="610"/>
      <c r="G58" s="613"/>
      <c r="H58" s="610"/>
      <c r="I58" s="613"/>
      <c r="J58" s="610"/>
      <c r="K58" s="613"/>
      <c r="L58" s="674"/>
      <c r="M58" s="750"/>
      <c r="N58" s="750"/>
      <c r="O58" s="674"/>
      <c r="P58" s="400" t="s">
        <v>747</v>
      </c>
      <c r="Q58" s="405"/>
      <c r="R58" s="677"/>
      <c r="S58" s="643"/>
      <c r="T58" s="645"/>
    </row>
    <row r="59" spans="2:30" ht="30" customHeight="1" thickBot="1">
      <c r="B59" s="617"/>
      <c r="C59" s="618"/>
      <c r="D59" s="682"/>
      <c r="E59" s="610"/>
      <c r="F59" s="610"/>
      <c r="G59" s="613"/>
      <c r="H59" s="610"/>
      <c r="I59" s="613"/>
      <c r="J59" s="610"/>
      <c r="K59" s="613"/>
      <c r="L59" s="675"/>
      <c r="M59" s="750"/>
      <c r="N59" s="750"/>
      <c r="O59" s="675"/>
      <c r="P59" s="400" t="s">
        <v>8</v>
      </c>
      <c r="Q59" s="401" t="str">
        <f>IF(Q57="","n.d.",IF(Q58=0,"n.d.",IF(Q58=0,"",Q57/Q58)))</f>
        <v>n.d.</v>
      </c>
      <c r="R59" s="678"/>
      <c r="S59" s="643"/>
      <c r="T59" s="646"/>
    </row>
    <row r="60" spans="2:30" ht="30" customHeight="1" thickBot="1">
      <c r="B60" s="601">
        <v>14</v>
      </c>
      <c r="C60" s="614"/>
      <c r="D60" s="607" t="s">
        <v>811</v>
      </c>
      <c r="E60" s="622" t="s">
        <v>778</v>
      </c>
      <c r="F60" s="625" t="s">
        <v>812</v>
      </c>
      <c r="G60" s="626"/>
      <c r="H60" s="625" t="s">
        <v>779</v>
      </c>
      <c r="I60" s="626"/>
      <c r="J60" s="625" t="s">
        <v>780</v>
      </c>
      <c r="K60" s="626"/>
      <c r="L60" s="647" t="s">
        <v>814</v>
      </c>
      <c r="M60" s="650" t="s">
        <v>745</v>
      </c>
      <c r="N60" s="651"/>
      <c r="O60" s="647"/>
      <c r="P60" s="400" t="s">
        <v>724</v>
      </c>
      <c r="Q60" s="403"/>
      <c r="R60" s="656" t="str">
        <f>IF(AND(Q60&lt;&gt;"",Q61&lt;&gt;"",Q60=0,Q61=0),Berechnung1!$H$5,IF(Q62="",Berechnung1!$D$5,IF(Q62=Berechnung1!D83,Berechnung1!$F$5,IF(OR(Q62&lt; Berechnung1!E83,Q62&gt; Berechnung1!F83),Berechnung1!$G$5,IF(OR(ROUND(Q62,4)&lt;Berechnung1!J83,ROUND(Q62,4)&gt;Berechnung1!K83),Berechnung1!$D$5,IF(OR(ROUND(Q62,4)&lt;Berechnung1!G83,ROUND(72,4)&gt;Berechnung1!H83),Berechnung1!$E$5,Berechnung1!$C$5))))))</f>
        <v>Incomplete</v>
      </c>
      <c r="S60" s="642"/>
      <c r="T60" s="644"/>
    </row>
    <row r="61" spans="2:30" ht="30" customHeight="1" thickBot="1">
      <c r="B61" s="615"/>
      <c r="C61" s="616"/>
      <c r="D61" s="608"/>
      <c r="E61" s="623"/>
      <c r="F61" s="627"/>
      <c r="G61" s="628"/>
      <c r="H61" s="627"/>
      <c r="I61" s="628"/>
      <c r="J61" s="627"/>
      <c r="K61" s="628"/>
      <c r="L61" s="648"/>
      <c r="M61" s="652"/>
      <c r="N61" s="653"/>
      <c r="O61" s="648"/>
      <c r="P61" s="400" t="s">
        <v>747</v>
      </c>
      <c r="Q61" s="405"/>
      <c r="R61" s="657"/>
      <c r="S61" s="643"/>
      <c r="T61" s="645"/>
    </row>
    <row r="62" spans="2:30" ht="30" customHeight="1" thickBot="1">
      <c r="B62" s="617"/>
      <c r="C62" s="618"/>
      <c r="D62" s="609"/>
      <c r="E62" s="624"/>
      <c r="F62" s="629"/>
      <c r="G62" s="630"/>
      <c r="H62" s="629"/>
      <c r="I62" s="630"/>
      <c r="J62" s="629"/>
      <c r="K62" s="630"/>
      <c r="L62" s="649"/>
      <c r="M62" s="654"/>
      <c r="N62" s="655"/>
      <c r="O62" s="649"/>
      <c r="P62" s="400" t="s">
        <v>8</v>
      </c>
      <c r="Q62" s="401" t="str">
        <f>IF(Q60="","n.d.",IF(Q61="","n.d.",IF(Q61=0,"",Q60/Q61)))</f>
        <v>n.d.</v>
      </c>
      <c r="R62" s="658"/>
      <c r="S62" s="643"/>
      <c r="T62" s="646"/>
    </row>
    <row r="63" spans="2:30" ht="30" customHeight="1" thickBot="1">
      <c r="B63" s="601">
        <v>15</v>
      </c>
      <c r="C63" s="614"/>
      <c r="D63" s="607" t="s">
        <v>811</v>
      </c>
      <c r="E63" s="622" t="s">
        <v>781</v>
      </c>
      <c r="F63" s="625" t="s">
        <v>813</v>
      </c>
      <c r="G63" s="626"/>
      <c r="H63" s="625" t="s">
        <v>782</v>
      </c>
      <c r="I63" s="626"/>
      <c r="J63" s="625" t="s">
        <v>783</v>
      </c>
      <c r="K63" s="626"/>
      <c r="L63" s="647" t="s">
        <v>814</v>
      </c>
      <c r="M63" s="650" t="s">
        <v>745</v>
      </c>
      <c r="N63" s="651"/>
      <c r="O63" s="647"/>
      <c r="P63" s="400" t="s">
        <v>724</v>
      </c>
      <c r="Q63" s="403"/>
      <c r="R63" s="656" t="str">
        <f>IF(AND(Q63&lt;&gt;"",Q64&lt;&gt;"",Q63=0,Q64=0),Berechnung1!$H$5,IF(Q65="",Berechnung1!$D$5,IF(Q65=Berechnung1!D86,Berechnung1!$F$5,IF(OR(Q65&lt; Berechnung1!E86,Q65&gt; Berechnung1!F86),Berechnung1!$G$5,IF(OR(ROUND(Q65,4)&lt;Berechnung1!J86,ROUND(Q65,4)&gt;Berechnung1!K86),Berechnung1!$D$5,IF(OR(ROUND(Q65,4)&lt;Berechnung1!G86,ROUND(72,4)&gt;Berechnung1!H86),Berechnung1!$E$5,Berechnung1!$C$5))))))</f>
        <v>Incomplete</v>
      </c>
      <c r="S63" s="642"/>
      <c r="T63" s="644"/>
    </row>
    <row r="64" spans="2:30" ht="30" customHeight="1" thickBot="1">
      <c r="B64" s="615"/>
      <c r="C64" s="616"/>
      <c r="D64" s="608"/>
      <c r="E64" s="623"/>
      <c r="F64" s="627"/>
      <c r="G64" s="628"/>
      <c r="H64" s="627"/>
      <c r="I64" s="628"/>
      <c r="J64" s="627"/>
      <c r="K64" s="628"/>
      <c r="L64" s="648"/>
      <c r="M64" s="652"/>
      <c r="N64" s="653"/>
      <c r="O64" s="648"/>
      <c r="P64" s="400" t="s">
        <v>747</v>
      </c>
      <c r="Q64" s="405"/>
      <c r="R64" s="657"/>
      <c r="S64" s="643"/>
      <c r="T64" s="645"/>
    </row>
    <row r="65" spans="2:21" ht="30" customHeight="1" thickBot="1">
      <c r="B65" s="617"/>
      <c r="C65" s="618"/>
      <c r="D65" s="609"/>
      <c r="E65" s="624"/>
      <c r="F65" s="629"/>
      <c r="G65" s="630"/>
      <c r="H65" s="629"/>
      <c r="I65" s="630"/>
      <c r="J65" s="629"/>
      <c r="K65" s="630"/>
      <c r="L65" s="649"/>
      <c r="M65" s="654"/>
      <c r="N65" s="655"/>
      <c r="O65" s="649"/>
      <c r="P65" s="400" t="s">
        <v>8</v>
      </c>
      <c r="Q65" s="401" t="str">
        <f>IF(Q63="","n.d.",IF(Q64="","n.d.",IF(Q64=0,"",Q63/Q64)))</f>
        <v>n.d.</v>
      </c>
      <c r="R65" s="658"/>
      <c r="S65" s="643"/>
      <c r="T65" s="646"/>
    </row>
    <row r="66" spans="2:21" ht="30" customHeight="1" thickBot="1">
      <c r="B66" s="601">
        <v>16</v>
      </c>
      <c r="C66" s="614"/>
      <c r="D66" s="607" t="s">
        <v>810</v>
      </c>
      <c r="E66" s="610" t="s">
        <v>784</v>
      </c>
      <c r="F66" s="610" t="s">
        <v>785</v>
      </c>
      <c r="G66" s="613"/>
      <c r="H66" s="610" t="s">
        <v>786</v>
      </c>
      <c r="I66" s="613"/>
      <c r="J66" s="610" t="s">
        <v>787</v>
      </c>
      <c r="K66" s="613"/>
      <c r="L66" s="647" t="s">
        <v>814</v>
      </c>
      <c r="M66" s="650" t="s">
        <v>745</v>
      </c>
      <c r="N66" s="651"/>
      <c r="O66" s="647"/>
      <c r="P66" s="400" t="s">
        <v>724</v>
      </c>
      <c r="Q66" s="403"/>
      <c r="R66" s="656" t="str">
        <f>IF(AND(Q66&lt;&gt;"",Q67&lt;&gt;"",Q66=0,Q67=0),Berechnung1!$H$5,IF(Q68="",Berechnung1!$D$5,IF(Q68=Berechnung1!D89,Berechnung1!$F$5,IF(OR(Q68&lt; Berechnung1!E89,Q68&gt; Berechnung1!F89),Berechnung1!$G$5,IF(OR(ROUND(Q68,4)&lt;Berechnung1!J89,ROUND(Q68,4)&gt;Berechnung1!K89),Berechnung1!$D$5,IF(OR(ROUND(Q68,4)&lt;Berechnung1!G89,ROUND(72,4)&gt;Berechnung1!H89),Berechnung1!$E$5,Berechnung1!$C$5))))))</f>
        <v>Incomplete</v>
      </c>
      <c r="S66" s="642"/>
      <c r="T66" s="644"/>
    </row>
    <row r="67" spans="2:21" ht="30" customHeight="1" thickBot="1">
      <c r="B67" s="615"/>
      <c r="C67" s="616"/>
      <c r="D67" s="608"/>
      <c r="E67" s="610"/>
      <c r="F67" s="610"/>
      <c r="G67" s="613"/>
      <c r="H67" s="610"/>
      <c r="I67" s="613"/>
      <c r="J67" s="610"/>
      <c r="K67" s="613"/>
      <c r="L67" s="648"/>
      <c r="M67" s="652"/>
      <c r="N67" s="653"/>
      <c r="O67" s="648"/>
      <c r="P67" s="400" t="s">
        <v>747</v>
      </c>
      <c r="Q67" s="405"/>
      <c r="R67" s="657"/>
      <c r="S67" s="643"/>
      <c r="T67" s="645"/>
    </row>
    <row r="68" spans="2:21" ht="30" customHeight="1" thickBot="1">
      <c r="B68" s="617"/>
      <c r="C68" s="618"/>
      <c r="D68" s="609"/>
      <c r="E68" s="610"/>
      <c r="F68" s="610"/>
      <c r="G68" s="613"/>
      <c r="H68" s="610"/>
      <c r="I68" s="613"/>
      <c r="J68" s="610"/>
      <c r="K68" s="613"/>
      <c r="L68" s="649"/>
      <c r="M68" s="654"/>
      <c r="N68" s="655"/>
      <c r="O68" s="649"/>
      <c r="P68" s="400" t="s">
        <v>8</v>
      </c>
      <c r="Q68" s="401" t="str">
        <f>IF(Q66="","n.d.",IF(Q67="","n.d.",IF(Q67=0,"",Q66/Q67)))</f>
        <v>n.d.</v>
      </c>
      <c r="R68" s="658"/>
      <c r="S68" s="643"/>
      <c r="T68" s="646"/>
    </row>
    <row r="69" spans="2:21" ht="30" customHeight="1" thickBot="1">
      <c r="B69" s="601">
        <v>17</v>
      </c>
      <c r="C69" s="614"/>
      <c r="D69" s="619"/>
      <c r="E69" s="610" t="s">
        <v>788</v>
      </c>
      <c r="F69" s="610" t="s">
        <v>789</v>
      </c>
      <c r="G69" s="611"/>
      <c r="H69" s="610" t="s">
        <v>790</v>
      </c>
      <c r="I69" s="613"/>
      <c r="J69" s="610" t="s">
        <v>791</v>
      </c>
      <c r="K69" s="611"/>
      <c r="L69" s="647" t="s">
        <v>814</v>
      </c>
      <c r="M69" s="650" t="s">
        <v>745</v>
      </c>
      <c r="N69" s="651"/>
      <c r="O69" s="647"/>
      <c r="P69" s="400" t="s">
        <v>724</v>
      </c>
      <c r="Q69" s="403"/>
      <c r="R69" s="656" t="str">
        <f>IF(AND(Q69&lt;&gt;"",Q70&lt;&gt;"",Q69=0,Q70=0),Berechnung1!$H$5,IF(Q71="",Berechnung1!$D$5,IF(Q71=Berechnung1!D92,Berechnung1!$F$5,IF(OR(Q71&lt; Berechnung1!E92,Q71&gt; Berechnung1!F92),Berechnung1!$G$5,IF(OR(ROUND(Q71,4)&lt;Berechnung1!J92,ROUND(Q71,4)&gt;Berechnung1!K92),Berechnung1!$D$5,IF(OR(ROUND(Q71,4)&lt;Berechnung1!G92,ROUND(72,4)&gt;Berechnung1!H92),Berechnung1!$E$5,Berechnung1!$C$5))))))</f>
        <v>Incomplete</v>
      </c>
      <c r="S69" s="642"/>
      <c r="T69" s="644"/>
    </row>
    <row r="70" spans="2:21" ht="30" customHeight="1" thickBot="1">
      <c r="B70" s="615"/>
      <c r="C70" s="616"/>
      <c r="D70" s="620"/>
      <c r="E70" s="612"/>
      <c r="F70" s="612"/>
      <c r="G70" s="611"/>
      <c r="H70" s="610"/>
      <c r="I70" s="613"/>
      <c r="J70" s="612"/>
      <c r="K70" s="611"/>
      <c r="L70" s="648"/>
      <c r="M70" s="652"/>
      <c r="N70" s="653"/>
      <c r="O70" s="648"/>
      <c r="P70" s="400" t="s">
        <v>747</v>
      </c>
      <c r="Q70" s="509">
        <f>U70</f>
        <v>0</v>
      </c>
      <c r="R70" s="657"/>
      <c r="S70" s="643"/>
      <c r="T70" s="645"/>
      <c r="U70" s="470">
        <f>IF(SUM('Basic Data'!I37:O37)=0,0,SUM('Basic Data'!I37:O37))</f>
        <v>0</v>
      </c>
    </row>
    <row r="71" spans="2:21" ht="30" customHeight="1" thickBot="1">
      <c r="B71" s="617"/>
      <c r="C71" s="618"/>
      <c r="D71" s="621"/>
      <c r="E71" s="612"/>
      <c r="F71" s="612"/>
      <c r="G71" s="611"/>
      <c r="H71" s="610"/>
      <c r="I71" s="613"/>
      <c r="J71" s="612"/>
      <c r="K71" s="611"/>
      <c r="L71" s="649"/>
      <c r="M71" s="654"/>
      <c r="N71" s="655"/>
      <c r="O71" s="649"/>
      <c r="P71" s="400" t="s">
        <v>8</v>
      </c>
      <c r="Q71" s="401" t="str">
        <f>IF(Q69="","n.d.",IF(Q70="","n.d.",IF(Q70=0,"",Q69/Q70)))</f>
        <v>n.d.</v>
      </c>
      <c r="R71" s="658"/>
      <c r="S71" s="643"/>
      <c r="T71" s="646"/>
    </row>
    <row r="72" spans="2:21" ht="30" customHeight="1" thickBot="1">
      <c r="B72" s="601">
        <v>18</v>
      </c>
      <c r="C72" s="602"/>
      <c r="D72" s="607" t="s">
        <v>810</v>
      </c>
      <c r="E72" s="610" t="s">
        <v>792</v>
      </c>
      <c r="F72" s="610" t="s">
        <v>793</v>
      </c>
      <c r="G72" s="611"/>
      <c r="H72" s="610" t="s">
        <v>794</v>
      </c>
      <c r="I72" s="613"/>
      <c r="J72" s="610" t="s">
        <v>795</v>
      </c>
      <c r="K72" s="611"/>
      <c r="L72" s="647" t="s">
        <v>814</v>
      </c>
      <c r="M72" s="650" t="s">
        <v>745</v>
      </c>
      <c r="N72" s="651"/>
      <c r="O72" s="647"/>
      <c r="P72" s="400" t="s">
        <v>724</v>
      </c>
      <c r="Q72" s="403"/>
      <c r="R72" s="656" t="str">
        <f>IF(AND(Q72&lt;&gt;"",Q73&lt;&gt;"",Q72=0,Q73=0),Berechnung1!$H$5,IF(Q74="",Berechnung1!$D$5,IF(Q74=Berechnung1!D95,Berechnung1!$F$5,IF(OR(Q74&lt; Berechnung1!E95,Q74&gt; Berechnung1!F95),Berechnung1!$G$5,IF(OR(ROUND(Q74,4)&lt;Berechnung1!J95,ROUND(Q74,4)&gt;Berechnung1!K95),Berechnung1!$D$5,IF(OR(ROUND(Q74,4)&lt;Berechnung1!G95,ROUND(72,4)&gt;Berechnung1!H95),Berechnung1!$E$5,Berechnung1!$C$5))))))</f>
        <v>Incomplete</v>
      </c>
      <c r="S72" s="642"/>
      <c r="T72" s="644"/>
    </row>
    <row r="73" spans="2:21" ht="30" customHeight="1" thickBot="1">
      <c r="B73" s="603"/>
      <c r="C73" s="604"/>
      <c r="D73" s="608"/>
      <c r="E73" s="610"/>
      <c r="F73" s="612"/>
      <c r="G73" s="611"/>
      <c r="H73" s="610"/>
      <c r="I73" s="613"/>
      <c r="J73" s="612"/>
      <c r="K73" s="611"/>
      <c r="L73" s="648"/>
      <c r="M73" s="652"/>
      <c r="N73" s="653"/>
      <c r="O73" s="648"/>
      <c r="P73" s="400" t="s">
        <v>747</v>
      </c>
      <c r="Q73" s="509">
        <f>U73</f>
        <v>0</v>
      </c>
      <c r="R73" s="657"/>
      <c r="S73" s="643"/>
      <c r="T73" s="645"/>
      <c r="U73" s="470">
        <f>'Basic Data'!M37+'Basic Data'!O37+'Basic Data'!M34+'Basic Data'!O34</f>
        <v>0</v>
      </c>
    </row>
    <row r="74" spans="2:21" ht="30" customHeight="1" thickBot="1">
      <c r="B74" s="605"/>
      <c r="C74" s="606"/>
      <c r="D74" s="609"/>
      <c r="E74" s="610"/>
      <c r="F74" s="612"/>
      <c r="G74" s="611"/>
      <c r="H74" s="610"/>
      <c r="I74" s="613"/>
      <c r="J74" s="612"/>
      <c r="K74" s="611"/>
      <c r="L74" s="649"/>
      <c r="M74" s="654"/>
      <c r="N74" s="655"/>
      <c r="O74" s="649"/>
      <c r="P74" s="400" t="s">
        <v>8</v>
      </c>
      <c r="Q74" s="401" t="str">
        <f>IF(Q72="","n.d.",IF(Q73="","n.d.",IF(Q73=0,"",Q72/Q73)))</f>
        <v>n.d.</v>
      </c>
      <c r="R74" s="658"/>
      <c r="S74" s="643"/>
      <c r="T74" s="646"/>
    </row>
    <row r="75" spans="2:21" ht="7.5" customHeight="1">
      <c r="B75" s="515"/>
      <c r="C75" s="515"/>
      <c r="D75" s="516"/>
      <c r="E75" s="517"/>
      <c r="F75" s="518"/>
      <c r="G75" s="519"/>
      <c r="H75" s="517"/>
      <c r="I75" s="520"/>
      <c r="J75" s="518"/>
      <c r="K75" s="519"/>
      <c r="L75" s="521"/>
      <c r="M75" s="521"/>
      <c r="N75" s="521"/>
      <c r="O75" s="521"/>
      <c r="P75" s="445"/>
      <c r="Q75" s="522"/>
      <c r="R75" s="523"/>
      <c r="S75" s="524"/>
      <c r="T75" s="525"/>
    </row>
    <row r="76" spans="2:21" ht="14.25" customHeight="1" thickBot="1">
      <c r="B76" s="526" t="s">
        <v>714</v>
      </c>
      <c r="C76"/>
      <c r="D76"/>
      <c r="E76"/>
      <c r="F76"/>
      <c r="G76"/>
      <c r="H76"/>
      <c r="I76" s="520"/>
      <c r="J76" s="518"/>
      <c r="K76" s="519"/>
      <c r="L76" s="521"/>
      <c r="M76" s="521"/>
      <c r="N76" s="521"/>
      <c r="O76" s="521"/>
      <c r="P76" s="445"/>
      <c r="Q76" s="522"/>
      <c r="R76" s="523"/>
      <c r="S76" s="524"/>
      <c r="T76" s="525"/>
    </row>
    <row r="77" spans="2:21" ht="14.25" customHeight="1" thickBot="1">
      <c r="B77"/>
      <c r="C77" s="1"/>
      <c r="D77" s="731" t="s">
        <v>826</v>
      </c>
      <c r="E77" s="732"/>
      <c r="F77" s="527" t="s">
        <v>816</v>
      </c>
      <c r="G77" s="528" t="str">
        <f>CONCATENATE(TEXT(Berechnung1!C9,"0,00%")," (",Berechnung1!C6,")")</f>
        <v>0,00% (0)</v>
      </c>
      <c r="H77" s="735" t="str">
        <f>CONCATENATE(TEXT(Berechnung1!D10,"0,00%")," (",Berechnung1!D7,")")</f>
        <v>0,00% (0)</v>
      </c>
      <c r="I77" s="736" t="s">
        <v>720</v>
      </c>
      <c r="J77" s="518"/>
      <c r="K77" s="519"/>
      <c r="Q77" s="1"/>
      <c r="R77" s="523"/>
      <c r="S77" s="524"/>
      <c r="T77" s="525"/>
    </row>
    <row r="78" spans="2:21" ht="14.25" customHeight="1" thickBot="1">
      <c r="B78"/>
      <c r="C78" s="1"/>
      <c r="D78" s="733"/>
      <c r="E78" s="734"/>
      <c r="F78" s="529" t="s">
        <v>822</v>
      </c>
      <c r="G78" s="530" t="str">
        <f>CONCATENATE(TEXT(Berechnung1!K9,"0,00%")," (",Berechnung1!K6,")")</f>
        <v>0,00% (0)</v>
      </c>
      <c r="H78" s="735"/>
      <c r="I78" s="737"/>
      <c r="J78" s="518"/>
      <c r="K78" s="519"/>
      <c r="Q78" s="1"/>
      <c r="R78" s="523"/>
      <c r="S78" s="524"/>
      <c r="T78" s="525"/>
    </row>
    <row r="79" spans="2:21" ht="20.25" customHeight="1" thickBot="1">
      <c r="B79"/>
      <c r="C79" s="1"/>
      <c r="D79" s="738" t="s">
        <v>823</v>
      </c>
      <c r="E79" s="739"/>
      <c r="F79" s="739"/>
      <c r="G79" s="740"/>
      <c r="H79" s="531" t="str">
        <f>CONCATENATE(TEXT(Berechnung1!E10,"0,00%")," (",Berechnung1!E7,")")</f>
        <v>0,00% (0)</v>
      </c>
      <c r="I79" s="532" t="str">
        <f>CONCATENATE(TEXT(Berechnung1!E11,"0,00%")," (",Berechnung1!E8,")")</f>
        <v>0,00% (0)</v>
      </c>
      <c r="J79" s="518"/>
      <c r="K79" s="519"/>
      <c r="Q79" s="1"/>
      <c r="R79" s="523"/>
      <c r="S79" s="524"/>
      <c r="T79" s="525"/>
    </row>
    <row r="80" spans="2:21" ht="14.25" customHeight="1" thickBot="1">
      <c r="B80"/>
      <c r="C80" s="1"/>
      <c r="D80" s="741" t="s">
        <v>827</v>
      </c>
      <c r="E80" s="742"/>
      <c r="F80" s="533" t="s">
        <v>718</v>
      </c>
      <c r="G80" s="534" t="str">
        <f>CONCATENATE(TEXT(Berechnung1!G9,"0,00%")," (",Berechnung1!G6,")")</f>
        <v>0,00% (0)</v>
      </c>
      <c r="H80" s="735" t="str">
        <f>CONCATENATE(TEXT(Berechnung1!G10,"0,00%")," (",Berechnung1!G8,")")</f>
        <v>100,00% (21)</v>
      </c>
      <c r="I80" s="735"/>
      <c r="J80" s="518"/>
      <c r="K80" s="519"/>
      <c r="Q80" s="1"/>
      <c r="R80" s="523"/>
      <c r="S80" s="524"/>
      <c r="T80" s="525"/>
    </row>
    <row r="81" spans="2:20" ht="14.25" customHeight="1" thickBot="1">
      <c r="B81"/>
      <c r="C81" s="1"/>
      <c r="D81" s="743"/>
      <c r="E81" s="744"/>
      <c r="F81" s="535" t="s">
        <v>719</v>
      </c>
      <c r="G81" s="536" t="str">
        <f>CONCATENATE(TEXT(Berechnung1!F9,"0,00%")," (",Berechnung1!F6,")")</f>
        <v>100,00% (21)</v>
      </c>
      <c r="H81" s="735"/>
      <c r="I81" s="735"/>
      <c r="J81" s="518"/>
      <c r="K81" s="519"/>
      <c r="Q81" s="1"/>
      <c r="R81" s="523"/>
      <c r="S81" s="524"/>
      <c r="T81" s="525"/>
    </row>
    <row r="82" spans="2:20" ht="7.5" customHeight="1">
      <c r="B82" s="224"/>
      <c r="C82" s="224"/>
      <c r="D82" s="224"/>
      <c r="E82" s="224"/>
      <c r="F82" s="224"/>
      <c r="G82" s="224"/>
      <c r="H82" s="224"/>
      <c r="I82" s="224"/>
      <c r="J82" s="224"/>
      <c r="K82" s="224"/>
      <c r="L82" s="224"/>
      <c r="M82" s="224"/>
      <c r="N82" s="224"/>
      <c r="O82" s="224"/>
      <c r="P82" s="224"/>
      <c r="Q82" s="224"/>
      <c r="R82" s="224"/>
    </row>
    <row r="83" spans="2:20" ht="33" customHeight="1">
      <c r="B83" s="659" t="s">
        <v>824</v>
      </c>
      <c r="C83" s="659"/>
      <c r="D83" s="659"/>
      <c r="E83" s="659"/>
      <c r="F83" s="659"/>
      <c r="G83" s="659"/>
      <c r="H83" s="659"/>
      <c r="I83" s="659"/>
      <c r="J83" s="659"/>
      <c r="K83" s="659"/>
      <c r="L83" s="659"/>
      <c r="M83" s="659"/>
      <c r="N83" s="659"/>
      <c r="O83" s="659"/>
      <c r="P83" s="659"/>
      <c r="Q83" s="659"/>
      <c r="R83" s="659"/>
    </row>
    <row r="84" spans="2:20" ht="109.5" customHeight="1">
      <c r="B84" s="659" t="s">
        <v>796</v>
      </c>
      <c r="C84" s="660"/>
      <c r="D84" s="660"/>
      <c r="E84" s="660"/>
      <c r="F84" s="660"/>
      <c r="G84" s="660"/>
      <c r="H84" s="660"/>
      <c r="I84" s="660"/>
      <c r="J84" s="660"/>
      <c r="K84" s="660"/>
      <c r="L84" s="660"/>
      <c r="M84" s="660"/>
      <c r="N84" s="660"/>
      <c r="O84" s="660"/>
      <c r="P84" s="660"/>
      <c r="Q84" s="660"/>
      <c r="R84" s="660"/>
    </row>
    <row r="85" spans="2:20">
      <c r="B85" s="514"/>
    </row>
    <row r="86" spans="2:20" s="503" customFormat="1">
      <c r="B86" s="513"/>
      <c r="C86" s="504"/>
      <c r="Q86" s="502"/>
    </row>
    <row r="87" spans="2:20" s="503" customFormat="1">
      <c r="B87" s="501"/>
      <c r="C87" s="504"/>
      <c r="Q87" s="502"/>
    </row>
  </sheetData>
  <sheetProtection algorithmName="SHA-512" hashValue="6AFebFcv/d2lnpaXp/sgqVSUtQ9WuIIO6tOwQ0dSQpwXiW4BoyviJc7suc7c62PvybPSij+fbFMNxUvfTlHTEQ==" saltValue="p2eIhy8R4ERVpunD5lJr5A=="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281">
    <mergeCell ref="B27:C29"/>
    <mergeCell ref="B45:C47"/>
    <mergeCell ref="B51:C53"/>
    <mergeCell ref="M57:N59"/>
    <mergeCell ref="M30:N32"/>
    <mergeCell ref="L30:L32"/>
    <mergeCell ref="M33:N35"/>
    <mergeCell ref="O33:O35"/>
    <mergeCell ref="O30:O32"/>
    <mergeCell ref="M39:N41"/>
    <mergeCell ref="O36:O38"/>
    <mergeCell ref="M27:N29"/>
    <mergeCell ref="O27:O29"/>
    <mergeCell ref="B54:C56"/>
    <mergeCell ref="B48:C50"/>
    <mergeCell ref="B30:C32"/>
    <mergeCell ref="B42:C44"/>
    <mergeCell ref="B33:C35"/>
    <mergeCell ref="H39:I41"/>
    <mergeCell ref="J39:K41"/>
    <mergeCell ref="E39:E41"/>
    <mergeCell ref="E42:E44"/>
    <mergeCell ref="H42:I44"/>
    <mergeCell ref="F42:G44"/>
    <mergeCell ref="D77:E78"/>
    <mergeCell ref="H77:H78"/>
    <mergeCell ref="I77:I78"/>
    <mergeCell ref="D79:G79"/>
    <mergeCell ref="D80:E81"/>
    <mergeCell ref="H80:I81"/>
    <mergeCell ref="P21:P23"/>
    <mergeCell ref="Q21:Q23"/>
    <mergeCell ref="R21:R23"/>
    <mergeCell ref="M42:N44"/>
    <mergeCell ref="O42:O44"/>
    <mergeCell ref="O39:O41"/>
    <mergeCell ref="L45:L47"/>
    <mergeCell ref="L42:L44"/>
    <mergeCell ref="D39:D41"/>
    <mergeCell ref="D42:D44"/>
    <mergeCell ref="D30:D32"/>
    <mergeCell ref="D45:D47"/>
    <mergeCell ref="L36:L38"/>
    <mergeCell ref="L39:L41"/>
    <mergeCell ref="L33:L35"/>
    <mergeCell ref="H33:I35"/>
    <mergeCell ref="M36:N38"/>
    <mergeCell ref="F39:G41"/>
    <mergeCell ref="S24:S26"/>
    <mergeCell ref="T24:T26"/>
    <mergeCell ref="R24:R26"/>
    <mergeCell ref="B15:C17"/>
    <mergeCell ref="D12:D20"/>
    <mergeCell ref="B18:C20"/>
    <mergeCell ref="P12:P14"/>
    <mergeCell ref="B12:C14"/>
    <mergeCell ref="P15:P17"/>
    <mergeCell ref="B24:C26"/>
    <mergeCell ref="O18:O20"/>
    <mergeCell ref="O15:O17"/>
    <mergeCell ref="M24:N26"/>
    <mergeCell ref="S21:S23"/>
    <mergeCell ref="T21:T23"/>
    <mergeCell ref="B21:C23"/>
    <mergeCell ref="D21:D23"/>
    <mergeCell ref="E21:E23"/>
    <mergeCell ref="F21:G23"/>
    <mergeCell ref="H21:I23"/>
    <mergeCell ref="J21:K23"/>
    <mergeCell ref="L21:L23"/>
    <mergeCell ref="M21:N23"/>
    <mergeCell ref="O21:O23"/>
    <mergeCell ref="P10:Q11"/>
    <mergeCell ref="H10:I11"/>
    <mergeCell ref="M10:N11"/>
    <mergeCell ref="J10:K11"/>
    <mergeCell ref="E10:E11"/>
    <mergeCell ref="F10:G11"/>
    <mergeCell ref="B10:C11"/>
    <mergeCell ref="D10:D11"/>
    <mergeCell ref="O24:O26"/>
    <mergeCell ref="L15:L17"/>
    <mergeCell ref="M18:N20"/>
    <mergeCell ref="L24:L26"/>
    <mergeCell ref="M15:N17"/>
    <mergeCell ref="J15:K17"/>
    <mergeCell ref="J18:K20"/>
    <mergeCell ref="L10:L11"/>
    <mergeCell ref="E15:E17"/>
    <mergeCell ref="E18:E20"/>
    <mergeCell ref="H12:I20"/>
    <mergeCell ref="E12:E14"/>
    <mergeCell ref="F12:G20"/>
    <mergeCell ref="F6:N6"/>
    <mergeCell ref="F8:G8"/>
    <mergeCell ref="T18:T20"/>
    <mergeCell ref="R15:R17"/>
    <mergeCell ref="K8:N8"/>
    <mergeCell ref="R12:R14"/>
    <mergeCell ref="Q12:Q14"/>
    <mergeCell ref="Q18:Q20"/>
    <mergeCell ref="T15:T17"/>
    <mergeCell ref="S15:S17"/>
    <mergeCell ref="R18:R20"/>
    <mergeCell ref="S18:S20"/>
    <mergeCell ref="S10:T10"/>
    <mergeCell ref="S12:S14"/>
    <mergeCell ref="T12:T14"/>
    <mergeCell ref="P18:P20"/>
    <mergeCell ref="Q15:Q17"/>
    <mergeCell ref="R10:R11"/>
    <mergeCell ref="O10:O11"/>
    <mergeCell ref="L18:L20"/>
    <mergeCell ref="O12:O14"/>
    <mergeCell ref="M12:N14"/>
    <mergeCell ref="J12:K14"/>
    <mergeCell ref="L12:L14"/>
    <mergeCell ref="T27:T29"/>
    <mergeCell ref="R27:R29"/>
    <mergeCell ref="T33:T35"/>
    <mergeCell ref="R33:R35"/>
    <mergeCell ref="S33:S35"/>
    <mergeCell ref="S30:S32"/>
    <mergeCell ref="S27:S29"/>
    <mergeCell ref="T39:T41"/>
    <mergeCell ref="T36:T38"/>
    <mergeCell ref="R36:R38"/>
    <mergeCell ref="T30:T32"/>
    <mergeCell ref="R39:R41"/>
    <mergeCell ref="R30:R32"/>
    <mergeCell ref="S39:S41"/>
    <mergeCell ref="S36:S38"/>
    <mergeCell ref="R45:R47"/>
    <mergeCell ref="Q45:Q47"/>
    <mergeCell ref="R54:R56"/>
    <mergeCell ref="R42:R44"/>
    <mergeCell ref="T54:T56"/>
    <mergeCell ref="S54:S56"/>
    <mergeCell ref="S60:S62"/>
    <mergeCell ref="T51:T53"/>
    <mergeCell ref="T57:T59"/>
    <mergeCell ref="L60:L62"/>
    <mergeCell ref="M60:N62"/>
    <mergeCell ref="T45:T47"/>
    <mergeCell ref="T48:T50"/>
    <mergeCell ref="S45:S47"/>
    <mergeCell ref="P42:P44"/>
    <mergeCell ref="R51:R53"/>
    <mergeCell ref="S51:S53"/>
    <mergeCell ref="P45:P47"/>
    <mergeCell ref="S42:S44"/>
    <mergeCell ref="Q42:Q44"/>
    <mergeCell ref="S57:S59"/>
    <mergeCell ref="M45:N47"/>
    <mergeCell ref="O54:O56"/>
    <mergeCell ref="O51:O53"/>
    <mergeCell ref="O48:O50"/>
    <mergeCell ref="O45:O47"/>
    <mergeCell ref="M48:N50"/>
    <mergeCell ref="M51:N53"/>
    <mergeCell ref="R48:R50"/>
    <mergeCell ref="S48:S50"/>
    <mergeCell ref="T60:T62"/>
    <mergeCell ref="R60:R62"/>
    <mergeCell ref="T42:T44"/>
    <mergeCell ref="L27:L29"/>
    <mergeCell ref="D24:D26"/>
    <mergeCell ref="D27:D29"/>
    <mergeCell ref="D33:D35"/>
    <mergeCell ref="J33:K35"/>
    <mergeCell ref="H36:I38"/>
    <mergeCell ref="F36:G38"/>
    <mergeCell ref="J36:K38"/>
    <mergeCell ref="D36:D38"/>
    <mergeCell ref="E36:E38"/>
    <mergeCell ref="H27:I29"/>
    <mergeCell ref="J27:K29"/>
    <mergeCell ref="F27:G29"/>
    <mergeCell ref="E27:E29"/>
    <mergeCell ref="F24:G26"/>
    <mergeCell ref="H24:I26"/>
    <mergeCell ref="J24:K26"/>
    <mergeCell ref="E24:E26"/>
    <mergeCell ref="F30:G32"/>
    <mergeCell ref="J30:K32"/>
    <mergeCell ref="H30:I32"/>
    <mergeCell ref="E30:E32"/>
    <mergeCell ref="F33:G35"/>
    <mergeCell ref="E33:E35"/>
    <mergeCell ref="B84:R84"/>
    <mergeCell ref="B83:R83"/>
    <mergeCell ref="D48:D50"/>
    <mergeCell ref="D54:D56"/>
    <mergeCell ref="M54:N56"/>
    <mergeCell ref="L48:L50"/>
    <mergeCell ref="L57:L59"/>
    <mergeCell ref="O60:O62"/>
    <mergeCell ref="O57:O59"/>
    <mergeCell ref="L51:L53"/>
    <mergeCell ref="L54:L56"/>
    <mergeCell ref="D51:D53"/>
    <mergeCell ref="R57:R59"/>
    <mergeCell ref="B57:C59"/>
    <mergeCell ref="H54:I56"/>
    <mergeCell ref="R63:R65"/>
    <mergeCell ref="R69:R71"/>
    <mergeCell ref="F54:G56"/>
    <mergeCell ref="E54:E56"/>
    <mergeCell ref="J54:K56"/>
    <mergeCell ref="D57:D59"/>
    <mergeCell ref="E57:E59"/>
    <mergeCell ref="J57:K59"/>
    <mergeCell ref="H51:I53"/>
    <mergeCell ref="S63:S65"/>
    <mergeCell ref="T63:T65"/>
    <mergeCell ref="L66:L68"/>
    <mergeCell ref="M66:N68"/>
    <mergeCell ref="O66:O68"/>
    <mergeCell ref="R66:R68"/>
    <mergeCell ref="S66:S68"/>
    <mergeCell ref="T66:T68"/>
    <mergeCell ref="L63:L65"/>
    <mergeCell ref="M63:N65"/>
    <mergeCell ref="O63:O65"/>
    <mergeCell ref="S69:S71"/>
    <mergeCell ref="T69:T71"/>
    <mergeCell ref="L72:L74"/>
    <mergeCell ref="M72:N74"/>
    <mergeCell ref="O72:O74"/>
    <mergeCell ref="R72:R74"/>
    <mergeCell ref="S72:S74"/>
    <mergeCell ref="T72:T74"/>
    <mergeCell ref="L69:L71"/>
    <mergeCell ref="M69:N71"/>
    <mergeCell ref="O69:O71"/>
    <mergeCell ref="J42:K44"/>
    <mergeCell ref="B60:C62"/>
    <mergeCell ref="D60:D62"/>
    <mergeCell ref="E60:E62"/>
    <mergeCell ref="F60:G62"/>
    <mergeCell ref="H60:I62"/>
    <mergeCell ref="J60:K62"/>
    <mergeCell ref="B36:C38"/>
    <mergeCell ref="B39:C41"/>
    <mergeCell ref="B63:C65"/>
    <mergeCell ref="D63:D65"/>
    <mergeCell ref="E63:E65"/>
    <mergeCell ref="F63:G65"/>
    <mergeCell ref="H63:I65"/>
    <mergeCell ref="J63:K65"/>
    <mergeCell ref="F57:G59"/>
    <mergeCell ref="H57:I59"/>
    <mergeCell ref="F45:G47"/>
    <mergeCell ref="H45:I47"/>
    <mergeCell ref="E45:E47"/>
    <mergeCell ref="E48:E50"/>
    <mergeCell ref="F48:G50"/>
    <mergeCell ref="H48:I50"/>
    <mergeCell ref="J48:K50"/>
    <mergeCell ref="E51:E53"/>
    <mergeCell ref="F51:G53"/>
    <mergeCell ref="J51:K53"/>
    <mergeCell ref="J45:K47"/>
    <mergeCell ref="B72:C74"/>
    <mergeCell ref="D72:D74"/>
    <mergeCell ref="E72:E74"/>
    <mergeCell ref="F72:G74"/>
    <mergeCell ref="H72:I74"/>
    <mergeCell ref="J72:K74"/>
    <mergeCell ref="B66:C68"/>
    <mergeCell ref="D66:D68"/>
    <mergeCell ref="E66:E68"/>
    <mergeCell ref="F66:G68"/>
    <mergeCell ref="H66:I68"/>
    <mergeCell ref="J66:K68"/>
    <mergeCell ref="B69:C71"/>
    <mergeCell ref="D69:D71"/>
    <mergeCell ref="E69:E71"/>
    <mergeCell ref="F69:G71"/>
    <mergeCell ref="H69:I71"/>
    <mergeCell ref="J69:K71"/>
  </mergeCells>
  <phoneticPr fontId="41" type="noConversion"/>
  <conditionalFormatting sqref="Q24 Q33 Q36 Q48 Q54 Q39:Q40 Q27 Q30 Q51 Q57:Q58 Q60 Q63 Q66 Q69 Q72">
    <cfRule type="containsBlanks" dxfId="222" priority="827">
      <formula>LEN(TRIM(Q24))=0</formula>
    </cfRule>
  </conditionalFormatting>
  <conditionalFormatting sqref="Q61 Q64 Q67">
    <cfRule type="containsBlanks" dxfId="221" priority="97">
      <formula>LEN(TRIM(Q61))=0</formula>
    </cfRule>
  </conditionalFormatting>
  <conditionalFormatting sqref="Q42">
    <cfRule type="containsBlanks" dxfId="220" priority="96">
      <formula>LEN(TRIM(Q42))=0</formula>
    </cfRule>
  </conditionalFormatting>
  <conditionalFormatting sqref="Q45">
    <cfRule type="containsBlanks" dxfId="219" priority="95">
      <formula>LEN(TRIM(Q45))=0</formula>
    </cfRule>
  </conditionalFormatting>
  <conditionalFormatting sqref="Q52">
    <cfRule type="containsBlanks" dxfId="218" priority="94">
      <formula>LEN(TRIM(Q52))=0</formula>
    </cfRule>
  </conditionalFormatting>
  <conditionalFormatting sqref="Q37">
    <cfRule type="containsBlanks" dxfId="217" priority="93">
      <formula>LEN(TRIM(Q37))=0</formula>
    </cfRule>
  </conditionalFormatting>
  <conditionalFormatting sqref="S12:S21 S63 S66 S69 S72 S24:S60">
    <cfRule type="notContainsBlanks" dxfId="216" priority="89">
      <formula>LEN(TRIM(S12))&gt;0</formula>
    </cfRule>
    <cfRule type="expression" dxfId="215" priority="90">
      <formula>OR($R12="Incomplete",$R12="Target value not met",$R12="OK (Plausibility unclear)",$R12="Exception (Plausibility unclear)",$R12="optional - Incomplete",$R12="optional - Target value not met",$R12="optional - OK (Plausibility unclear)", $R12="optional - I.O. OK (Plausibility unclear)",$R12="optional - Exception OK (Plausibility unclear")</formula>
    </cfRule>
  </conditionalFormatting>
  <conditionalFormatting sqref="R60:R62">
    <cfRule type="cellIs" dxfId="214" priority="86" stopIfTrue="1" operator="equal">
      <formula>"OK"</formula>
    </cfRule>
    <cfRule type="cellIs" dxfId="213" priority="88" stopIfTrue="1" operator="equal">
      <formula>"OK (Plausibility unclear)"</formula>
    </cfRule>
  </conditionalFormatting>
  <conditionalFormatting sqref="R63:R65">
    <cfRule type="cellIs" dxfId="212" priority="24" stopIfTrue="1" operator="equal">
      <formula>"OK"</formula>
    </cfRule>
    <cfRule type="cellIs" dxfId="211" priority="26" stopIfTrue="1" operator="equal">
      <formula>"OK (Plausibility unclear)"</formula>
    </cfRule>
  </conditionalFormatting>
  <conditionalFormatting sqref="R66:R68">
    <cfRule type="cellIs" dxfId="210" priority="18" stopIfTrue="1" operator="equal">
      <formula>"OK"</formula>
    </cfRule>
    <cfRule type="cellIs" dxfId="209" priority="20" stopIfTrue="1" operator="equal">
      <formula>"OK (Plausibility unclear)"</formula>
    </cfRule>
  </conditionalFormatting>
  <conditionalFormatting sqref="R69:R71">
    <cfRule type="cellIs" dxfId="208" priority="12" stopIfTrue="1" operator="equal">
      <formula>"OK"</formula>
    </cfRule>
    <cfRule type="cellIs" dxfId="207" priority="14" stopIfTrue="1" operator="equal">
      <formula>"OK (Plausibility unclear)"</formula>
    </cfRule>
  </conditionalFormatting>
  <conditionalFormatting sqref="R72:R81">
    <cfRule type="cellIs" dxfId="206" priority="6" stopIfTrue="1" operator="equal">
      <formula>"OK"</formula>
    </cfRule>
    <cfRule type="cellIs" dxfId="205" priority="8" stopIfTrue="1" operator="equal">
      <formula>"OK (Plausibility unclear)"</formula>
    </cfRule>
  </conditionalFormatting>
  <conditionalFormatting sqref="R21:R23">
    <cfRule type="cellIs" dxfId="204" priority="2" operator="equal">
      <formula>"Exception (Plausibility unclear)"</formula>
    </cfRule>
  </conditionalFormatting>
  <conditionalFormatting sqref="R12:R74">
    <cfRule type="cellIs" dxfId="203" priority="326" stopIfTrue="1" operator="equal">
      <formula>"Target value not met"</formula>
    </cfRule>
  </conditionalFormatting>
  <conditionalFormatting sqref="R12:R21 R24:R59">
    <cfRule type="expression" dxfId="202" priority="3352" stopIfTrue="1">
      <formula>OR(R12=$F$80,R12=$F$81)</formula>
    </cfRule>
    <cfRule type="cellIs" dxfId="201" priority="3353" stopIfTrue="1" operator="equal">
      <formula>"OK (Plausibility unclear)"</formula>
    </cfRule>
    <cfRule type="cellIs" dxfId="200" priority="3354" stopIfTrue="1" operator="equal">
      <formula>"OK"</formula>
    </cfRule>
  </conditionalFormatting>
  <conditionalFormatting sqref="R60:R74">
    <cfRule type="expression" dxfId="199" priority="3358" stopIfTrue="1">
      <formula>OR(R60=$F$80,R60=$F$81)</formula>
    </cfRule>
    <cfRule type="cellIs" dxfId="198" priority="3359" stopIfTrue="1" operator="equal">
      <formula>"Exception (Plausibility unclear)"</formula>
    </cfRule>
  </conditionalFormatting>
  <dataValidations count="23">
    <dataValidation type="whole" allowBlank="1" showInputMessage="1" showErrorMessage="1" errorTitle="Input data error" error="1. Sheet „Basic data“ has to be filled out completely._x000a_2. Numerator has to be a positive whole number._x000a_3. Numerator cannot be greater than denominator.  " sqref="Q54 Q48" xr:uid="{00000000-0002-0000-0400-000000000000}">
      <formula1>0</formula1>
      <formula2>IF(Q49="",5000,Q49)</formula2>
    </dataValidation>
    <dataValidation type="whole" showInputMessage="1" showErrorMessage="1" errorTitle="Input data error" error="1. Numerator has to be a positive whole number._x000a_2. Numerator cannot be greater than denominator." sqref="Q51 Q57 Q39 Q24" xr:uid="{00000000-0002-0000-0400-000001000000}">
      <formula1>0</formula1>
      <formula2>IF(Q25="",5000,Q25)</formula2>
    </dataValidation>
    <dataValidation operator="equal" showInputMessage="1" showErrorMessage="1" sqref="Q34" xr:uid="{00000000-0002-0000-0400-000002000000}"/>
    <dataValidation errorStyle="information" allowBlank="1" showInputMessage="1" showErrorMessage="1" errorTitle="Kennzahl" promptTitle="Kennzahl" sqref="D10 B10" xr:uid="{00000000-0002-0000-0400-000003000000}"/>
    <dataValidation type="custom" operator="equal" showInputMessage="1" showErrorMessage="1" errorTitle="Input data error" error="1. Denominator has to be a positive whole number._x000a_2. Denominator cannot be smaller than numerator." sqref="Q40" xr:uid="{00000000-0002-0000-0400-000004000000}">
      <formula1>IF(ISNUMBER(Q40),IF(Q40&gt;0,IF(AND(Q40&gt;=Q39,Q40&lt;5001),Q40,FALSE),FALSE),FALSE)</formula1>
    </dataValidation>
    <dataValidation showInputMessage="1" showErrorMessage="1" sqref="Q12:Q14 Q18:Q21" xr:uid="{00000000-0002-0000-0400-000005000000}"/>
    <dataValidation operator="equal" showInputMessage="1" showErrorMessage="1" errorTitle="Eingabefehler" error="1. Nenner muss eine positive ganze Zahl sein._x000a_2. Nenner kann nicht kleiner als Zähler sein." sqref="Q25" xr:uid="{00000000-0002-0000-0400-000006000000}"/>
    <dataValidation showInputMessage="1" showErrorMessage="1" errorTitle="Eingabefehler" error="1. Nenner muss eine positive ganze Zahl sein. _x000a_2. Nenner kann nicht kleiner als Zähler sein._x000a_3. Nenner muss kleiner sein als Anzahl Primärfälle." sqref="Q28" xr:uid="{00000000-0002-0000-0400-000007000000}"/>
    <dataValidation type="whole" showInputMessage="1" showErrorMessage="1" errorTitle="Input data error" error="1. Sheet „Basic data“ has to be filled out completely._x000a_2. Numerator has to be a positive whole number." sqref="Q36" xr:uid="{00000000-0002-0000-0400-000008000000}">
      <formula1>0</formula1>
      <formula2>5000</formula2>
    </dataValidation>
    <dataValidation type="whole" showInputMessage="1" showErrorMessage="1" errorTitle="Input data error" error="1. Only positive whole numbers._x000a_2. Maximal value 10000." sqref="Q42:Q47" xr:uid="{00000000-0002-0000-0400-000009000000}">
      <formula1>0</formula1>
      <formula2>10000</formula2>
    </dataValidation>
    <dataValidation type="textLength" allowBlank="1" showInputMessage="1" showErrorMessage="1" errorTitle="Characters" error="Minimum 30 characters and maximum 500 characters." sqref="S12:T21 S24:T81" xr:uid="{00000000-0002-0000-0400-00000A000000}">
      <formula1>30</formula1>
      <formula2>500</formula2>
    </dataValidation>
    <dataValidation showInputMessage="1" showErrorMessage="1" errorTitle="Eingabefehler" sqref="Q15:Q17" xr:uid="{00000000-0002-0000-0400-00000B000000}"/>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der Primärfälle sein." sqref="Q73 Q70" xr:uid="{00000000-0002-0000-0400-00000C000000}">
      <formula1>$Q$60</formula1>
      <formula2>Q27</formula2>
    </dataValidation>
    <dataValidation type="custom" showInputMessage="1" showErrorMessage="1" errorTitle="Input data error" error="1. Sheet „Basic data“ has to be filled out completely._x000a_2. Denominator has to be a positive whole number._x000a_3. Denominator cannot be smaller than numerator._x000a_4. Denominator cannot be greater than number of primary cases." sqref="Q58" xr:uid="{00000000-0002-0000-0400-00000D000000}">
      <formula1>IF(ISNUMBER(Q58),IF(Q58&gt;0,IF(AND(Q58&gt;=Q57,Q58&lt;=Q15),Q58,FALSE),FALSE),FALSE)</formula1>
    </dataValidation>
    <dataValidation type="whole" showInputMessage="1" showErrorMessage="1" errorTitle="Input data error" error="1. Sheet „Basic data“ has to be filled out completely._x000a_2. Numerator has to be a positive whole number._x000a_3. Numerator cannot be greater than denominator." sqref="Q66 Q69 Q60" xr:uid="{00000000-0002-0000-0400-00000E000000}">
      <formula1>0</formula1>
      <formula2>IF(Q61="",5000,Q61)</formula2>
    </dataValidation>
    <dataValidation type="whole" showInputMessage="1" showErrorMessage="1" errorTitle="Input data error" error="1. Sheet „Basic data“ has to be filled out completely._x000a_2. Numerator has to be a positive whole number._x000a_3. Numerator cannot be greater than denominator.  " sqref="Q33 Q30 Q63" xr:uid="{00000000-0002-0000-0400-00000F000000}">
      <formula1>0</formula1>
      <formula2>IF(Q31="",5000,Q31)</formula2>
    </dataValidation>
    <dataValidation type="custom" showInputMessage="1" showErrorMessage="1" errorTitle="Input data error" error="1.Denominator has to be a positive whole number_x000a_2.Denominator cannot be smaller than numerator_x000a_3.Denominator cannot be smaller than Indicator 7." sqref="Q52" xr:uid="{00000000-0002-0000-0400-000010000000}">
      <formula1>IF(ISNUMBER(Q52),IF(Q52&gt;0,IF(AND(Q52&gt;=Q51,Q52&gt;=Q40),Q52,FALSE),FALSE),FALSE)</formula1>
    </dataValidation>
    <dataValidation type="whole" showInputMessage="1" showErrorMessage="1" errorTitle="Input data error" error="1.Denominator has to be a positive whole number_x000a_2.Denominator can’t be smaller than numerator_x000a_3.Denominator can’t be &lt; the sum of I37:O37 from Basic data._x000a_4.Denominator can’t be &gt; the sum of I37:Q37 from Basic data." sqref="Q37" xr:uid="{00000000-0002-0000-0400-000011000000}">
      <formula1>U37</formula1>
      <formula2>U38</formula2>
    </dataValidation>
    <dataValidation type="whole" showInputMessage="1" showErrorMessage="1" errorTitle="Input data error" error="1. Sheet „Basic data“ has to be filled out completely._x000a_2. Numerator has to be a positive whole number._x000a_3. Numerator cannot be greater than denominator. " sqref="Q27" xr:uid="{00000000-0002-0000-0400-000012000000}">
      <formula1>0</formula1>
      <formula2>IF(Q28="",5000,Q28)</formula2>
    </dataValidation>
    <dataValidation type="whole" showInputMessage="1" showErrorMessage="1" errorTitle="Input data error" error="1. Sheet „Basic data“ has to be filled out completely._x000a_1. Numerator has to be a positive whole number._x000a_2. Numerator cannot be greater than denominator." sqref="Q72" xr:uid="{00000000-0002-0000-0400-000013000000}">
      <formula1>0</formula1>
      <formula2>IF(Q73="",5000,Q73)</formula2>
    </dataValidation>
    <dataValidation type="whole" showInputMessage="1" showErrorMessage="1" errorTitle="Input data error" error="1.Denominator has to be a positive whole number_x000a_2.Denominator cannot be smaller than numerator_x000a_3.Denominator cannot be greater than number of primary cases." sqref="Q61" xr:uid="{00000000-0002-0000-0400-000014000000}">
      <formula1>Q60</formula1>
      <formula2>IF(ISNUMBER(Q61),IF(Q61&gt;0,IF(Q61&gt;=Q60,Q15,FALSE),FALSE),FALSE)</formula2>
    </dataValidation>
    <dataValidation type="whole" showInputMessage="1" showErrorMessage="1" errorTitle="Input data error" error="1. Sheet „Basic data“ has to be filled out completely._x000a_2.Denominator has to be a positive whole number_x000a_3.Denominator cannot be smaller than numerator_x000a_4.Denominator cannot be greater than number of primary cases." sqref="Q64" xr:uid="{00000000-0002-0000-0400-000015000000}">
      <formula1>Q63</formula1>
      <formula2>IF(ISNUMBER(Q64),IF(Q64&gt;0,IF(Q64&gt;=Q63,Q15,FALSE),FALSE),FALSE)</formula2>
    </dataValidation>
    <dataValidation type="whole" showInputMessage="1" showErrorMessage="1" errorTitle="Input data error" error="1. Sheet „Basic data“ has to be filled out completely._x000a_2. Denominator has to be a positive whole number._x000a_3. Denominator cannot be smaller than numerator._x000a_4. Denominator cannot be greater than number of primary cases." sqref="Q67" xr:uid="{00000000-0002-0000-0400-000016000000}">
      <formula1>Q66</formula1>
      <formula2>Q15</formula2>
    </dataValidation>
  </dataValidations>
  <pageMargins left="0.39370078740157483" right="3.937007874015748E-2" top="0.59055118110236227" bottom="0.39370078740157483" header="0.11811023622047245" footer="0.11811023622047245"/>
  <pageSetup paperSize="9" scale="90"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4" manualBreakCount="4">
    <brk id="26" max="17" man="1"/>
    <brk id="38" max="17" man="1"/>
    <brk id="53" max="17" man="1"/>
    <brk id="68" max="17" man="1"/>
  </rowBreaks>
  <ignoredErrors>
    <ignoredError sqref="D12" twoDigitTextYear="1"/>
    <ignoredError sqref="B25:C26 B31:C32 C30 B34:C35 C33 B37:C38 C36 B40:C41 C39 B43:C44 C42 B46:C47 C45 B49:C50 C48 B55:C56 C54 C24 B28:C29 C27" numberStoredAsText="1"/>
  </ignoredErrors>
  <drawing r:id="rId3"/>
  <legacyDrawing r:id="rId4"/>
  <legacyDrawingHF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2"/>
  <dimension ref="A3:O95"/>
  <sheetViews>
    <sheetView showGridLines="0" topLeftCell="D49" zoomScale="90" zoomScaleNormal="90" workbookViewId="0">
      <selection activeCell="L68" sqref="L68"/>
    </sheetView>
  </sheetViews>
  <sheetFormatPr baseColWidth="10" defaultColWidth="11.3984375" defaultRowHeight="14.25"/>
  <cols>
    <col min="1" max="1" width="9.1328125" customWidth="1"/>
    <col min="2" max="2" width="14.86328125" customWidth="1"/>
    <col min="3" max="3" width="25.59765625" customWidth="1"/>
    <col min="4" max="4" width="20.3984375" customWidth="1"/>
    <col min="5" max="5" width="21.86328125" customWidth="1"/>
    <col min="6" max="6" width="15.3984375" customWidth="1"/>
    <col min="7" max="7" width="23.265625" customWidth="1"/>
    <col min="8" max="8" width="22.3984375" customWidth="1"/>
    <col min="9" max="9" width="20.265625" customWidth="1"/>
    <col min="10" max="10" width="14.59765625" customWidth="1"/>
    <col min="11" max="11" width="15.3984375" customWidth="1"/>
    <col min="12" max="12" width="16.265625" customWidth="1"/>
  </cols>
  <sheetData>
    <row r="3" spans="1:15">
      <c r="C3" s="26"/>
    </row>
    <row r="4" spans="1:15" s="1" customFormat="1">
      <c r="C4" s="207"/>
      <c r="D4" s="189" t="s">
        <v>85</v>
      </c>
      <c r="E4" s="8"/>
      <c r="F4" s="8"/>
      <c r="G4" s="8"/>
      <c r="H4" s="8"/>
      <c r="J4"/>
      <c r="M4" s="19"/>
      <c r="N4" s="19"/>
      <c r="O4" s="19"/>
    </row>
    <row r="5" spans="1:15" s="1" customFormat="1" ht="26.25" customHeight="1">
      <c r="A5" s="66" t="s">
        <v>82</v>
      </c>
      <c r="C5" s="189" t="s">
        <v>715</v>
      </c>
      <c r="D5" s="189" t="s">
        <v>716</v>
      </c>
      <c r="E5" s="189" t="s">
        <v>717</v>
      </c>
      <c r="F5" s="189" t="s">
        <v>719</v>
      </c>
      <c r="G5" s="189" t="s">
        <v>718</v>
      </c>
      <c r="H5" s="189" t="s">
        <v>733</v>
      </c>
      <c r="I5" s="189" t="s">
        <v>15</v>
      </c>
      <c r="J5"/>
      <c r="K5" s="189" t="s">
        <v>402</v>
      </c>
      <c r="M5" s="19"/>
      <c r="N5" s="19"/>
      <c r="O5" s="19"/>
    </row>
    <row r="6" spans="1:15" s="1" customFormat="1">
      <c r="A6" s="37"/>
      <c r="C6" s="465">
        <f>COUNTIF('Indicators Sheet_(IS)'!$R$12:$R$72,C5)</f>
        <v>0</v>
      </c>
      <c r="D6" s="465">
        <f>COUNTIF('Indicators Sheet_(IS)'!$R$12:$R$72,D5)</f>
        <v>0</v>
      </c>
      <c r="E6" s="465">
        <f>COUNTIF('Indicators Sheet_(IS)'!$R$12:$R$72,E5)</f>
        <v>0</v>
      </c>
      <c r="F6" s="465">
        <f>COUNTIF('Indicators Sheet_(IS)'!$R$12:$R$72,F5)</f>
        <v>21</v>
      </c>
      <c r="G6" s="465">
        <f>COUNTIF('Indicators Sheet_(IS)'!$R$12:$R$72,G5)</f>
        <v>0</v>
      </c>
      <c r="H6" s="465">
        <f>COUNTIF('Indicators Sheet_(IS)'!$R$12:$R$72,H5)</f>
        <v>0</v>
      </c>
      <c r="I6" s="465">
        <f>SUM(D6:H6)</f>
        <v>21</v>
      </c>
      <c r="J6"/>
      <c r="K6" s="465">
        <f>D6+H6</f>
        <v>0</v>
      </c>
      <c r="M6" s="19"/>
      <c r="N6" s="19"/>
      <c r="O6" s="19"/>
    </row>
    <row r="7" spans="1:15" s="1" customFormat="1">
      <c r="A7" s="37"/>
      <c r="C7" s="465"/>
      <c r="D7" s="465">
        <f>C6+D6+H6</f>
        <v>0</v>
      </c>
      <c r="E7" s="465">
        <f>E6</f>
        <v>0</v>
      </c>
      <c r="F7" s="465"/>
      <c r="G7" s="465">
        <f>F6+G6</f>
        <v>21</v>
      </c>
      <c r="H7" s="465">
        <f>H6+D6+C6</f>
        <v>0</v>
      </c>
      <c r="I7" s="465">
        <f>SUM(D7:H7)</f>
        <v>21</v>
      </c>
      <c r="J7"/>
      <c r="K7" s="465"/>
      <c r="M7" s="19"/>
      <c r="N7" s="19"/>
      <c r="O7" s="19"/>
    </row>
    <row r="8" spans="1:15" s="1" customFormat="1">
      <c r="A8" s="37"/>
      <c r="B8" s="1" t="s">
        <v>329</v>
      </c>
      <c r="C8" s="465"/>
      <c r="D8" s="465"/>
      <c r="E8" s="465">
        <f>D7+E7</f>
        <v>0</v>
      </c>
      <c r="F8" s="465"/>
      <c r="G8" s="465">
        <f>G7</f>
        <v>21</v>
      </c>
      <c r="H8" s="465"/>
      <c r="I8" s="465">
        <f>SUM(D8:H8)</f>
        <v>21</v>
      </c>
      <c r="J8"/>
      <c r="K8" s="465"/>
      <c r="M8" s="19"/>
      <c r="N8" s="19"/>
      <c r="O8" s="19"/>
    </row>
    <row r="9" spans="1:15" s="1" customFormat="1" ht="13.5">
      <c r="A9" s="37"/>
      <c r="B9" s="453">
        <v>21</v>
      </c>
      <c r="C9" s="466">
        <f t="shared" ref="C9:H9" si="0">ROUND(C6/$B$9,4)</f>
        <v>0</v>
      </c>
      <c r="D9" s="466">
        <f t="shared" si="0"/>
        <v>0</v>
      </c>
      <c r="E9" s="466">
        <f t="shared" si="0"/>
        <v>0</v>
      </c>
      <c r="F9" s="466">
        <f t="shared" si="0"/>
        <v>1</v>
      </c>
      <c r="G9" s="466">
        <f t="shared" si="0"/>
        <v>0</v>
      </c>
      <c r="H9" s="466">
        <f t="shared" si="0"/>
        <v>0</v>
      </c>
      <c r="I9" s="466">
        <f>SUM(C9:H9)</f>
        <v>1</v>
      </c>
      <c r="J9" s="112"/>
      <c r="K9" s="466">
        <f>D9+H9</f>
        <v>0</v>
      </c>
      <c r="M9" s="19"/>
      <c r="N9" s="19"/>
      <c r="O9" s="19"/>
    </row>
    <row r="10" spans="1:15" s="1" customFormat="1" ht="13.5">
      <c r="A10" s="37"/>
      <c r="C10" s="467"/>
      <c r="D10" s="466">
        <f>ROUND((C6+D6+H6)/$B$9,4)</f>
        <v>0</v>
      </c>
      <c r="E10" s="466">
        <f>ROUND(E6/$B$9,4)</f>
        <v>0</v>
      </c>
      <c r="F10" s="466"/>
      <c r="G10" s="466">
        <f>ROUND((F6+G6)/$B$9,4)</f>
        <v>1</v>
      </c>
      <c r="H10" s="466">
        <f>ROUND((H6+D6+C6)/$B$9,4)</f>
        <v>0</v>
      </c>
      <c r="I10" s="466">
        <f>SUM(D10:G10)</f>
        <v>1</v>
      </c>
      <c r="J10" s="112"/>
      <c r="K10" s="466"/>
      <c r="M10" s="19"/>
      <c r="N10" s="19"/>
      <c r="O10" s="19"/>
    </row>
    <row r="11" spans="1:15" s="1" customFormat="1" ht="13.5">
      <c r="A11" s="37"/>
      <c r="C11" s="112"/>
      <c r="D11" s="468"/>
      <c r="E11" s="466">
        <f>ROUND((C6+D6+E6+H6)/$B$9,4)</f>
        <v>0</v>
      </c>
      <c r="F11" s="468"/>
      <c r="G11" s="466">
        <f>G10</f>
        <v>1</v>
      </c>
      <c r="H11" s="466"/>
      <c r="I11" s="466">
        <f>SUM(D11:H11)</f>
        <v>1</v>
      </c>
      <c r="J11" s="112"/>
      <c r="K11" s="112"/>
      <c r="M11" s="19"/>
      <c r="N11" s="19"/>
      <c r="O11" s="19"/>
    </row>
    <row r="12" spans="1:15" s="1" customFormat="1" ht="13.5">
      <c r="A12" s="37"/>
      <c r="E12" s="42"/>
      <c r="G12" s="42"/>
      <c r="H12" s="42"/>
      <c r="I12" s="42"/>
      <c r="M12" s="19"/>
      <c r="N12" s="19"/>
      <c r="O12" s="19"/>
    </row>
    <row r="13" spans="1:15" s="1" customFormat="1" ht="13.5">
      <c r="A13" s="37"/>
      <c r="E13" s="42"/>
      <c r="G13" s="42"/>
      <c r="H13" s="42"/>
      <c r="I13" s="42"/>
      <c r="M13" s="19"/>
      <c r="N13" s="19"/>
      <c r="O13" s="19"/>
    </row>
    <row r="14" spans="1:15" s="1" customFormat="1" ht="13.5">
      <c r="A14" s="37"/>
      <c r="M14" s="19"/>
      <c r="N14" s="19"/>
      <c r="O14" s="19"/>
    </row>
    <row r="15" spans="1:15" s="1" customFormat="1" ht="13.5">
      <c r="A15" s="37"/>
      <c r="M15" s="19"/>
      <c r="N15" s="19"/>
      <c r="O15" s="19"/>
    </row>
    <row r="16" spans="1:15" s="1" customFormat="1" ht="13.9">
      <c r="A16" s="37"/>
      <c r="C16" s="26"/>
      <c r="M16" s="19"/>
      <c r="N16" s="19"/>
      <c r="O16" s="19"/>
    </row>
    <row r="17" spans="1:15" s="1" customFormat="1" ht="23.25">
      <c r="A17" s="66" t="s">
        <v>83</v>
      </c>
      <c r="C17" s="63" t="s">
        <v>734</v>
      </c>
      <c r="D17" s="63" t="s">
        <v>735</v>
      </c>
      <c r="E17" s="63" t="s">
        <v>736</v>
      </c>
      <c r="F17" s="63" t="s">
        <v>737</v>
      </c>
      <c r="G17" s="63" t="s">
        <v>738</v>
      </c>
      <c r="H17" s="63" t="s">
        <v>739</v>
      </c>
      <c r="M17" s="19"/>
      <c r="N17" s="19"/>
      <c r="O17" s="19"/>
    </row>
    <row r="18" spans="1:15" s="1" customFormat="1" ht="13.5">
      <c r="A18" s="37"/>
      <c r="C18" s="32"/>
      <c r="D18" s="32"/>
      <c r="E18" s="32"/>
      <c r="F18" s="32"/>
      <c r="G18" s="32"/>
      <c r="M18" s="19"/>
      <c r="N18" s="19"/>
      <c r="O18" s="19"/>
    </row>
    <row r="19" spans="1:15" s="1" customFormat="1" ht="13.9">
      <c r="A19" s="66"/>
      <c r="C19" s="32"/>
      <c r="D19" s="32"/>
      <c r="E19" s="32"/>
      <c r="F19" s="32"/>
      <c r="G19" s="32"/>
      <c r="M19" s="19"/>
      <c r="N19" s="19"/>
      <c r="O19" s="19"/>
    </row>
    <row r="20" spans="1:15" s="1" customFormat="1" ht="13.9">
      <c r="A20" s="37"/>
      <c r="C20" s="26"/>
      <c r="D20" s="32"/>
      <c r="E20" s="32"/>
      <c r="F20" s="32"/>
      <c r="G20" s="32"/>
      <c r="M20" s="19"/>
      <c r="N20" s="19"/>
      <c r="O20" s="19"/>
    </row>
    <row r="21" spans="1:15" s="1" customFormat="1" ht="13.5">
      <c r="A21" s="37"/>
      <c r="D21" s="32"/>
      <c r="E21" s="32"/>
      <c r="F21" s="32"/>
      <c r="G21" s="32"/>
      <c r="M21" s="19"/>
      <c r="N21" s="19"/>
      <c r="O21" s="19"/>
    </row>
    <row r="22" spans="1:15" s="1" customFormat="1" ht="12.75" customHeight="1">
      <c r="A22" s="37"/>
      <c r="C22" s="32"/>
      <c r="D22" s="32"/>
      <c r="E22" s="32"/>
      <c r="F22" s="32"/>
      <c r="G22" s="32"/>
      <c r="M22" s="19"/>
      <c r="N22" s="19"/>
      <c r="O22" s="19"/>
    </row>
    <row r="23" spans="1:15" s="1" customFormat="1" ht="13.9" hidden="1">
      <c r="A23" s="66" t="s">
        <v>115</v>
      </c>
      <c r="C23" s="64" t="s">
        <v>9</v>
      </c>
      <c r="D23" s="57" t="s">
        <v>16</v>
      </c>
      <c r="G23" s="19"/>
      <c r="H23" s="19"/>
      <c r="I23" s="19"/>
    </row>
    <row r="24" spans="1:15" s="1" customFormat="1" ht="18" hidden="1" customHeight="1">
      <c r="A24" s="37" t="s">
        <v>79</v>
      </c>
      <c r="C24" s="65" t="s">
        <v>154</v>
      </c>
      <c r="D24" s="29">
        <f>'Basic Data'!R30</f>
        <v>0</v>
      </c>
      <c r="G24" s="19"/>
      <c r="H24" s="19"/>
      <c r="I24" s="19"/>
    </row>
    <row r="25" spans="1:15" s="1" customFormat="1" ht="24.75" hidden="1" customHeight="1">
      <c r="A25" s="37"/>
      <c r="C25" s="65" t="s">
        <v>155</v>
      </c>
      <c r="D25" s="29">
        <f>'Basic Data'!D42</f>
        <v>0</v>
      </c>
      <c r="G25" s="19"/>
      <c r="H25" s="19"/>
      <c r="I25" s="19"/>
    </row>
    <row r="26" spans="1:15" s="1" customFormat="1" ht="37.5" hidden="1" customHeight="1">
      <c r="A26" s="37"/>
      <c r="C26" s="65" t="s">
        <v>243</v>
      </c>
      <c r="D26" s="29">
        <f>'Basic Data'!D43</f>
        <v>0</v>
      </c>
      <c r="G26" s="19"/>
      <c r="H26" s="19"/>
      <c r="I26" s="19"/>
    </row>
    <row r="27" spans="1:15" s="1" customFormat="1" ht="15" hidden="1" customHeight="1">
      <c r="A27" s="37"/>
      <c r="C27" s="65" t="s">
        <v>132</v>
      </c>
      <c r="D27" s="29">
        <f>'Basic Data'!D45</f>
        <v>0</v>
      </c>
      <c r="G27" s="19"/>
      <c r="H27" s="19"/>
      <c r="I27" s="19"/>
    </row>
    <row r="29" spans="1:15" s="1" customFormat="1" ht="13.5">
      <c r="C29" s="32"/>
      <c r="D29" s="32"/>
      <c r="E29" s="32"/>
      <c r="F29" s="32"/>
      <c r="G29" s="32"/>
      <c r="M29" s="19"/>
      <c r="N29" s="19"/>
      <c r="O29" s="19"/>
    </row>
    <row r="30" spans="1:15" s="1" customFormat="1" ht="13.5">
      <c r="C30" s="32"/>
      <c r="D30" s="32"/>
      <c r="E30" s="32"/>
      <c r="F30" s="32"/>
      <c r="G30" s="32"/>
      <c r="M30" s="19"/>
      <c r="N30" s="19"/>
      <c r="O30" s="19"/>
    </row>
    <row r="31" spans="1:15" s="1" customFormat="1" ht="13.5">
      <c r="C31" s="32"/>
      <c r="D31" s="32"/>
      <c r="E31" s="32"/>
      <c r="F31" s="32"/>
      <c r="G31" s="32"/>
      <c r="M31" s="19"/>
      <c r="N31" s="19"/>
      <c r="O31" s="19"/>
    </row>
    <row r="32" spans="1:15" s="1" customFormat="1" ht="13.5">
      <c r="C32" s="32"/>
      <c r="D32" s="32"/>
      <c r="E32" s="32"/>
      <c r="F32" s="32"/>
      <c r="G32" s="32"/>
      <c r="M32" s="19"/>
      <c r="N32" s="19"/>
      <c r="O32" s="19"/>
    </row>
    <row r="33" spans="1:15" s="1" customFormat="1" ht="13.9">
      <c r="A33" s="26" t="s">
        <v>74</v>
      </c>
      <c r="C33" s="57" t="s">
        <v>5</v>
      </c>
      <c r="D33" s="57" t="s">
        <v>88</v>
      </c>
      <c r="E33" s="57" t="s">
        <v>97</v>
      </c>
      <c r="F33" s="57" t="s">
        <v>96</v>
      </c>
      <c r="G33" s="57" t="s">
        <v>94</v>
      </c>
      <c r="H33" s="57" t="s">
        <v>95</v>
      </c>
      <c r="I33" s="57"/>
      <c r="J33" s="57" t="s">
        <v>98</v>
      </c>
      <c r="K33" s="57" t="s">
        <v>99</v>
      </c>
      <c r="L33" s="57" t="s">
        <v>93</v>
      </c>
      <c r="M33" s="13" t="s">
        <v>62</v>
      </c>
      <c r="N33" s="13" t="s">
        <v>61</v>
      </c>
      <c r="O33" s="14" t="s">
        <v>60</v>
      </c>
    </row>
    <row r="34" spans="1:15" s="1" customFormat="1" ht="13.5">
      <c r="A34" s="8"/>
      <c r="C34" s="71"/>
      <c r="D34" s="71"/>
      <c r="E34" s="71"/>
      <c r="F34" s="71"/>
      <c r="G34" s="71"/>
      <c r="H34" s="71"/>
      <c r="I34" s="71"/>
      <c r="J34" s="71"/>
      <c r="K34" s="71"/>
      <c r="L34" s="71"/>
      <c r="M34" s="13"/>
      <c r="N34" s="13"/>
      <c r="O34" s="13"/>
    </row>
    <row r="35" spans="1:15" s="1" customFormat="1" ht="13.5">
      <c r="A35" s="8"/>
      <c r="B35" s="1" t="s">
        <v>10</v>
      </c>
      <c r="C35" s="399" t="s">
        <v>244</v>
      </c>
      <c r="D35" s="73" t="s">
        <v>89</v>
      </c>
      <c r="E35" s="457">
        <v>0</v>
      </c>
      <c r="F35" s="457">
        <v>100000000</v>
      </c>
      <c r="G35" s="457">
        <v>100</v>
      </c>
      <c r="H35" s="457">
        <v>100000000</v>
      </c>
      <c r="I35" s="457"/>
      <c r="J35" s="457">
        <v>-100000000</v>
      </c>
      <c r="K35" s="457">
        <v>1000000</v>
      </c>
      <c r="L35" s="73">
        <f>'Indicators Sheet_(IS)'!Q12</f>
        <v>0</v>
      </c>
      <c r="M35" s="73">
        <f>IF('Indicators Sheet_(IS)'!R12=Berechnung1!$G$5,1,IF('Indicators Sheet_(IS)'!R12=Berechnung1!$F$5,1,IF('Indicators Sheet_(IS)'!R12=Berechnung1!$E$5,2,IF('Indicators Sheet_(IS)'!R12=Berechnung1!$D$5,3,IF('Indicators Sheet_(IS)'!R12=Berechnung1!$C$5,4,"")))))</f>
        <v>1</v>
      </c>
      <c r="N35" s="73">
        <f>IF(M35&gt;1,M35+3,M35)</f>
        <v>1</v>
      </c>
      <c r="O35" s="73">
        <f>IF('Indicators Sheet_(IS)'!T12="",0,1)</f>
        <v>0</v>
      </c>
    </row>
    <row r="36" spans="1:15" s="1" customFormat="1" ht="13.5">
      <c r="A36" s="8"/>
      <c r="C36" s="41"/>
      <c r="D36" s="41"/>
      <c r="E36" s="455"/>
      <c r="F36" s="455"/>
      <c r="G36" s="455"/>
      <c r="H36" s="455"/>
      <c r="I36" s="455"/>
      <c r="J36" s="455"/>
      <c r="K36" s="455"/>
      <c r="L36" s="226"/>
      <c r="M36" s="172"/>
      <c r="N36" s="172"/>
      <c r="O36" s="172"/>
    </row>
    <row r="37" spans="1:15" s="1" customFormat="1" ht="13.5">
      <c r="A37" s="8"/>
      <c r="C37" s="41"/>
      <c r="D37" s="41"/>
      <c r="E37" s="455"/>
      <c r="F37" s="455"/>
      <c r="G37" s="455"/>
      <c r="H37" s="455"/>
      <c r="I37" s="455"/>
      <c r="J37" s="455"/>
      <c r="K37" s="455"/>
      <c r="L37" s="226"/>
      <c r="M37" s="172"/>
      <c r="N37" s="172"/>
      <c r="O37" s="172"/>
    </row>
    <row r="38" spans="1:15" s="1" customFormat="1" ht="13.5">
      <c r="A38" s="8"/>
      <c r="B38" s="1" t="s">
        <v>10</v>
      </c>
      <c r="C38" s="399" t="s">
        <v>245</v>
      </c>
      <c r="D38" s="73" t="s">
        <v>89</v>
      </c>
      <c r="E38" s="457">
        <v>0</v>
      </c>
      <c r="F38" s="457">
        <v>100000000</v>
      </c>
      <c r="G38" s="457">
        <v>40</v>
      </c>
      <c r="H38" s="457">
        <v>100000000</v>
      </c>
      <c r="I38" s="457"/>
      <c r="J38" s="457">
        <v>-100000000</v>
      </c>
      <c r="K38" s="457">
        <v>1000000</v>
      </c>
      <c r="L38" s="73">
        <f>'Indicators Sheet_(IS)'!Q15</f>
        <v>0</v>
      </c>
      <c r="M38" s="73">
        <f>IF('Indicators Sheet_(IS)'!R15=Berechnung1!$G$5,1,IF('Indicators Sheet_(IS)'!R15=Berechnung1!$F$5,1,IF('Indicators Sheet_(IS)'!R15=Berechnung1!$E$5,2,IF('Indicators Sheet_(IS)'!R15=Berechnung1!$D$5,3,IF('Indicators Sheet_(IS)'!R15=Berechnung1!$C$5,4,"")))))</f>
        <v>1</v>
      </c>
      <c r="N38" s="73">
        <f>IF(M38&gt;1,M38+3,M38)</f>
        <v>1</v>
      </c>
      <c r="O38" s="73">
        <f>IF('Indicators Sheet_(IS)'!T15="",0,1)</f>
        <v>0</v>
      </c>
    </row>
    <row r="39" spans="1:15" s="1" customFormat="1" ht="13.5">
      <c r="A39" s="8"/>
      <c r="C39" s="41"/>
      <c r="D39" s="41"/>
      <c r="E39" s="455"/>
      <c r="F39" s="455"/>
      <c r="G39" s="455"/>
      <c r="H39" s="455"/>
      <c r="I39" s="455"/>
      <c r="J39" s="455"/>
      <c r="K39" s="455"/>
      <c r="L39" s="226"/>
      <c r="M39" s="172" t="str">
        <f>IF('Indicators Sheet_(IS)'!R13=Berechnung1!$G$5,1,IF('Indicators Sheet_(IS)'!R13=Berechnung1!$F$5,1,IF('Indicators Sheet_(IS)'!R13=Berechnung1!$E$5,2,IF('Indicators Sheet_(IS)'!R13=Berechnung1!$D$5,3,IF('Indicators Sheet_(IS)'!R13=Berechnung1!$C$5,4,"")))))</f>
        <v/>
      </c>
      <c r="N39" s="172"/>
      <c r="O39" s="172"/>
    </row>
    <row r="40" spans="1:15" s="1" customFormat="1" ht="13.5">
      <c r="A40" s="8"/>
      <c r="C40" s="41"/>
      <c r="D40" s="41"/>
      <c r="E40" s="455"/>
      <c r="F40" s="455"/>
      <c r="G40" s="455"/>
      <c r="H40" s="455"/>
      <c r="I40" s="455"/>
      <c r="J40" s="455"/>
      <c r="K40" s="455"/>
      <c r="L40" s="226"/>
      <c r="M40" s="172" t="str">
        <f>IF('Indicators Sheet_(IS)'!R14=Berechnung1!$G$5,1,IF('Indicators Sheet_(IS)'!R14=Berechnung1!$F$5,1,IF('Indicators Sheet_(IS)'!R14=Berechnung1!$E$5,2,IF('Indicators Sheet_(IS)'!R14=Berechnung1!$D$5,3,IF('Indicators Sheet_(IS)'!R14=Berechnung1!$C$5,4,"")))))</f>
        <v/>
      </c>
      <c r="N40" s="172"/>
      <c r="O40" s="172"/>
    </row>
    <row r="41" spans="1:15" s="1" customFormat="1" ht="13.5">
      <c r="A41" s="8"/>
      <c r="B41" s="1" t="s">
        <v>10</v>
      </c>
      <c r="C41" s="399" t="s">
        <v>246</v>
      </c>
      <c r="D41" s="73" t="s">
        <v>89</v>
      </c>
      <c r="E41" s="457">
        <v>0</v>
      </c>
      <c r="F41" s="457">
        <v>100000000</v>
      </c>
      <c r="G41" s="457">
        <v>-100000000</v>
      </c>
      <c r="H41" s="457">
        <v>100000000</v>
      </c>
      <c r="I41" s="457"/>
      <c r="J41" s="457">
        <v>-100000000</v>
      </c>
      <c r="K41" s="457">
        <v>1000000</v>
      </c>
      <c r="L41" s="73">
        <f>'Indicators Sheet_(IS)'!Q18</f>
        <v>0</v>
      </c>
      <c r="M41" s="73">
        <f>IF('Indicators Sheet_(IS)'!R18=Berechnung1!$G$5,1,IF('Indicators Sheet_(IS)'!R18=Berechnung1!$F$5,1,IF('Indicators Sheet_(IS)'!R18=Berechnung1!$E$5,2,IF('Indicators Sheet_(IS)'!R18=Berechnung1!$D$5,3,IF('Indicators Sheet_(IS)'!R18=Berechnung1!$C$5,4,"")))))</f>
        <v>1</v>
      </c>
      <c r="N41" s="73">
        <f>IF(M41&gt;1,M41+3,M41)</f>
        <v>1</v>
      </c>
      <c r="O41" s="73">
        <f>IF('Indicators Sheet_(IS)'!T18="",0,1)</f>
        <v>0</v>
      </c>
    </row>
    <row r="42" spans="1:15" s="1" customFormat="1" ht="13.5">
      <c r="A42" s="8"/>
      <c r="C42" s="41"/>
      <c r="D42" s="41"/>
      <c r="E42" s="510"/>
      <c r="F42" s="510"/>
      <c r="G42" s="510"/>
      <c r="H42" s="510"/>
      <c r="I42" s="510"/>
      <c r="J42" s="510"/>
      <c r="K42" s="510"/>
      <c r="L42" s="227"/>
      <c r="M42" s="41"/>
      <c r="N42" s="41"/>
      <c r="O42" s="41"/>
    </row>
    <row r="43" spans="1:15" s="1" customFormat="1" ht="13.5">
      <c r="A43" s="8"/>
      <c r="C43" s="41"/>
      <c r="D43" s="41"/>
      <c r="E43" s="510"/>
      <c r="F43" s="510"/>
      <c r="G43" s="510"/>
      <c r="H43" s="510"/>
      <c r="I43" s="510"/>
      <c r="J43" s="510"/>
      <c r="K43" s="510"/>
      <c r="L43" s="227"/>
      <c r="M43" s="41"/>
      <c r="N43" s="41"/>
      <c r="O43" s="41"/>
    </row>
    <row r="44" spans="1:15" s="1" customFormat="1" ht="13.5">
      <c r="A44" s="8"/>
      <c r="B44" s="22" t="s">
        <v>384</v>
      </c>
      <c r="C44" s="474" t="s">
        <v>800</v>
      </c>
      <c r="D44" s="472" t="s">
        <v>89</v>
      </c>
      <c r="E44" s="511">
        <v>0</v>
      </c>
      <c r="F44" s="511">
        <v>100000000</v>
      </c>
      <c r="G44" s="511">
        <v>-100000000</v>
      </c>
      <c r="H44" s="511">
        <v>100000000</v>
      </c>
      <c r="I44" s="511"/>
      <c r="J44" s="511">
        <v>-100000000</v>
      </c>
      <c r="K44" s="511">
        <v>1000000</v>
      </c>
      <c r="L44" s="472">
        <f>'Indicators Sheet_(IS)'!Q21</f>
        <v>0</v>
      </c>
      <c r="M44" s="472">
        <f>IF('Indicators Sheet_(IS)'!R21=Berechnung1!$H$5,5,IF('Indicators Sheet_(IS)'!R21=Berechnung1!$G$5,1,IF('Indicators Sheet_(IS)'!R21=Berechnung1!$F$5,1,IF('Indicators Sheet_(IS)'!R21=Berechnung1!$E$5,2,IF('Indicators Sheet_(IS)'!R21=Berechnung1!$D$5,3,IF('Indicators Sheet_(IS)'!R21=Berechnung1!$C$5,4,""))))))</f>
        <v>1</v>
      </c>
      <c r="N44" s="472">
        <f t="shared" ref="N44" si="1">IF(M44&gt;1,M44+3,M44)</f>
        <v>1</v>
      </c>
      <c r="O44" s="472">
        <f>IF('Indicators Sheet_(IS)'!T21="",0,1)</f>
        <v>0</v>
      </c>
    </row>
    <row r="45" spans="1:15" s="1" customFormat="1" ht="13.5">
      <c r="A45" s="8"/>
      <c r="C45" s="41"/>
      <c r="D45" s="41"/>
      <c r="E45" s="455"/>
      <c r="F45" s="455"/>
      <c r="G45" s="455"/>
      <c r="H45" s="455"/>
      <c r="I45" s="455"/>
      <c r="J45" s="455"/>
      <c r="K45" s="455"/>
      <c r="L45" s="226"/>
      <c r="M45" s="172"/>
      <c r="N45" s="172"/>
      <c r="O45" s="172"/>
    </row>
    <row r="46" spans="1:15" s="1" customFormat="1" ht="13.5">
      <c r="A46" s="8"/>
      <c r="C46" s="41"/>
      <c r="D46" s="41"/>
      <c r="E46" s="455"/>
      <c r="F46" s="455"/>
      <c r="G46" s="455"/>
      <c r="H46" s="455"/>
      <c r="I46" s="455"/>
      <c r="J46" s="455"/>
      <c r="K46" s="455"/>
      <c r="L46" s="226"/>
      <c r="M46" s="172"/>
      <c r="N46" s="172"/>
      <c r="O46" s="172"/>
    </row>
    <row r="47" spans="1:15" s="1" customFormat="1" ht="13.5">
      <c r="A47" s="8"/>
      <c r="C47" s="73">
        <v>2</v>
      </c>
      <c r="D47" s="73" t="s">
        <v>89</v>
      </c>
      <c r="E47" s="456">
        <v>0</v>
      </c>
      <c r="F47" s="456">
        <v>1</v>
      </c>
      <c r="G47" s="456">
        <v>0.95</v>
      </c>
      <c r="H47" s="456">
        <v>10000</v>
      </c>
      <c r="I47" s="457"/>
      <c r="J47" s="456">
        <v>-10000</v>
      </c>
      <c r="K47" s="456">
        <v>10000</v>
      </c>
      <c r="L47" s="225" t="str">
        <f>'Indicators Sheet_(IS)'!Q26</f>
        <v>n.d.</v>
      </c>
      <c r="M47" s="73">
        <f>IF('Indicators Sheet_(IS)'!R24=Berechnung1!$G$5,1,IF('Indicators Sheet_(IS)'!R24=Berechnung1!$F$5,1,IF('Indicators Sheet_(IS)'!R24=Berechnung1!$E$5,2,IF('Indicators Sheet_(IS)'!R24=Berechnung1!$D$5,3,IF('Indicators Sheet_(IS)'!R24=Berechnung1!$C$5,4,"")))))</f>
        <v>1</v>
      </c>
      <c r="N47" s="73">
        <f>IF(M47&gt;1,M47+3,M47)</f>
        <v>1</v>
      </c>
      <c r="O47" s="73">
        <f>IF('Indicators Sheet_(IS)'!T24="",0,1)</f>
        <v>0</v>
      </c>
    </row>
    <row r="48" spans="1:15" s="1" customFormat="1" ht="13.5">
      <c r="A48" s="8"/>
      <c r="C48" s="41"/>
      <c r="D48" s="41"/>
      <c r="E48" s="455"/>
      <c r="F48" s="455"/>
      <c r="G48" s="455"/>
      <c r="H48" s="455"/>
      <c r="I48" s="455"/>
      <c r="J48" s="455"/>
      <c r="K48" s="455"/>
      <c r="L48" s="226"/>
      <c r="M48" s="172"/>
      <c r="N48" s="172"/>
      <c r="O48" s="172"/>
    </row>
    <row r="49" spans="1:15" s="1" customFormat="1" ht="13.5">
      <c r="A49" s="8"/>
      <c r="C49" s="41"/>
      <c r="D49" s="41"/>
      <c r="E49" s="455"/>
      <c r="F49" s="455"/>
      <c r="G49" s="455"/>
      <c r="H49" s="455"/>
      <c r="I49" s="455"/>
      <c r="J49" s="455"/>
      <c r="K49" s="455"/>
      <c r="L49" s="226"/>
      <c r="M49" s="172"/>
      <c r="N49" s="172"/>
      <c r="O49" s="172"/>
    </row>
    <row r="50" spans="1:15" s="1" customFormat="1" ht="13.5">
      <c r="A50" s="8"/>
      <c r="C50" s="73">
        <v>3</v>
      </c>
      <c r="D50" s="73" t="s">
        <v>89</v>
      </c>
      <c r="E50" s="456">
        <v>0</v>
      </c>
      <c r="F50" s="456">
        <v>1</v>
      </c>
      <c r="G50" s="456">
        <v>-10000</v>
      </c>
      <c r="H50" s="456">
        <v>0.25</v>
      </c>
      <c r="I50" s="457"/>
      <c r="J50" s="456">
        <v>3.0099999999999998E-2</v>
      </c>
      <c r="K50" s="456">
        <v>10000</v>
      </c>
      <c r="L50" s="225" t="str">
        <f>'Indicators Sheet_(IS)'!Q29</f>
        <v>n.d.</v>
      </c>
      <c r="M50" s="73">
        <f>IF('Indicators Sheet_(IS)'!R27=Berechnung1!$G$5,1,IF('Indicators Sheet_(IS)'!R27=Berechnung1!$F$5,1,IF('Indicators Sheet_(IS)'!R27=Berechnung1!$E$5,2,IF('Indicators Sheet_(IS)'!R27=Berechnung1!$D$5,3,IF('Indicators Sheet_(IS)'!R27=Berechnung1!$C$5,4,"")))))</f>
        <v>1</v>
      </c>
      <c r="N50" s="73">
        <f>IF(M50&gt;1,M50+3,M50)</f>
        <v>1</v>
      </c>
      <c r="O50" s="73">
        <f>IF('Indicators Sheet_(IS)'!T27="",0,1)</f>
        <v>0</v>
      </c>
    </row>
    <row r="51" spans="1:15" s="1" customFormat="1" ht="13.5">
      <c r="A51" s="8"/>
      <c r="C51" s="72"/>
      <c r="D51" s="41"/>
      <c r="E51" s="454"/>
      <c r="F51" s="454"/>
      <c r="G51" s="454"/>
      <c r="H51" s="454"/>
      <c r="I51" s="454"/>
      <c r="J51" s="454"/>
      <c r="K51" s="454"/>
      <c r="L51" s="226"/>
      <c r="M51" s="172"/>
      <c r="N51" s="172"/>
      <c r="O51" s="172"/>
    </row>
    <row r="52" spans="1:15" s="1" customFormat="1" ht="15" customHeight="1">
      <c r="A52" s="8"/>
      <c r="C52" s="72"/>
      <c r="D52" s="41"/>
      <c r="E52" s="454"/>
      <c r="F52" s="454"/>
      <c r="G52" s="454"/>
      <c r="H52" s="454"/>
      <c r="I52" s="454"/>
      <c r="J52" s="454"/>
      <c r="K52" s="454"/>
      <c r="L52" s="226"/>
      <c r="M52" s="172"/>
      <c r="N52" s="172"/>
      <c r="O52" s="172"/>
    </row>
    <row r="53" spans="1:15" s="1" customFormat="1" ht="13.5">
      <c r="A53" s="8"/>
      <c r="C53" s="73">
        <v>4</v>
      </c>
      <c r="D53" s="73" t="s">
        <v>89</v>
      </c>
      <c r="E53" s="456">
        <v>0</v>
      </c>
      <c r="F53" s="456">
        <v>1</v>
      </c>
      <c r="G53" s="456">
        <v>-10000</v>
      </c>
      <c r="H53" s="456">
        <v>10000</v>
      </c>
      <c r="I53" s="456"/>
      <c r="J53" s="456">
        <v>0.05</v>
      </c>
      <c r="K53" s="456">
        <v>0.7</v>
      </c>
      <c r="L53" s="225" t="str">
        <f>'Indicators Sheet_(IS)'!Q32</f>
        <v>n.d.</v>
      </c>
      <c r="M53" s="73">
        <f>IF('Indicators Sheet_(IS)'!R30=Berechnung1!$G$5,1,IF('Indicators Sheet_(IS)'!R30=Berechnung1!$F$5,1,IF('Indicators Sheet_(IS)'!R30=Berechnung1!$E$5,2,IF('Indicators Sheet_(IS)'!R30=Berechnung1!$D$5,3,IF('Indicators Sheet_(IS)'!R30=Berechnung1!$C$5,4,"")))))</f>
        <v>1</v>
      </c>
      <c r="N53" s="73">
        <f>IF(M53&gt;1,M53+3,M53)</f>
        <v>1</v>
      </c>
      <c r="O53" s="73">
        <f>IF('Indicators Sheet_(IS)'!T30="",0,1)</f>
        <v>0</v>
      </c>
    </row>
    <row r="54" spans="1:15" s="1" customFormat="1" ht="13.5">
      <c r="A54" s="8"/>
      <c r="C54" s="72"/>
      <c r="D54" s="41"/>
      <c r="E54" s="454"/>
      <c r="F54" s="454"/>
      <c r="G54" s="454"/>
      <c r="H54" s="454"/>
      <c r="I54" s="454"/>
      <c r="J54" s="454"/>
      <c r="K54" s="454"/>
      <c r="L54" s="226"/>
      <c r="M54" s="172"/>
      <c r="N54" s="172"/>
      <c r="O54" s="172"/>
    </row>
    <row r="55" spans="1:15" s="1" customFormat="1" ht="13.5">
      <c r="A55" s="8"/>
      <c r="C55" s="72"/>
      <c r="D55" s="41"/>
      <c r="E55" s="454"/>
      <c r="F55" s="454"/>
      <c r="G55" s="454"/>
      <c r="H55" s="454"/>
      <c r="I55" s="454"/>
      <c r="J55" s="454"/>
      <c r="K55" s="454"/>
      <c r="L55" s="226"/>
      <c r="M55" s="172"/>
      <c r="N55" s="172"/>
      <c r="O55" s="172"/>
    </row>
    <row r="56" spans="1:15" s="1" customFormat="1" ht="13.5">
      <c r="A56" s="8"/>
      <c r="C56" s="73">
        <v>5</v>
      </c>
      <c r="D56" s="73" t="s">
        <v>89</v>
      </c>
      <c r="E56" s="456">
        <v>0</v>
      </c>
      <c r="F56" s="456">
        <v>1</v>
      </c>
      <c r="G56" s="456">
        <v>-10000</v>
      </c>
      <c r="H56" s="456">
        <v>10000</v>
      </c>
      <c r="I56" s="456"/>
      <c r="J56" s="456">
        <v>0.15</v>
      </c>
      <c r="K56" s="456">
        <v>10000</v>
      </c>
      <c r="L56" s="225" t="str">
        <f>'Indicators Sheet_(IS)'!Q35</f>
        <v>n.d.</v>
      </c>
      <c r="M56" s="73">
        <f>IF('Indicators Sheet_(IS)'!R33=Berechnung1!$G$5,1,IF('Indicators Sheet_(IS)'!R33=Berechnung1!$F$5,1,IF('Indicators Sheet_(IS)'!R33=Berechnung1!$E$5,2,IF('Indicators Sheet_(IS)'!R33=Berechnung1!$D$5,3,IF('Indicators Sheet_(IS)'!R33=Berechnung1!$C$5,4,"")))))</f>
        <v>1</v>
      </c>
      <c r="N56" s="73">
        <f>IF(M56&gt;1,M56+3,M56)</f>
        <v>1</v>
      </c>
      <c r="O56" s="73">
        <f>IF('Indicators Sheet_(IS)'!T33="",0,1)</f>
        <v>0</v>
      </c>
    </row>
    <row r="57" spans="1:15" s="1" customFormat="1" ht="13.5">
      <c r="A57" s="8"/>
      <c r="C57" s="72"/>
      <c r="D57" s="41"/>
      <c r="E57" s="454"/>
      <c r="F57" s="454"/>
      <c r="G57" s="454"/>
      <c r="H57" s="454"/>
      <c r="I57" s="454"/>
      <c r="J57" s="454"/>
      <c r="K57" s="454"/>
      <c r="L57" s="226"/>
      <c r="M57" s="172"/>
      <c r="N57" s="172"/>
      <c r="O57" s="172"/>
    </row>
    <row r="58" spans="1:15" s="1" customFormat="1" ht="13.5">
      <c r="A58" s="8"/>
      <c r="C58" s="72"/>
      <c r="D58" s="41"/>
      <c r="E58" s="454"/>
      <c r="F58" s="454"/>
      <c r="G58" s="454"/>
      <c r="H58" s="454"/>
      <c r="I58" s="454"/>
      <c r="J58" s="454"/>
      <c r="K58" s="454"/>
      <c r="L58" s="226"/>
      <c r="M58" s="172"/>
      <c r="N58" s="172"/>
      <c r="O58" s="172"/>
    </row>
    <row r="59" spans="1:15" s="1" customFormat="1" ht="13.5">
      <c r="A59" s="8"/>
      <c r="C59" s="73">
        <v>6</v>
      </c>
      <c r="D59" s="73" t="s">
        <v>89</v>
      </c>
      <c r="E59" s="456">
        <v>0</v>
      </c>
      <c r="F59" s="456">
        <v>100</v>
      </c>
      <c r="G59" s="456">
        <v>0.05</v>
      </c>
      <c r="H59" s="456">
        <v>10000</v>
      </c>
      <c r="I59" s="456"/>
      <c r="J59" s="456">
        <v>-10000</v>
      </c>
      <c r="K59" s="456">
        <v>0.8</v>
      </c>
      <c r="L59" s="225" t="str">
        <f>'Indicators Sheet_(IS)'!Q38</f>
        <v>n.d.</v>
      </c>
      <c r="M59" s="73">
        <f>IF('Indicators Sheet_(IS)'!R36=Berechnung1!$G$5,1,IF('Indicators Sheet_(IS)'!R36=Berechnung1!$F$5,1,IF('Indicators Sheet_(IS)'!R36=Berechnung1!$E$5,2,IF('Indicators Sheet_(IS)'!R36=Berechnung1!$D$5,3,IF('Indicators Sheet_(IS)'!R36=Berechnung1!$C$5,4,"")))))</f>
        <v>1</v>
      </c>
      <c r="N59" s="73">
        <f>IF(M59&gt;1,M59+3,M59)</f>
        <v>1</v>
      </c>
      <c r="O59" s="73">
        <f>IF('Indicators Sheet_(IS)'!T36="",0,1)</f>
        <v>0</v>
      </c>
    </row>
    <row r="60" spans="1:15" s="1" customFormat="1" ht="13.5">
      <c r="A60" s="8"/>
      <c r="C60" s="72"/>
      <c r="D60" s="41"/>
      <c r="E60" s="454"/>
      <c r="F60" s="454"/>
      <c r="G60" s="454"/>
      <c r="H60" s="454"/>
      <c r="I60" s="454"/>
      <c r="J60" s="454"/>
      <c r="K60" s="454"/>
      <c r="L60" s="226"/>
      <c r="M60" s="172"/>
      <c r="N60" s="172"/>
      <c r="O60" s="172"/>
    </row>
    <row r="61" spans="1:15" s="1" customFormat="1" ht="13.5">
      <c r="A61" s="8"/>
      <c r="C61" s="72"/>
      <c r="D61" s="41"/>
      <c r="E61" s="454"/>
      <c r="F61" s="454"/>
      <c r="G61" s="454"/>
      <c r="H61" s="454"/>
      <c r="I61" s="454"/>
      <c r="J61" s="454"/>
      <c r="K61" s="454"/>
      <c r="L61" s="226"/>
      <c r="M61" s="172"/>
      <c r="N61" s="172"/>
      <c r="O61" s="172"/>
    </row>
    <row r="62" spans="1:15" s="1" customFormat="1" ht="13.5">
      <c r="A62" s="8"/>
      <c r="C62" s="73">
        <v>7</v>
      </c>
      <c r="D62" s="73" t="s">
        <v>89</v>
      </c>
      <c r="E62" s="456">
        <v>0</v>
      </c>
      <c r="F62" s="456">
        <v>1</v>
      </c>
      <c r="G62" s="456">
        <v>0.9</v>
      </c>
      <c r="H62" s="456">
        <v>10000</v>
      </c>
      <c r="I62" s="456"/>
      <c r="J62" s="456">
        <v>-10000</v>
      </c>
      <c r="K62" s="456">
        <v>10000</v>
      </c>
      <c r="L62" s="225" t="str">
        <f>'Indicators Sheet_(IS)'!Q41</f>
        <v>n.d.</v>
      </c>
      <c r="M62" s="73">
        <f>IF('Indicators Sheet_(IS)'!R39=Berechnung1!$G$5,1,IF('Indicators Sheet_(IS)'!R39=Berechnung1!$F$5,1,IF('Indicators Sheet_(IS)'!R39=Berechnung1!$E$5,2,IF('Indicators Sheet_(IS)'!R39=Berechnung1!$D$5,3,IF('Indicators Sheet_(IS)'!R39=Berechnung1!$C$5,4,"")))))</f>
        <v>1</v>
      </c>
      <c r="N62" s="73">
        <f>IF(M62&gt;1,M62+3,M62)</f>
        <v>1</v>
      </c>
      <c r="O62" s="73">
        <f>IF('Indicators Sheet_(IS)'!T39="",0,1)</f>
        <v>0</v>
      </c>
    </row>
    <row r="63" spans="1:15" s="1" customFormat="1" ht="13.5">
      <c r="A63" s="8"/>
      <c r="C63" s="72"/>
      <c r="D63" s="41"/>
      <c r="E63" s="454"/>
      <c r="F63" s="454"/>
      <c r="G63" s="454"/>
      <c r="H63" s="454"/>
      <c r="I63" s="454"/>
      <c r="J63" s="454"/>
      <c r="K63" s="454"/>
      <c r="L63" s="227"/>
      <c r="M63" s="172"/>
      <c r="N63" s="172"/>
      <c r="O63" s="172"/>
    </row>
    <row r="64" spans="1:15" s="1" customFormat="1" ht="13.5">
      <c r="A64" s="8"/>
      <c r="C64" s="72"/>
      <c r="D64" s="41"/>
      <c r="E64" s="454"/>
      <c r="F64" s="454"/>
      <c r="G64" s="454"/>
      <c r="H64" s="454"/>
      <c r="I64" s="454"/>
      <c r="J64" s="454"/>
      <c r="K64" s="454"/>
      <c r="L64" s="227"/>
      <c r="M64" s="172"/>
      <c r="N64" s="172"/>
      <c r="O64" s="172"/>
    </row>
    <row r="65" spans="1:15" s="1" customFormat="1" ht="13.5">
      <c r="A65" s="8"/>
      <c r="B65" s="1" t="s">
        <v>10</v>
      </c>
      <c r="C65" s="399">
        <v>8</v>
      </c>
      <c r="D65" s="73" t="s">
        <v>89</v>
      </c>
      <c r="E65" s="457">
        <v>0</v>
      </c>
      <c r="F65" s="457">
        <v>100000000</v>
      </c>
      <c r="G65" s="457">
        <v>30</v>
      </c>
      <c r="H65" s="457">
        <v>1000000</v>
      </c>
      <c r="I65" s="457"/>
      <c r="J65" s="457">
        <v>-100000000</v>
      </c>
      <c r="K65" s="457">
        <v>1000000</v>
      </c>
      <c r="L65" s="73">
        <f>'Indicators Sheet_(IS)'!Q42</f>
        <v>0</v>
      </c>
      <c r="M65" s="73">
        <f>IF('Indicators Sheet_(IS)'!R42=Berechnung1!$G$5,1,IF('Indicators Sheet_(IS)'!R42=Berechnung1!$F$5,1,IF('Indicators Sheet_(IS)'!R42=Berechnung1!$E$5,2,IF('Indicators Sheet_(IS)'!R42=Berechnung1!$D$5,3,IF('Indicators Sheet_(IS)'!R42=Berechnung1!$C$5,4,"")))))</f>
        <v>1</v>
      </c>
      <c r="N65" s="73">
        <f>IF(M65&gt;1,M65+3,M65)</f>
        <v>1</v>
      </c>
      <c r="O65" s="73">
        <f>IF('Indicators Sheet_(IS)'!T42="",0,1)</f>
        <v>0</v>
      </c>
    </row>
    <row r="66" spans="1:15" s="1" customFormat="1" ht="13.5">
      <c r="A66" s="8"/>
      <c r="C66" s="41"/>
      <c r="D66" s="41"/>
      <c r="E66" s="455"/>
      <c r="F66" s="455"/>
      <c r="G66" s="455"/>
      <c r="H66" s="455"/>
      <c r="I66" s="455"/>
      <c r="J66" s="455"/>
      <c r="K66" s="455"/>
      <c r="L66" s="226"/>
      <c r="M66" s="172"/>
      <c r="N66" s="172"/>
      <c r="O66" s="172"/>
    </row>
    <row r="67" spans="1:15" s="1" customFormat="1" ht="13.5">
      <c r="A67" s="8"/>
      <c r="C67" s="41"/>
      <c r="D67" s="41"/>
      <c r="E67" s="455"/>
      <c r="F67" s="455"/>
      <c r="G67" s="455"/>
      <c r="H67" s="455"/>
      <c r="I67" s="455"/>
      <c r="J67" s="455"/>
      <c r="K67" s="455"/>
      <c r="L67" s="226"/>
      <c r="M67" s="172"/>
      <c r="N67" s="172"/>
      <c r="O67" s="172"/>
    </row>
    <row r="68" spans="1:15" s="1" customFormat="1" ht="13.5">
      <c r="A68" s="8"/>
      <c r="B68" s="1" t="s">
        <v>10</v>
      </c>
      <c r="C68" s="399">
        <v>9</v>
      </c>
      <c r="D68" s="73" t="s">
        <v>89</v>
      </c>
      <c r="E68" s="457">
        <v>0</v>
      </c>
      <c r="F68" s="457">
        <v>100000000</v>
      </c>
      <c r="G68" s="457">
        <v>100</v>
      </c>
      <c r="H68" s="457">
        <v>1000000</v>
      </c>
      <c r="I68" s="457"/>
      <c r="J68" s="457">
        <v>-100000000</v>
      </c>
      <c r="K68" s="457">
        <v>1000000</v>
      </c>
      <c r="L68" s="73">
        <f>'Indicators Sheet_(IS)'!Q45</f>
        <v>0</v>
      </c>
      <c r="M68" s="73">
        <f>IF('Indicators Sheet_(IS)'!R45=Berechnung1!$G$5,1,IF('Indicators Sheet_(IS)'!R45=Berechnung1!$F$5,1,IF('Indicators Sheet_(IS)'!R45=Berechnung1!$E$5,2,IF('Indicators Sheet_(IS)'!R45=Berechnung1!$D$5,3,IF('Indicators Sheet_(IS)'!R45=Berechnung1!$C$5,4,"")))))</f>
        <v>1</v>
      </c>
      <c r="N68" s="73">
        <f>IF(M68&gt;1,M68+3,M68)</f>
        <v>1</v>
      </c>
      <c r="O68" s="73">
        <f>IF('Indicators Sheet_(IS)'!T45="",0,1)</f>
        <v>0</v>
      </c>
    </row>
    <row r="69" spans="1:15" s="1" customFormat="1" ht="13.5">
      <c r="A69" s="8"/>
      <c r="C69" s="72"/>
      <c r="D69" s="41"/>
      <c r="E69" s="454"/>
      <c r="F69" s="454"/>
      <c r="G69" s="454"/>
      <c r="H69" s="454"/>
      <c r="I69" s="454"/>
      <c r="J69" s="454"/>
      <c r="K69" s="454"/>
      <c r="L69" s="227"/>
      <c r="M69" s="41"/>
      <c r="N69" s="41"/>
      <c r="O69" s="41"/>
    </row>
    <row r="70" spans="1:15" s="1" customFormat="1" ht="13.5">
      <c r="A70" s="8"/>
      <c r="C70" s="72"/>
      <c r="D70" s="41"/>
      <c r="E70" s="454"/>
      <c r="F70" s="454"/>
      <c r="G70" s="454"/>
      <c r="H70" s="454"/>
      <c r="I70" s="454"/>
      <c r="J70" s="454"/>
      <c r="K70" s="454"/>
      <c r="L70" s="227"/>
      <c r="M70" s="41"/>
      <c r="N70" s="41"/>
      <c r="O70" s="41"/>
    </row>
    <row r="71" spans="1:15" s="1" customFormat="1" ht="13.5">
      <c r="A71" s="8"/>
      <c r="C71" s="406">
        <v>10</v>
      </c>
      <c r="D71" s="406" t="s">
        <v>89</v>
      </c>
      <c r="E71" s="459">
        <v>0</v>
      </c>
      <c r="F71" s="459">
        <v>1</v>
      </c>
      <c r="G71" s="459">
        <v>-10000</v>
      </c>
      <c r="H71" s="459">
        <v>0.03</v>
      </c>
      <c r="I71" s="459"/>
      <c r="J71" s="459">
        <v>-10000</v>
      </c>
      <c r="K71" s="459">
        <v>10000</v>
      </c>
      <c r="L71" s="407" t="str">
        <f>'Indicators Sheet_(IS)'!Q50</f>
        <v>n.d.</v>
      </c>
      <c r="M71" s="406">
        <f>IF('Indicators Sheet_(IS)'!R48=Berechnung1!$G$5,1,IF('Indicators Sheet_(IS)'!R48=Berechnung1!$F$5,1,IF('Indicators Sheet_(IS)'!R48=Berechnung1!$E$5,2,IF('Indicators Sheet_(IS)'!R48=Berechnung1!$D$5,3,IF('Indicators Sheet_(IS)'!R48=Berechnung1!$C$5,4,"")))))</f>
        <v>1</v>
      </c>
      <c r="N71" s="406">
        <f>IF(M71&gt;1,M71+3,M71)</f>
        <v>1</v>
      </c>
      <c r="O71" s="406">
        <f>IF('Indicators Sheet_(IS)'!T48="",0,1)</f>
        <v>0</v>
      </c>
    </row>
    <row r="72" spans="1:15" s="1" customFormat="1" ht="13.5">
      <c r="A72" s="8"/>
      <c r="C72" s="72"/>
      <c r="D72" s="41"/>
      <c r="E72" s="454"/>
      <c r="F72" s="454"/>
      <c r="G72" s="454"/>
      <c r="H72" s="454"/>
      <c r="I72" s="454"/>
      <c r="J72" s="454"/>
      <c r="K72" s="454"/>
      <c r="L72" s="227"/>
      <c r="M72" s="41"/>
      <c r="N72" s="41"/>
      <c r="O72" s="41"/>
    </row>
    <row r="73" spans="1:15" s="1" customFormat="1" ht="13.5">
      <c r="A73" s="8"/>
      <c r="C73" s="72"/>
      <c r="D73" s="41"/>
      <c r="E73" s="454"/>
      <c r="F73" s="454"/>
      <c r="G73" s="454"/>
      <c r="H73" s="454"/>
      <c r="I73" s="454"/>
      <c r="J73" s="454"/>
      <c r="K73" s="454"/>
      <c r="L73" s="227"/>
      <c r="M73" s="41"/>
      <c r="N73" s="41"/>
      <c r="O73" s="41"/>
    </row>
    <row r="74" spans="1:15" s="1" customFormat="1" ht="13.5">
      <c r="A74" s="8"/>
      <c r="C74" s="406">
        <v>11</v>
      </c>
      <c r="D74" s="406" t="s">
        <v>89</v>
      </c>
      <c r="E74" s="459">
        <v>0</v>
      </c>
      <c r="F74" s="459">
        <v>1</v>
      </c>
      <c r="G74" s="459">
        <v>-10000</v>
      </c>
      <c r="H74" s="459">
        <v>0.03</v>
      </c>
      <c r="I74" s="459"/>
      <c r="J74" s="459">
        <v>-10000</v>
      </c>
      <c r="K74" s="459">
        <v>10000</v>
      </c>
      <c r="L74" s="407" t="str">
        <f>'Indicators Sheet_(IS)'!Q53</f>
        <v>n.d.</v>
      </c>
      <c r="M74" s="406">
        <f>IF('Indicators Sheet_(IS)'!R51=Berechnung1!$G$5,1,IF('Indicators Sheet_(IS)'!R51=Berechnung1!$F$5,1,IF('Indicators Sheet_(IS)'!R51=Berechnung1!$E$5,2,IF('Indicators Sheet_(IS)'!R51=Berechnung1!$D$5,3,IF('Indicators Sheet_(IS)'!R51=Berechnung1!$C$5,4,"")))))</f>
        <v>1</v>
      </c>
      <c r="N74" s="406">
        <f>IF(M74&gt;1,M74+3,M74)</f>
        <v>1</v>
      </c>
      <c r="O74" s="406">
        <f>IF('Indicators Sheet_(IS)'!T51="",0,1)</f>
        <v>0</v>
      </c>
    </row>
    <row r="75" spans="1:15" s="1" customFormat="1" ht="13.5">
      <c r="A75" s="8"/>
      <c r="C75" s="72"/>
      <c r="D75" s="41"/>
      <c r="E75" s="454"/>
      <c r="F75" s="454"/>
      <c r="G75" s="454"/>
      <c r="H75" s="454"/>
      <c r="I75" s="454"/>
      <c r="J75" s="454"/>
      <c r="K75" s="454"/>
      <c r="L75" s="227"/>
      <c r="M75" s="172"/>
      <c r="N75" s="172"/>
      <c r="O75" s="172"/>
    </row>
    <row r="76" spans="1:15" s="1" customFormat="1" ht="13.5">
      <c r="A76" s="8"/>
      <c r="C76" s="72"/>
      <c r="D76" s="41"/>
      <c r="E76" s="454"/>
      <c r="F76" s="454"/>
      <c r="G76" s="454"/>
      <c r="H76" s="454"/>
      <c r="I76" s="454"/>
      <c r="J76" s="454"/>
      <c r="K76" s="454"/>
      <c r="L76" s="227"/>
      <c r="M76" s="172"/>
      <c r="N76" s="172"/>
      <c r="O76" s="172"/>
    </row>
    <row r="77" spans="1:15" s="1" customFormat="1" ht="13.5">
      <c r="A77" s="8"/>
      <c r="C77" s="73">
        <v>12</v>
      </c>
      <c r="D77" s="73" t="s">
        <v>89</v>
      </c>
      <c r="E77" s="456">
        <v>0</v>
      </c>
      <c r="F77" s="456">
        <v>1</v>
      </c>
      <c r="G77" s="456">
        <v>-10000</v>
      </c>
      <c r="H77" s="456">
        <v>0.03</v>
      </c>
      <c r="I77" s="456"/>
      <c r="J77" s="459">
        <v>-10000</v>
      </c>
      <c r="K77" s="459">
        <v>10000</v>
      </c>
      <c r="L77" s="225" t="str">
        <f>'Indicators Sheet_(IS)'!Q56</f>
        <v>n.d.</v>
      </c>
      <c r="M77" s="73">
        <f>IF('Indicators Sheet_(IS)'!R54=Berechnung1!$G$5,1,IF('Indicators Sheet_(IS)'!R54=Berechnung1!$F$5,1,IF('Indicators Sheet_(IS)'!R54=Berechnung1!$E$5,2,IF('Indicators Sheet_(IS)'!R54=Berechnung1!$D$5,3,IF('Indicators Sheet_(IS)'!R54=Berechnung1!$C$5,4,"")))))</f>
        <v>1</v>
      </c>
      <c r="N77" s="73">
        <f>IF(M77&gt;1,M77+3,M77)</f>
        <v>1</v>
      </c>
      <c r="O77" s="73">
        <f>IF('Indicators Sheet_(IS)'!T54="",0,1)</f>
        <v>0</v>
      </c>
    </row>
    <row r="78" spans="1:15" s="1" customFormat="1" ht="13.5">
      <c r="A78" s="8"/>
      <c r="C78" s="72"/>
      <c r="D78" s="41"/>
      <c r="E78" s="454"/>
      <c r="F78" s="454"/>
      <c r="G78" s="454"/>
      <c r="H78" s="454"/>
      <c r="I78" s="454"/>
      <c r="J78" s="454"/>
      <c r="K78" s="454"/>
      <c r="L78" s="227"/>
      <c r="M78" s="41"/>
      <c r="N78" s="41"/>
      <c r="O78" s="41"/>
    </row>
    <row r="79" spans="1:15" s="1" customFormat="1" ht="13.5">
      <c r="A79" s="8"/>
      <c r="C79" s="72"/>
      <c r="D79" s="41"/>
      <c r="E79" s="458"/>
      <c r="F79" s="458"/>
      <c r="G79" s="458"/>
      <c r="H79" s="458"/>
      <c r="I79" s="458"/>
      <c r="J79" s="458"/>
      <c r="K79" s="458"/>
      <c r="L79" s="227"/>
      <c r="M79" s="41"/>
      <c r="N79" s="41"/>
      <c r="O79" s="41"/>
    </row>
    <row r="80" spans="1:15" s="1" customFormat="1" ht="13.5">
      <c r="A80" s="8"/>
      <c r="B80" s="173"/>
      <c r="C80" s="73">
        <v>13</v>
      </c>
      <c r="D80" s="73" t="s">
        <v>89</v>
      </c>
      <c r="E80" s="456">
        <v>0</v>
      </c>
      <c r="F80" s="456">
        <v>1</v>
      </c>
      <c r="G80" s="456">
        <v>0.8</v>
      </c>
      <c r="H80" s="456">
        <v>10000</v>
      </c>
      <c r="I80" s="456"/>
      <c r="J80" s="456">
        <v>-10000</v>
      </c>
      <c r="K80" s="456">
        <v>10000</v>
      </c>
      <c r="L80" s="225" t="str">
        <f>'Indicators Sheet_(IS)'!Q59</f>
        <v>n.d.</v>
      </c>
      <c r="M80" s="73">
        <f>IF('Indicators Sheet_(IS)'!R57=Berechnung1!$G$5,1,IF('Indicators Sheet_(IS)'!R57=Berechnung1!$F$5,1,IF('Indicators Sheet_(IS)'!R57=Berechnung1!$E$5,2,IF('Indicators Sheet_(IS)'!R57=Berechnung1!$D$5,3,IF('Indicators Sheet_(IS)'!R57=Berechnung1!$C$5,4,"")))))</f>
        <v>1</v>
      </c>
      <c r="N80" s="73">
        <f>IF(M80&gt;1,M80+3,M80)</f>
        <v>1</v>
      </c>
      <c r="O80" s="73">
        <f>IF('Indicators Sheet_(IS)'!T57="",0,1)</f>
        <v>0</v>
      </c>
    </row>
    <row r="81" spans="1:15" s="1" customFormat="1" ht="13.5">
      <c r="A81" s="8"/>
      <c r="B81" s="173"/>
      <c r="C81" s="72"/>
      <c r="D81" s="41"/>
      <c r="E81" s="454"/>
      <c r="F81" s="454"/>
      <c r="G81" s="454"/>
      <c r="H81" s="454"/>
      <c r="I81" s="454"/>
      <c r="J81" s="454"/>
      <c r="K81" s="454"/>
      <c r="L81" s="227"/>
      <c r="M81" s="41"/>
      <c r="N81" s="41"/>
      <c r="O81" s="41"/>
    </row>
    <row r="82" spans="1:15" s="1" customFormat="1" ht="13.5">
      <c r="A82" s="8"/>
      <c r="B82" s="173"/>
      <c r="C82" s="72"/>
      <c r="D82" s="41"/>
      <c r="E82" s="454"/>
      <c r="F82" s="454"/>
      <c r="G82" s="454"/>
      <c r="H82" s="454"/>
      <c r="I82" s="454"/>
      <c r="J82" s="454"/>
      <c r="K82" s="454"/>
      <c r="L82" s="227"/>
      <c r="M82" s="41"/>
      <c r="N82" s="41"/>
      <c r="O82" s="41"/>
    </row>
    <row r="83" spans="1:15" s="1" customFormat="1" ht="13.5">
      <c r="A83" s="8"/>
      <c r="B83" s="1" t="s">
        <v>384</v>
      </c>
      <c r="C83" s="472">
        <v>14</v>
      </c>
      <c r="D83" s="472" t="s">
        <v>89</v>
      </c>
      <c r="E83" s="475">
        <v>0</v>
      </c>
      <c r="F83" s="475">
        <v>1</v>
      </c>
      <c r="G83" s="475">
        <v>-10000</v>
      </c>
      <c r="H83" s="475">
        <v>10000</v>
      </c>
      <c r="I83" s="475"/>
      <c r="J83" s="475">
        <v>0.8</v>
      </c>
      <c r="K83" s="475">
        <v>10000</v>
      </c>
      <c r="L83" s="473" t="str">
        <f>'Indicators Sheet_(IS)'!Q62</f>
        <v>n.d.</v>
      </c>
      <c r="M83" s="474">
        <f>IF('Indicators Sheet_(IS)'!R60=Berechnung1!$H$5,5,IF('Indicators Sheet_(IS)'!R60=Berechnung1!$G$5,1,IF('Indicators Sheet_(IS)'!R60=Berechnung1!$F$5,1,IF('Indicators Sheet_(IS)'!R60=Berechnung1!$E$5,2,IF('Indicators Sheet_(IS)'!R60=Berechnung1!$D$5,3,IF('Indicators Sheet_(IS)'!R60=Berechnung1!$C$5,4,""))))))</f>
        <v>1</v>
      </c>
      <c r="N83" s="472">
        <f>IF(M83&gt;1,M83+3,M83)</f>
        <v>1</v>
      </c>
      <c r="O83" s="472">
        <f>IF('Indicators Sheet_(IS)'!T60="",0,1)</f>
        <v>0</v>
      </c>
    </row>
    <row r="84" spans="1:15" s="1" customFormat="1" ht="13.5">
      <c r="A84" s="8"/>
      <c r="B84" s="173"/>
      <c r="C84" s="41"/>
      <c r="D84" s="41"/>
      <c r="E84" s="458"/>
      <c r="F84" s="458"/>
      <c r="G84" s="458"/>
      <c r="H84" s="458"/>
      <c r="I84" s="458"/>
      <c r="J84" s="458"/>
      <c r="K84" s="458"/>
      <c r="L84" s="227"/>
      <c r="M84" s="471"/>
      <c r="N84" s="41"/>
      <c r="O84" s="41"/>
    </row>
    <row r="85" spans="1:15" s="1" customFormat="1" ht="13.5">
      <c r="A85" s="8"/>
      <c r="B85" s="173"/>
      <c r="C85" s="41"/>
      <c r="D85" s="41"/>
      <c r="E85" s="458"/>
      <c r="F85" s="458"/>
      <c r="G85" s="458"/>
      <c r="H85" s="458"/>
      <c r="I85" s="458"/>
      <c r="J85" s="458"/>
      <c r="K85" s="458"/>
      <c r="L85" s="227"/>
      <c r="M85" s="471"/>
      <c r="N85" s="41"/>
      <c r="O85" s="41"/>
    </row>
    <row r="86" spans="1:15">
      <c r="B86" s="1" t="s">
        <v>384</v>
      </c>
      <c r="C86" s="472">
        <v>15</v>
      </c>
      <c r="D86" s="472" t="s">
        <v>89</v>
      </c>
      <c r="E86" s="475">
        <v>0</v>
      </c>
      <c r="F86" s="475">
        <v>1</v>
      </c>
      <c r="G86" s="475">
        <v>-10000</v>
      </c>
      <c r="H86" s="475">
        <v>10000</v>
      </c>
      <c r="I86" s="475"/>
      <c r="J86" s="475">
        <v>0.8</v>
      </c>
      <c r="K86" s="475">
        <v>10000</v>
      </c>
      <c r="L86" s="473" t="str">
        <f>'Indicators Sheet_(IS)'!Q65</f>
        <v>n.d.</v>
      </c>
      <c r="M86" s="474">
        <f>IF('Indicators Sheet_(IS)'!R63=Berechnung1!$H$5,5,IF('Indicators Sheet_(IS)'!R63=Berechnung1!$G$5,1,IF('Indicators Sheet_(IS)'!R63=Berechnung1!$F$5,1,IF('Indicators Sheet_(IS)'!R63=Berechnung1!$E$5,2,IF('Indicators Sheet_(IS)'!R63=Berechnung1!$D$5,3,IF('Indicators Sheet_(IS)'!R63=Berechnung1!$C$5,4,""))))))</f>
        <v>1</v>
      </c>
      <c r="N86" s="472">
        <f>IF(M86&gt;1,M86+3,M86)</f>
        <v>1</v>
      </c>
      <c r="O86" s="472">
        <f>IF('Indicators Sheet_(IS)'!T63="",0,1)</f>
        <v>0</v>
      </c>
    </row>
    <row r="87" spans="1:15">
      <c r="C87" s="41"/>
      <c r="D87" s="41"/>
      <c r="E87" s="458"/>
      <c r="F87" s="458"/>
      <c r="G87" s="458"/>
      <c r="H87" s="458"/>
      <c r="I87" s="458"/>
      <c r="J87" s="458"/>
      <c r="K87" s="458"/>
      <c r="L87" s="227"/>
      <c r="M87" s="471"/>
      <c r="N87" s="41"/>
      <c r="O87" s="41"/>
    </row>
    <row r="88" spans="1:15">
      <c r="C88" s="41"/>
      <c r="D88" s="41"/>
      <c r="E88" s="458"/>
      <c r="F88" s="458"/>
      <c r="G88" s="458"/>
      <c r="H88" s="458"/>
      <c r="I88" s="458"/>
      <c r="J88" s="458"/>
      <c r="K88" s="458"/>
      <c r="L88" s="227"/>
      <c r="M88" s="471"/>
      <c r="N88" s="41"/>
      <c r="O88" s="41"/>
    </row>
    <row r="89" spans="1:15">
      <c r="B89" s="1" t="s">
        <v>384</v>
      </c>
      <c r="C89" s="472">
        <v>16</v>
      </c>
      <c r="D89" s="472" t="s">
        <v>89</v>
      </c>
      <c r="E89" s="475">
        <v>0</v>
      </c>
      <c r="F89" s="475">
        <v>1</v>
      </c>
      <c r="G89" s="475">
        <v>-10000</v>
      </c>
      <c r="H89" s="475">
        <v>10000</v>
      </c>
      <c r="I89" s="475"/>
      <c r="J89" s="475">
        <v>0.8</v>
      </c>
      <c r="K89" s="475">
        <v>10000</v>
      </c>
      <c r="L89" s="473" t="str">
        <f>'Indicators Sheet_(IS)'!Q68</f>
        <v>n.d.</v>
      </c>
      <c r="M89" s="474">
        <f>IF('Indicators Sheet_(IS)'!R66=Berechnung1!$H$5,5,IF('Indicators Sheet_(IS)'!R66=Berechnung1!$G$5,1,IF('Indicators Sheet_(IS)'!R66=Berechnung1!$F$5,1,IF('Indicators Sheet_(IS)'!R66=Berechnung1!$E$5,2,IF('Indicators Sheet_(IS)'!R66=Berechnung1!$D$5,3,IF('Indicators Sheet_(IS)'!R66=Berechnung1!$C$5,4,""))))))</f>
        <v>1</v>
      </c>
      <c r="N89" s="472">
        <f t="shared" ref="N89:N95" si="2">IF(M89&gt;1,M89+3,M89)</f>
        <v>1</v>
      </c>
      <c r="O89" s="472">
        <f>IF('Indicators Sheet_(IS)'!T66="",0,1)</f>
        <v>0</v>
      </c>
    </row>
    <row r="90" spans="1:15">
      <c r="B90" s="33"/>
      <c r="C90" s="41"/>
      <c r="D90" s="41"/>
      <c r="E90" s="458"/>
      <c r="F90" s="458"/>
      <c r="G90" s="458"/>
      <c r="H90" s="458"/>
      <c r="I90" s="458"/>
      <c r="J90" s="458"/>
      <c r="K90" s="458"/>
      <c r="L90" s="227"/>
      <c r="M90" s="471"/>
      <c r="N90" s="41"/>
      <c r="O90" s="41"/>
    </row>
    <row r="91" spans="1:15">
      <c r="C91" s="41"/>
      <c r="D91" s="41"/>
      <c r="E91" s="458"/>
      <c r="F91" s="458"/>
      <c r="G91" s="458"/>
      <c r="H91" s="458"/>
      <c r="I91" s="458"/>
      <c r="J91" s="458"/>
      <c r="K91" s="458"/>
      <c r="L91" s="227"/>
      <c r="M91" s="471"/>
      <c r="N91" s="41"/>
      <c r="O91" s="41"/>
    </row>
    <row r="92" spans="1:15">
      <c r="B92" s="1" t="s">
        <v>384</v>
      </c>
      <c r="C92" s="472">
        <v>17</v>
      </c>
      <c r="D92" s="472" t="s">
        <v>89</v>
      </c>
      <c r="E92" s="475">
        <v>0</v>
      </c>
      <c r="F92" s="475">
        <v>1</v>
      </c>
      <c r="G92" s="475">
        <v>-10000</v>
      </c>
      <c r="H92" s="475">
        <v>10000</v>
      </c>
      <c r="I92" s="475"/>
      <c r="J92" s="475">
        <v>0.8</v>
      </c>
      <c r="K92" s="475">
        <v>10000</v>
      </c>
      <c r="L92" s="473" t="str">
        <f>'Indicators Sheet_(IS)'!Q71</f>
        <v>n.d.</v>
      </c>
      <c r="M92" s="474">
        <f>IF('Indicators Sheet_(IS)'!R69=Berechnung1!$H$5,5,IF('Indicators Sheet_(IS)'!R69=Berechnung1!$G$5,1,IF('Indicators Sheet_(IS)'!R69=Berechnung1!$F$5,1,IF('Indicators Sheet_(IS)'!R69=Berechnung1!$E$5,2,IF('Indicators Sheet_(IS)'!R69=Berechnung1!$D$5,3,IF('Indicators Sheet_(IS)'!R69=Berechnung1!$C$5,4,""))))))</f>
        <v>1</v>
      </c>
      <c r="N92" s="472">
        <f t="shared" si="2"/>
        <v>1</v>
      </c>
      <c r="O92" s="472">
        <f>IF('Indicators Sheet_(IS)'!T118="",0,1)</f>
        <v>0</v>
      </c>
    </row>
    <row r="93" spans="1:15">
      <c r="C93" s="41"/>
      <c r="D93" s="41"/>
      <c r="E93" s="458"/>
      <c r="F93" s="458"/>
      <c r="G93" s="458"/>
      <c r="H93" s="458"/>
      <c r="I93" s="458"/>
      <c r="J93" s="458"/>
      <c r="K93" s="458"/>
      <c r="L93" s="227"/>
      <c r="M93" s="471" t="str">
        <f>IF('Indicators Sheet_(IS)'!R70=Berechnung1!$H$5,5,IF('Indicators Sheet_(IS)'!R70=Berechnung1!$G$5,1,IF('Indicators Sheet_(IS)'!R70=Berechnung1!$F$5,1,IF('Indicators Sheet_(IS)'!R70=Berechnung1!$E$5,2,IF('Indicators Sheet_(IS)'!R70=Berechnung1!$D$5,3,IF('Indicators Sheet_(IS)'!R70=Berechnung1!$C$5,4,""))))))</f>
        <v/>
      </c>
      <c r="N93" s="41"/>
      <c r="O93" s="41"/>
    </row>
    <row r="94" spans="1:15">
      <c r="C94" s="41"/>
      <c r="D94" s="41"/>
      <c r="E94" s="458"/>
      <c r="F94" s="458"/>
      <c r="G94" s="458"/>
      <c r="H94" s="458"/>
      <c r="I94" s="458"/>
      <c r="J94" s="458"/>
      <c r="K94" s="458"/>
      <c r="L94" s="227"/>
      <c r="M94" s="471" t="str">
        <f>IF('Indicators Sheet_(IS)'!R71=Berechnung1!$H$5,5,IF('Indicators Sheet_(IS)'!R71=Berechnung1!$G$5,1,IF('Indicators Sheet_(IS)'!R71=Berechnung1!$F$5,1,IF('Indicators Sheet_(IS)'!R71=Berechnung1!$E$5,2,IF('Indicators Sheet_(IS)'!R71=Berechnung1!$D$5,3,IF('Indicators Sheet_(IS)'!R71=Berechnung1!$C$5,4,""))))))</f>
        <v/>
      </c>
      <c r="N94" s="41"/>
      <c r="O94" s="41"/>
    </row>
    <row r="95" spans="1:15">
      <c r="B95" s="1" t="s">
        <v>384</v>
      </c>
      <c r="C95" s="472">
        <v>18</v>
      </c>
      <c r="D95" s="472" t="s">
        <v>89</v>
      </c>
      <c r="E95" s="475">
        <v>0</v>
      </c>
      <c r="F95" s="475">
        <v>1</v>
      </c>
      <c r="G95" s="475">
        <v>-10000</v>
      </c>
      <c r="H95" s="475">
        <v>10000</v>
      </c>
      <c r="I95" s="475"/>
      <c r="J95" s="475">
        <v>0.8</v>
      </c>
      <c r="K95" s="475">
        <v>10000</v>
      </c>
      <c r="L95" s="473" t="str">
        <f>'Indicators Sheet_(IS)'!Q74</f>
        <v>n.d.</v>
      </c>
      <c r="M95" s="474">
        <f>IF('Indicators Sheet_(IS)'!R72=Berechnung1!$H$5,5,IF('Indicators Sheet_(IS)'!R72=Berechnung1!$G$5,1,IF('Indicators Sheet_(IS)'!R72=Berechnung1!$F$5,1,IF('Indicators Sheet_(IS)'!R72=Berechnung1!$E$5,2,IF('Indicators Sheet_(IS)'!R72=Berechnung1!$D$5,3,IF('Indicators Sheet_(IS)'!R72=Berechnung1!$C$5,4,""))))))</f>
        <v>1</v>
      </c>
      <c r="N95" s="472">
        <f t="shared" si="2"/>
        <v>1</v>
      </c>
      <c r="O95" s="472">
        <f>IF('Indicators Sheet_(IS)'!T121="",0,1)</f>
        <v>0</v>
      </c>
    </row>
  </sheetData>
  <customSheetViews>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1"/>
    </customSheetView>
    <customSheetView guid="{AD479C9E-06F7-4C03-8179-295428B49475}" scale="80">
      <selection activeCell="E38" sqref="E38"/>
      <pageMargins left="0.7" right="0.7" top="0.78740157499999996" bottom="0.78740157499999996" header="0.3" footer="0.3"/>
      <pageSetup paperSize="9" orientation="portrait" horizontalDpi="0" verticalDpi="0" copies="0" r:id="rId2"/>
    </customSheetView>
  </customSheetViews>
  <phoneticPr fontId="41" type="noConversion"/>
  <conditionalFormatting sqref="M33:O34">
    <cfRule type="cellIs" dxfId="197" priority="1995" operator="equal">
      <formula>$G$5</formula>
    </cfRule>
    <cfRule type="cellIs" dxfId="196" priority="1996" operator="equal">
      <formula>$F$5</formula>
    </cfRule>
    <cfRule type="cellIs" dxfId="195" priority="1997" operator="equal">
      <formula>$E$5</formula>
    </cfRule>
    <cfRule type="cellIs" dxfId="194" priority="1998" operator="equal">
      <formula>$D$5</formula>
    </cfRule>
  </conditionalFormatting>
  <dataValidations disablePrompts="1" count="1">
    <dataValidation operator="greaterThanOrEqual" allowBlank="1" showInputMessage="1" showErrorMessage="1" errorTitle="Error" error="Eingabe nur von Zahlen möglich. " sqref="D24:D27" xr:uid="{00000000-0002-0000-0500-000000000000}"/>
  </dataValidations>
  <pageMargins left="0.7" right="0.7" top="0.78740157499999996" bottom="0.78740157499999996" header="0.3" footer="0.3"/>
  <pageSetup paperSize="9" orientation="portrait"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1:L32"/>
  <sheetViews>
    <sheetView workbookViewId="0">
      <selection activeCell="C36" sqref="C36"/>
    </sheetView>
  </sheetViews>
  <sheetFormatPr baseColWidth="10" defaultColWidth="11.3984375" defaultRowHeight="14.25"/>
  <cols>
    <col min="1" max="1" width="24.59765625" style="67" customWidth="1"/>
    <col min="2" max="4" width="36.1328125" style="67" customWidth="1"/>
    <col min="5" max="5" width="9.1328125" style="67" customWidth="1"/>
    <col min="6" max="7" width="43" style="174" customWidth="1"/>
    <col min="8" max="8" width="10.59765625" style="174" customWidth="1"/>
    <col min="9" max="9" width="18" customWidth="1"/>
    <col min="10" max="10" width="16" customWidth="1"/>
    <col min="11" max="11" width="15.86328125" customWidth="1"/>
  </cols>
  <sheetData>
    <row r="1" spans="1:11">
      <c r="A1" s="179" t="s">
        <v>69</v>
      </c>
      <c r="B1" s="175">
        <v>175</v>
      </c>
      <c r="C1" s="180"/>
      <c r="D1" s="180"/>
      <c r="E1" s="180"/>
      <c r="F1" s="176"/>
      <c r="G1" s="176"/>
      <c r="H1" s="176"/>
    </row>
    <row r="2" spans="1:11">
      <c r="A2" s="179" t="s">
        <v>68</v>
      </c>
      <c r="B2" s="175" t="str">
        <f>IF('Basic Data'!C6=0,"",'Basic Data'!C6)</f>
        <v>Not listed</v>
      </c>
      <c r="C2" s="180"/>
      <c r="D2" s="180"/>
      <c r="E2" s="180"/>
      <c r="F2" s="176"/>
      <c r="G2" s="176"/>
      <c r="H2" s="176"/>
      <c r="K2" s="4"/>
    </row>
    <row r="3" spans="1:11">
      <c r="A3" s="179" t="s">
        <v>75</v>
      </c>
      <c r="B3" s="195" t="str">
        <f>IF('Basic Data'!O12=0,"",'Basic Data'!O12)</f>
        <v/>
      </c>
      <c r="C3" s="180"/>
      <c r="D3" s="180"/>
      <c r="E3" s="180"/>
      <c r="F3" s="176"/>
      <c r="G3" s="176"/>
      <c r="H3" s="176"/>
    </row>
    <row r="4" spans="1:11">
      <c r="A4" s="180"/>
      <c r="B4" s="180"/>
      <c r="C4" s="180"/>
      <c r="D4" s="180"/>
      <c r="E4" s="180"/>
      <c r="F4" s="176"/>
      <c r="G4" s="176"/>
      <c r="H4" s="176"/>
    </row>
    <row r="5" spans="1:11">
      <c r="A5" s="230" t="s">
        <v>290</v>
      </c>
      <c r="B5" s="311"/>
      <c r="C5" s="180"/>
      <c r="D5" s="180"/>
      <c r="E5" s="180"/>
      <c r="F5" s="176"/>
      <c r="G5" s="176"/>
      <c r="H5" s="176"/>
    </row>
    <row r="6" spans="1:11">
      <c r="A6" s="230" t="s">
        <v>291</v>
      </c>
      <c r="B6" s="311"/>
      <c r="C6" s="180"/>
      <c r="D6" s="180"/>
      <c r="E6" s="180"/>
      <c r="F6" s="176"/>
      <c r="G6" s="176"/>
      <c r="H6" s="176"/>
    </row>
    <row r="7" spans="1:11">
      <c r="A7" s="230" t="s">
        <v>292</v>
      </c>
      <c r="B7" s="311"/>
      <c r="C7" s="180"/>
      <c r="D7" s="180"/>
      <c r="E7" s="180"/>
      <c r="F7" s="176"/>
      <c r="G7" s="176"/>
      <c r="H7" s="176"/>
    </row>
    <row r="8" spans="1:11">
      <c r="A8" s="230" t="s">
        <v>316</v>
      </c>
      <c r="B8" s="311"/>
      <c r="C8" s="180"/>
      <c r="D8" s="180"/>
      <c r="E8" s="180"/>
      <c r="F8" s="176"/>
      <c r="G8" s="176"/>
      <c r="H8" s="176"/>
    </row>
    <row r="9" spans="1:11">
      <c r="A9" s="230" t="s">
        <v>315</v>
      </c>
      <c r="B9" s="311"/>
      <c r="C9" s="180"/>
      <c r="D9" s="180"/>
      <c r="E9" s="180"/>
      <c r="F9" s="176"/>
      <c r="G9" s="176"/>
      <c r="H9" s="176"/>
    </row>
    <row r="10" spans="1:11">
      <c r="A10" s="180"/>
      <c r="B10" s="180"/>
      <c r="C10" s="180"/>
      <c r="D10" s="180"/>
      <c r="E10" s="180"/>
      <c r="F10" s="176"/>
      <c r="G10" s="176"/>
      <c r="H10" s="176"/>
    </row>
    <row r="11" spans="1:11">
      <c r="A11" s="57" t="s">
        <v>67</v>
      </c>
      <c r="B11" s="57" t="s">
        <v>66</v>
      </c>
      <c r="C11" s="57" t="s">
        <v>7</v>
      </c>
      <c r="D11" s="57" t="s">
        <v>17</v>
      </c>
      <c r="E11" s="57" t="s">
        <v>65</v>
      </c>
      <c r="F11" s="178" t="s">
        <v>70</v>
      </c>
      <c r="G11" s="178" t="s">
        <v>63</v>
      </c>
      <c r="H11" s="57" t="s">
        <v>64</v>
      </c>
      <c r="I11" s="231" t="s">
        <v>293</v>
      </c>
      <c r="J11" s="231" t="s">
        <v>294</v>
      </c>
      <c r="K11" s="231" t="s">
        <v>295</v>
      </c>
    </row>
    <row r="12" spans="1:11">
      <c r="A12" s="181" t="s">
        <v>244</v>
      </c>
      <c r="B12" s="197" t="str">
        <f>IF('Indicators Sheet_(IS)'!$Q12=0,"n.d.",'Indicators Sheet_(IS)'!$Q12)</f>
        <v>n.d.</v>
      </c>
      <c r="C12" s="199"/>
      <c r="D12" s="177"/>
      <c r="E12" s="197">
        <f>Berechnung1!N35</f>
        <v>1</v>
      </c>
      <c r="F12" s="175" t="str">
        <f>IF('Indicators Sheet_(IS)'!S12=0,"",'Indicators Sheet_(IS)'!S12)</f>
        <v/>
      </c>
      <c r="G12" s="175" t="str">
        <f>IF('Indicators Sheet_(IS)'!T12=0,"",'Indicators Sheet_(IS)'!T12)</f>
        <v/>
      </c>
      <c r="H12" s="197">
        <f>Berechnung1!O35</f>
        <v>0</v>
      </c>
      <c r="I12" s="232"/>
      <c r="J12" s="232"/>
      <c r="K12" s="233"/>
    </row>
    <row r="13" spans="1:11">
      <c r="A13" s="181" t="s">
        <v>245</v>
      </c>
      <c r="B13" s="197" t="str">
        <f>IF('Indicators Sheet_(IS)'!$Q15= 0, "n.d.",'Indicators Sheet_(IS)'!$Q15)</f>
        <v>n.d.</v>
      </c>
      <c r="C13" s="199"/>
      <c r="D13" s="177"/>
      <c r="E13" s="197">
        <f>Berechnung1!N38</f>
        <v>1</v>
      </c>
      <c r="F13" s="175" t="str">
        <f>IF('Indicators Sheet_(IS)'!S15=0,"",'Indicators Sheet_(IS)'!S15)</f>
        <v/>
      </c>
      <c r="G13" s="175" t="str">
        <f>IF('Indicators Sheet_(IS)'!T15=0,"",'Indicators Sheet_(IS)'!T15)</f>
        <v/>
      </c>
      <c r="H13" s="197">
        <f>Berechnung1!O38</f>
        <v>0</v>
      </c>
      <c r="I13" s="232"/>
      <c r="J13" s="312"/>
      <c r="K13" s="233"/>
    </row>
    <row r="14" spans="1:11">
      <c r="A14" s="181" t="s">
        <v>246</v>
      </c>
      <c r="B14" s="197" t="str">
        <f>IF('Indicators Sheet_(IS)'!$Q18= 0, "n.d.",'Indicators Sheet_(IS)'!$Q18)</f>
        <v>n.d.</v>
      </c>
      <c r="C14" s="199"/>
      <c r="D14" s="177"/>
      <c r="E14" s="197">
        <f>Berechnung1!N41</f>
        <v>1</v>
      </c>
      <c r="F14" s="175" t="str">
        <f>IF('Indicators Sheet_(IS)'!S18=0,"",'Indicators Sheet_(IS)'!S18)</f>
        <v/>
      </c>
      <c r="G14" s="175" t="str">
        <f>IF('Indicators Sheet_(IS)'!T18=0,"",'Indicators Sheet_(IS)'!T18)</f>
        <v/>
      </c>
      <c r="H14" s="197">
        <f>Berechnung1!O41</f>
        <v>0</v>
      </c>
      <c r="I14" s="232"/>
      <c r="J14" s="232"/>
      <c r="K14" s="233"/>
    </row>
    <row r="15" spans="1:11">
      <c r="A15" s="72" t="s">
        <v>800</v>
      </c>
      <c r="B15" s="512" t="str">
        <f>IF('Indicators Sheet_(IS)'!$Q21= 0, "n.d.",'Indicators Sheet_(IS)'!$Q21)</f>
        <v>n.d.</v>
      </c>
      <c r="C15" s="199"/>
      <c r="D15" s="177"/>
      <c r="E15" s="197">
        <f>Berechnung1!N44</f>
        <v>1</v>
      </c>
      <c r="F15" s="175" t="str">
        <f>IF('Indicators Sheet_(IS)'!S21=0,"",'Indicators Sheet_(IS)'!S21)</f>
        <v/>
      </c>
      <c r="G15" s="175" t="str">
        <f>IF('Indicators Sheet_(IS)'!T21=0,"",'Indicators Sheet_(IS)'!T21)</f>
        <v/>
      </c>
      <c r="H15" s="197">
        <f>Berechnung1!O44</f>
        <v>0</v>
      </c>
      <c r="I15" s="232"/>
      <c r="J15" s="232"/>
      <c r="K15" s="233"/>
    </row>
    <row r="16" spans="1:11">
      <c r="A16" s="181" t="s">
        <v>134</v>
      </c>
      <c r="B16" s="197" t="str">
        <f>IF('Indicators Sheet_(IS)'!$Q24= "", "",'Indicators Sheet_(IS)'!$Q24)</f>
        <v/>
      </c>
      <c r="C16" s="197">
        <f>IF('Indicators Sheet_(IS)'!$Q25= "", "",'Indicators Sheet_(IS)'!$Q25)</f>
        <v>0</v>
      </c>
      <c r="D16" s="380" t="str">
        <f>IF('Indicators Sheet_(IS)'!$Q26="n.d.","n.d.",'Indicators Sheet_(IS)'!$Q26*100)</f>
        <v>n.d.</v>
      </c>
      <c r="E16" s="197">
        <f>Berechnung1!N47</f>
        <v>1</v>
      </c>
      <c r="F16" s="175" t="str">
        <f>IF('Indicators Sheet_(IS)'!S24=0,"",'Indicators Sheet_(IS)'!S24)</f>
        <v/>
      </c>
      <c r="G16" s="175" t="str">
        <f>IF('Indicators Sheet_(IS)'!T24=0,"",'Indicators Sheet_(IS)'!T24)</f>
        <v/>
      </c>
      <c r="H16" s="197">
        <f>Berechnung1!O47</f>
        <v>0</v>
      </c>
      <c r="I16" s="232"/>
      <c r="J16" s="232"/>
      <c r="K16" s="233"/>
    </row>
    <row r="17" spans="1:12">
      <c r="A17" s="181" t="s">
        <v>135</v>
      </c>
      <c r="B17" s="197" t="str">
        <f>IF('Indicators Sheet_(IS)'!$Q27= "", "",'Indicators Sheet_(IS)'!$Q27)</f>
        <v/>
      </c>
      <c r="C17" s="197">
        <f>IF('Indicators Sheet_(IS)'!$Q28= "", "",'Indicators Sheet_(IS)'!$Q28)</f>
        <v>0</v>
      </c>
      <c r="D17" s="380" t="str">
        <f>IF('Indicators Sheet_(IS)'!$Q29="n.d.","n.d.",'Indicators Sheet_(IS)'!$Q29*100)</f>
        <v>n.d.</v>
      </c>
      <c r="E17" s="197">
        <f>Berechnung1!N50</f>
        <v>1</v>
      </c>
      <c r="F17" s="175" t="str">
        <f>IF('Indicators Sheet_(IS)'!S27=0,"",'Indicators Sheet_(IS)'!S27)</f>
        <v/>
      </c>
      <c r="G17" s="175" t="str">
        <f>IF('Indicators Sheet_(IS)'!T27=0,"",'Indicators Sheet_(IS)'!T27)</f>
        <v/>
      </c>
      <c r="H17" s="197">
        <f>Berechnung1!O50</f>
        <v>0</v>
      </c>
      <c r="I17" s="232"/>
      <c r="J17" s="232"/>
      <c r="K17" s="233"/>
    </row>
    <row r="18" spans="1:12">
      <c r="A18" s="41">
        <v>4</v>
      </c>
      <c r="B18" s="197" t="str">
        <f>IF('Indicators Sheet_(IS)'!$Q30 ="", "",'Indicators Sheet_(IS)'!$Q30)</f>
        <v/>
      </c>
      <c r="C18" s="197">
        <f>IF('Indicators Sheet_(IS)'!$Q31 = "", "",'Indicators Sheet_(IS)'!$Q31)</f>
        <v>0</v>
      </c>
      <c r="D18" s="380" t="str">
        <f>IF('Indicators Sheet_(IS)'!$Q32="n.d.","n.d.",'Indicators Sheet_(IS)'!$Q32*100)</f>
        <v>n.d.</v>
      </c>
      <c r="E18" s="197">
        <f>Berechnung1!N53</f>
        <v>1</v>
      </c>
      <c r="F18" s="175" t="str">
        <f>IF('Indicators Sheet_(IS)'!S30=0,"",'Indicators Sheet_(IS)'!S30)</f>
        <v/>
      </c>
      <c r="G18" s="175" t="str">
        <f>IF('Indicators Sheet_(IS)'!T30=0,"",'Indicators Sheet_(IS)'!T30)</f>
        <v/>
      </c>
      <c r="H18" s="197">
        <f>Berechnung1!O53</f>
        <v>0</v>
      </c>
      <c r="I18" s="312"/>
      <c r="J18" s="232"/>
      <c r="K18" s="233"/>
    </row>
    <row r="19" spans="1:12">
      <c r="A19" s="41">
        <v>5</v>
      </c>
      <c r="B19" s="197" t="str">
        <f>IF('Indicators Sheet_(IS)'!$Q33= "", "",'Indicators Sheet_(IS)'!$Q33)</f>
        <v/>
      </c>
      <c r="C19" s="197">
        <f>IF('Indicators Sheet_(IS)'!$Q34= "", "",'Indicators Sheet_(IS)'!$Q34)</f>
        <v>0</v>
      </c>
      <c r="D19" s="380" t="str">
        <f>IF('Indicators Sheet_(IS)'!$Q35="n.d.","n.d.",'Indicators Sheet_(IS)'!$Q35*100)</f>
        <v>n.d.</v>
      </c>
      <c r="E19" s="197">
        <f>Berechnung1!N56</f>
        <v>1</v>
      </c>
      <c r="F19" s="175" t="str">
        <f>IF('Indicators Sheet_(IS)'!S33=0,"",'Indicators Sheet_(IS)'!S33)</f>
        <v/>
      </c>
      <c r="G19" s="175" t="str">
        <f>IF('Indicators Sheet_(IS)'!T33=0,"",'Indicators Sheet_(IS)'!T33)</f>
        <v/>
      </c>
      <c r="H19" s="197">
        <f>Berechnung1!O56</f>
        <v>0</v>
      </c>
      <c r="I19" s="232"/>
      <c r="J19" s="232"/>
      <c r="K19" s="233"/>
    </row>
    <row r="20" spans="1:12">
      <c r="A20" s="41">
        <v>6</v>
      </c>
      <c r="B20" s="197" t="str">
        <f>IF('Indicators Sheet_(IS)'!$Q36= "", "",'Indicators Sheet_(IS)'!$Q36)</f>
        <v/>
      </c>
      <c r="C20" s="197" t="str">
        <f>IF('Indicators Sheet_(IS)'!$Q37= "", "",'Indicators Sheet_(IS)'!$Q37)</f>
        <v/>
      </c>
      <c r="D20" s="380" t="str">
        <f>IF('Indicators Sheet_(IS)'!$Q38="n.d.","n.d.",'Indicators Sheet_(IS)'!$Q38*100)</f>
        <v>n.d.</v>
      </c>
      <c r="E20" s="197">
        <f>Berechnung1!N59</f>
        <v>1</v>
      </c>
      <c r="F20" s="175" t="str">
        <f>IF('Indicators Sheet_(IS)'!S36=0,"",'Indicators Sheet_(IS)'!S36)</f>
        <v/>
      </c>
      <c r="G20" s="175" t="str">
        <f>IF('Indicators Sheet_(IS)'!T36=0,"",'Indicators Sheet_(IS)'!T36)</f>
        <v/>
      </c>
      <c r="H20" s="197">
        <f>Berechnung1!O59</f>
        <v>0</v>
      </c>
      <c r="I20" s="232"/>
      <c r="J20" s="232"/>
      <c r="K20" s="233"/>
    </row>
    <row r="21" spans="1:12">
      <c r="A21" s="41">
        <v>7</v>
      </c>
      <c r="B21" s="197" t="str">
        <f>IF('Indicators Sheet_(IS)'!$Q39= "", "",'Indicators Sheet_(IS)'!$Q39)</f>
        <v/>
      </c>
      <c r="C21" s="197" t="str">
        <f>IF('Indicators Sheet_(IS)'!$Q40= "", "",'Indicators Sheet_(IS)'!$Q40)</f>
        <v/>
      </c>
      <c r="D21" s="380" t="str">
        <f>IF('Indicators Sheet_(IS)'!$Q41="n.d.","n.d.",'Indicators Sheet_(IS)'!$Q41*100)</f>
        <v>n.d.</v>
      </c>
      <c r="E21" s="197">
        <f>Berechnung1!N62</f>
        <v>1</v>
      </c>
      <c r="F21" s="175" t="str">
        <f>IF('Indicators Sheet_(IS)'!S39=0,"",'Indicators Sheet_(IS)'!S39)</f>
        <v/>
      </c>
      <c r="G21" s="175" t="str">
        <f>IF('Indicators Sheet_(IS)'!T39=0,"",'Indicators Sheet_(IS)'!T39)</f>
        <v/>
      </c>
      <c r="H21" s="197">
        <f>Berechnung1!O62</f>
        <v>0</v>
      </c>
      <c r="I21" s="232"/>
      <c r="J21" s="232"/>
      <c r="K21" s="233"/>
    </row>
    <row r="22" spans="1:12">
      <c r="A22" s="41">
        <v>8</v>
      </c>
      <c r="B22" s="197" t="str">
        <f>IF('Indicators Sheet_(IS)'!$Q42= "", "n.d.",'Indicators Sheet_(IS)'!$Q42)</f>
        <v>n.d.</v>
      </c>
      <c r="C22" s="402"/>
      <c r="D22" s="177"/>
      <c r="E22" s="197">
        <f>Berechnung1!N65</f>
        <v>1</v>
      </c>
      <c r="F22" s="175" t="str">
        <f>IF('Indicators Sheet_(IS)'!S42=0,"",'Indicators Sheet_(IS)'!S42)</f>
        <v/>
      </c>
      <c r="G22" s="175" t="str">
        <f>IF('Indicators Sheet_(IS)'!T42=0,"",'Indicators Sheet_(IS)'!T42)</f>
        <v/>
      </c>
      <c r="H22" s="197">
        <f>Berechnung1!O65</f>
        <v>0</v>
      </c>
      <c r="I22" s="232"/>
      <c r="J22" s="232"/>
      <c r="K22" s="233"/>
    </row>
    <row r="23" spans="1:12">
      <c r="A23" s="41">
        <v>9</v>
      </c>
      <c r="B23" s="197" t="str">
        <f>IF('Indicators Sheet_(IS)'!$Q45= "", "n.d.",'Indicators Sheet_(IS)'!$Q45)</f>
        <v>n.d.</v>
      </c>
      <c r="C23" s="402"/>
      <c r="D23" s="177"/>
      <c r="E23" s="197">
        <f>Berechnung1!N68</f>
        <v>1</v>
      </c>
      <c r="F23" s="175" t="str">
        <f>IF('Indicators Sheet_(IS)'!S45=0,"",'Indicators Sheet_(IS)'!S45)</f>
        <v/>
      </c>
      <c r="G23" s="175" t="str">
        <f>IF('Indicators Sheet_(IS)'!T45=0,"",'Indicators Sheet_(IS)'!T45)</f>
        <v/>
      </c>
      <c r="H23" s="197">
        <f>Berechnung1!O68</f>
        <v>0</v>
      </c>
      <c r="I23" s="232"/>
      <c r="J23" s="312"/>
      <c r="K23" s="233"/>
    </row>
    <row r="24" spans="1:12">
      <c r="A24" s="41">
        <v>10</v>
      </c>
      <c r="B24" s="197" t="str">
        <f>IF('Indicators Sheet_(IS)'!$Q48= "", "",'Indicators Sheet_(IS)'!$Q48)</f>
        <v/>
      </c>
      <c r="C24" s="197">
        <f>IF('Indicators Sheet_(IS)'!$Q49= "", "",'Indicators Sheet_(IS)'!$Q49)</f>
        <v>0</v>
      </c>
      <c r="D24" s="380" t="str">
        <f>IF('Indicators Sheet_(IS)'!$Q50="n.d.","n.d.",'Indicators Sheet_(IS)'!$Q50*100)</f>
        <v>n.d.</v>
      </c>
      <c r="E24" s="197">
        <f>Berechnung1!N71</f>
        <v>1</v>
      </c>
      <c r="F24" s="175" t="str">
        <f>IF('Indicators Sheet_(IS)'!S48=0,"",'Indicators Sheet_(IS)'!S48)</f>
        <v/>
      </c>
      <c r="G24" s="175" t="str">
        <f>IF('Indicators Sheet_(IS)'!T48=0,"",'Indicators Sheet_(IS)'!T48)</f>
        <v/>
      </c>
      <c r="H24" s="197">
        <f>Berechnung1!O71</f>
        <v>0</v>
      </c>
      <c r="I24" s="232"/>
      <c r="J24" s="232"/>
      <c r="K24" s="233"/>
    </row>
    <row r="25" spans="1:12">
      <c r="A25" s="41">
        <v>11</v>
      </c>
      <c r="B25" s="197" t="str">
        <f>IF('Indicators Sheet_(IS)'!$Q51= "", "",'Indicators Sheet_(IS)'!$Q51)</f>
        <v/>
      </c>
      <c r="C25" s="197" t="str">
        <f>IF('Indicators Sheet_(IS)'!$Q52= "", "",'Indicators Sheet_(IS)'!$Q52)</f>
        <v/>
      </c>
      <c r="D25" s="380" t="str">
        <f>IF('Indicators Sheet_(IS)'!$Q53="n.d.","n.d.",'Indicators Sheet_(IS)'!$Q53*100)</f>
        <v>n.d.</v>
      </c>
      <c r="E25" s="197">
        <f>Berechnung1!N74</f>
        <v>1</v>
      </c>
      <c r="F25" s="175" t="str">
        <f>IF('Indicators Sheet_(IS)'!S51=0,"",'Indicators Sheet_(IS)'!S51)</f>
        <v/>
      </c>
      <c r="G25" s="175" t="str">
        <f>IF('Indicators Sheet_(IS)'!T51=0,"",'Indicators Sheet_(IS)'!T51)</f>
        <v/>
      </c>
      <c r="H25" s="197">
        <f>Berechnung1!O74</f>
        <v>0</v>
      </c>
      <c r="I25" s="232"/>
      <c r="J25" s="232"/>
      <c r="K25" s="233"/>
    </row>
    <row r="26" spans="1:12">
      <c r="A26" s="41">
        <v>12</v>
      </c>
      <c r="B26" s="197" t="str">
        <f>IF('Indicators Sheet_(IS)'!$Q54= "", "",'Indicators Sheet_(IS)'!$Q54)</f>
        <v/>
      </c>
      <c r="C26" s="197">
        <f>IF('Indicators Sheet_(IS)'!$Q55= "", "",'Indicators Sheet_(IS)'!$Q55)</f>
        <v>0</v>
      </c>
      <c r="D26" s="380" t="str">
        <f>IF('Indicators Sheet_(IS)'!$Q56="n.d.","n.d.",'Indicators Sheet_(IS)'!$Q56*100)</f>
        <v>n.d.</v>
      </c>
      <c r="E26" s="197">
        <f>Berechnung1!N77</f>
        <v>1</v>
      </c>
      <c r="F26" s="175" t="str">
        <f>IF('Indicators Sheet_(IS)'!S54=0,"",'Indicators Sheet_(IS)'!S54)</f>
        <v/>
      </c>
      <c r="G26" s="175" t="str">
        <f>IF('Indicators Sheet_(IS)'!T54=0,"",'Indicators Sheet_(IS)'!T54)</f>
        <v/>
      </c>
      <c r="H26" s="197">
        <f>Berechnung1!O77</f>
        <v>0</v>
      </c>
      <c r="I26" s="232"/>
      <c r="J26" s="232"/>
      <c r="K26" s="233"/>
    </row>
    <row r="27" spans="1:12">
      <c r="A27" s="172">
        <v>13</v>
      </c>
      <c r="B27" s="198" t="str">
        <f>IF('Indicators Sheet_(IS)'!$Q57= "", "",'Indicators Sheet_(IS)'!$Q57)</f>
        <v/>
      </c>
      <c r="C27" s="198" t="str">
        <f>IF('Indicators Sheet_(IS)'!$Q58= "", "",'Indicators Sheet_(IS)'!$Q58)</f>
        <v/>
      </c>
      <c r="D27" s="381" t="str">
        <f>IF('Indicators Sheet_(IS)'!$Q59="n.d.","n.d.",'Indicators Sheet_(IS)'!$Q59*100)</f>
        <v>n.d.</v>
      </c>
      <c r="E27" s="197">
        <f>Berechnung1!N80</f>
        <v>1</v>
      </c>
      <c r="F27" s="182" t="str">
        <f>IF('Indicators Sheet_(IS)'!S57=0,"",'Indicators Sheet_(IS)'!S57)</f>
        <v/>
      </c>
      <c r="G27" s="182" t="str">
        <f>IF('Indicators Sheet_(IS)'!T57=0,"",'Indicators Sheet_(IS)'!T57)</f>
        <v/>
      </c>
      <c r="H27" s="198">
        <f>Berechnung1!O80</f>
        <v>0</v>
      </c>
      <c r="I27" s="232"/>
      <c r="J27" s="232"/>
      <c r="K27" s="232"/>
      <c r="L27" s="183"/>
    </row>
    <row r="28" spans="1:12">
      <c r="A28" s="172">
        <v>14</v>
      </c>
      <c r="B28" s="198" t="str">
        <f>IF('Indicators Sheet_(IS)'!$Q60= "", "",'Indicators Sheet_(IS)'!$Q60)</f>
        <v/>
      </c>
      <c r="C28" s="198" t="str">
        <f>IF('Indicators Sheet_(IS)'!$Q61= "", "",'Indicators Sheet_(IS)'!$Q61)</f>
        <v/>
      </c>
      <c r="D28" s="498" t="str">
        <f>IF('Indicators Sheet_(IS)'!$Q62="n.d.","n.d.",IF('Indicators Sheet_(IS)'!$Q62="","n.d.",'Indicators Sheet_(IS)'!$Q62*100))</f>
        <v>n.d.</v>
      </c>
      <c r="E28" s="197">
        <f>Berechnung1!N83</f>
        <v>1</v>
      </c>
      <c r="F28" s="182" t="str">
        <f>IF('Indicators Sheet_(IS)'!S60=0,"",'Indicators Sheet_(IS)'!S60)</f>
        <v/>
      </c>
      <c r="G28" s="182" t="str">
        <f>IF('Indicators Sheet_(IS)'!T60=0,"",'Indicators Sheet_(IS)'!T60)</f>
        <v/>
      </c>
      <c r="H28" s="198">
        <f>Berechnung1!O83</f>
        <v>0</v>
      </c>
      <c r="I28" s="232"/>
      <c r="J28" s="232"/>
      <c r="K28" s="312"/>
      <c r="L28" s="183"/>
    </row>
    <row r="29" spans="1:12">
      <c r="A29" s="172">
        <v>15</v>
      </c>
      <c r="B29" s="198" t="str">
        <f>IF('Indicators Sheet_(IS)'!$Q63= "", "",'Indicators Sheet_(IS)'!$Q63)</f>
        <v/>
      </c>
      <c r="C29" s="198" t="str">
        <f>IF('Indicators Sheet_(IS)'!$Q64= "", "",'Indicators Sheet_(IS)'!$Q64)</f>
        <v/>
      </c>
      <c r="D29" s="498" t="str">
        <f>IF('Indicators Sheet_(IS)'!$Q65="n.d.","n.d.",IF('Indicators Sheet_(IS)'!$Q65="","n.d.",'Indicators Sheet_(IS)'!$Q65*100))</f>
        <v>n.d.</v>
      </c>
      <c r="E29" s="197">
        <f>Berechnung1!N86</f>
        <v>1</v>
      </c>
      <c r="F29" s="182" t="str">
        <f>IF('Indicators Sheet_(IS)'!S63=0,"",'Indicators Sheet_(IS)'!S63)</f>
        <v/>
      </c>
      <c r="G29" s="182" t="str">
        <f>IF('Indicators Sheet_(IS)'!T63=0,"",'Indicators Sheet_(IS)'!T63)</f>
        <v/>
      </c>
      <c r="H29" s="198">
        <f>Berechnung1!O86</f>
        <v>0</v>
      </c>
      <c r="I29" s="232"/>
      <c r="J29" s="232"/>
      <c r="K29" s="312"/>
    </row>
    <row r="30" spans="1:12">
      <c r="A30" s="172">
        <v>16</v>
      </c>
      <c r="B30" s="198" t="str">
        <f>IF('Indicators Sheet_(IS)'!$Q66= "", "",'Indicators Sheet_(IS)'!$Q66)</f>
        <v/>
      </c>
      <c r="C30" s="198" t="str">
        <f>IF('Indicators Sheet_(IS)'!$Q67= "", "",'Indicators Sheet_(IS)'!$Q67)</f>
        <v/>
      </c>
      <c r="D30" s="498" t="str">
        <f>IF('Indicators Sheet_(IS)'!$Q68="n.d.","n.d.",IF('Indicators Sheet_(IS)'!$Q68="","n.d.",'Indicators Sheet_(IS)'!$Q68*100))</f>
        <v>n.d.</v>
      </c>
      <c r="E30" s="197">
        <f>Berechnung1!N89</f>
        <v>1</v>
      </c>
      <c r="F30" s="182" t="str">
        <f>IF('Indicators Sheet_(IS)'!S66=0,"",'Indicators Sheet_(IS)'!S66)</f>
        <v/>
      </c>
      <c r="G30" s="182" t="str">
        <f>IF('Indicators Sheet_(IS)'!T66=0,"",'Indicators Sheet_(IS)'!T66)</f>
        <v/>
      </c>
      <c r="H30" s="198">
        <f>Berechnung1!O89</f>
        <v>0</v>
      </c>
      <c r="I30" s="232"/>
      <c r="J30" s="232"/>
      <c r="K30" s="312"/>
    </row>
    <row r="31" spans="1:12">
      <c r="A31" s="172">
        <v>17</v>
      </c>
      <c r="B31" s="198" t="str">
        <f>IF('Indicators Sheet_(IS)'!$Q69= "", "",'Indicators Sheet_(IS)'!$Q69)</f>
        <v/>
      </c>
      <c r="C31" s="198">
        <f>IF('Indicators Sheet_(IS)'!$Q70= "", "",'Indicators Sheet_(IS)'!$Q70)</f>
        <v>0</v>
      </c>
      <c r="D31" s="498" t="str">
        <f>IF('Indicators Sheet_(IS)'!$Q71="n.d.","n.d.",IF('Indicators Sheet_(IS)'!$Q71="","n.d.",'Indicators Sheet_(IS)'!$Q71*100))</f>
        <v>n.d.</v>
      </c>
      <c r="E31" s="197">
        <f>Berechnung1!N92</f>
        <v>1</v>
      </c>
      <c r="F31" s="182" t="str">
        <f>IF('Indicators Sheet_(IS)'!S69=0,"",'Indicators Sheet_(IS)'!S69)</f>
        <v/>
      </c>
      <c r="G31" s="182" t="str">
        <f>IF('Indicators Sheet_(IS)'!T69=0,"",'Indicators Sheet_(IS)'!T69)</f>
        <v/>
      </c>
      <c r="H31" s="198">
        <f>Berechnung1!O92</f>
        <v>0</v>
      </c>
      <c r="I31" s="232"/>
      <c r="J31" s="232"/>
      <c r="K31" s="312"/>
    </row>
    <row r="32" spans="1:12">
      <c r="A32" s="172">
        <v>18</v>
      </c>
      <c r="B32" s="198" t="str">
        <f>IF('Indicators Sheet_(IS)'!$Q72= "", "",'Indicators Sheet_(IS)'!$Q72)</f>
        <v/>
      </c>
      <c r="C32" s="198">
        <f>IF('Indicators Sheet_(IS)'!$Q73= "", "",'Indicators Sheet_(IS)'!$Q73)</f>
        <v>0</v>
      </c>
      <c r="D32" s="498" t="str">
        <f>IF('Indicators Sheet_(IS)'!$Q74="n.d.","n.d.",IF('Indicators Sheet_(IS)'!$Q74="","n.d.",'Indicators Sheet_(IS)'!$Q74*100))</f>
        <v>n.d.</v>
      </c>
      <c r="E32" s="197">
        <f>Berechnung1!N95</f>
        <v>1</v>
      </c>
      <c r="F32" s="182" t="str">
        <f>IF('Indicators Sheet_(IS)'!S72=0,"",'Indicators Sheet_(IS)'!S72)</f>
        <v/>
      </c>
      <c r="G32" s="182" t="str">
        <f>IF('Indicators Sheet_(IS)'!T72=0,"",'Indicators Sheet_(IS)'!T72)</f>
        <v/>
      </c>
      <c r="H32" s="198">
        <f>Berechnung1!O95</f>
        <v>0</v>
      </c>
      <c r="I32" s="232"/>
      <c r="J32" s="232"/>
      <c r="K32" s="312"/>
    </row>
  </sheetData>
  <customSheetViews>
    <customSheetView guid="{DAA0C1F4-4D8F-4BD8-91F9-40281B589772}" state="hidden">
      <selection activeCell="B6" sqref="B6"/>
      <pageMargins left="0.7" right="0.7" top="0.78740157499999996" bottom="0.78740157499999996" header="0.3" footer="0.3"/>
      <pageSetup paperSize="9" orientation="portrait" horizontalDpi="0" verticalDpi="0" r:id="rId1"/>
    </customSheetView>
    <customSheetView guid="{AD479C9E-06F7-4C03-8179-295428B49475}" state="hidden">
      <selection activeCell="B6" sqref="B6"/>
      <pageMargins left="0.7" right="0.7" top="0.78740157499999996" bottom="0.78740157499999996" header="0.3" footer="0.3"/>
      <pageSetup paperSize="9" orientation="portrait" horizontalDpi="0" verticalDpi="0" r:id="rId2"/>
    </customSheetView>
  </customSheetViews>
  <phoneticPr fontId="41" type="noConversion"/>
  <pageMargins left="0.7" right="0.7" top="0.78740157499999996" bottom="0.78740157499999996" header="0.3" footer="0.3"/>
  <pageSetup paperSize="9" orientation="portrait" r:id="rId3"/>
  <ignoredErrors>
    <ignoredError sqref="A16:A17 A12:A14"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M28"/>
  <sheetViews>
    <sheetView showGridLines="0" showWhiteSpace="0" topLeftCell="A2" zoomScaleNormal="100" workbookViewId="0">
      <selection activeCell="Q14" sqref="Q14"/>
    </sheetView>
  </sheetViews>
  <sheetFormatPr baseColWidth="10" defaultColWidth="11.3984375" defaultRowHeight="14.25"/>
  <cols>
    <col min="1" max="1" width="3.3984375" style="302" customWidth="1"/>
    <col min="2" max="2" width="17.86328125" style="302" customWidth="1"/>
    <col min="3" max="3" width="6.265625" style="67" customWidth="1"/>
    <col min="4" max="4" width="8.86328125" style="67" customWidth="1"/>
    <col min="5" max="5" width="6.265625" style="67" customWidth="1"/>
    <col min="6" max="7" width="6.3984375" style="67" customWidth="1"/>
    <col min="8" max="8" width="7" style="67" customWidth="1"/>
    <col min="9" max="9" width="9.86328125" style="67" customWidth="1"/>
    <col min="10" max="10" width="33.59765625" style="302" customWidth="1"/>
    <col min="11" max="11" width="34.3984375" style="302" customWidth="1"/>
    <col min="12" max="12" width="0.59765625" style="302" customWidth="1"/>
    <col min="13" max="13" width="9.1328125" style="302" hidden="1" customWidth="1"/>
    <col min="14" max="16384" width="11.3984375" style="302"/>
  </cols>
  <sheetData>
    <row r="1" spans="1:13" hidden="1">
      <c r="B1" s="375" t="str">
        <f ca="1">IF(M11=TRUE,"A1:L15",CONCATENATE("A1:L",(MATCH("",A:A,-1)-1)))</f>
        <v>A1:L16</v>
      </c>
    </row>
    <row r="2" spans="1:13" s="37" customFormat="1" ht="16.5" customHeight="1">
      <c r="A2" s="22" t="s">
        <v>416</v>
      </c>
      <c r="C2" s="10"/>
      <c r="D2" s="10"/>
      <c r="E2" s="10"/>
      <c r="F2" s="10"/>
      <c r="G2" s="10"/>
      <c r="H2" s="10"/>
      <c r="I2" s="10"/>
    </row>
    <row r="3" spans="1:13" s="37" customFormat="1" ht="16.899999999999999">
      <c r="A3" s="370" t="s">
        <v>248</v>
      </c>
      <c r="C3" s="10"/>
      <c r="D3" s="10"/>
      <c r="E3" s="10"/>
      <c r="F3" s="10"/>
      <c r="G3" s="10"/>
      <c r="H3" s="10"/>
      <c r="I3" s="10"/>
      <c r="K3" s="369"/>
    </row>
    <row r="4" spans="1:13" s="37" customFormat="1" ht="11.25" customHeight="1">
      <c r="C4" s="10"/>
      <c r="D4" s="10"/>
      <c r="E4" s="10"/>
      <c r="F4" s="10"/>
      <c r="G4" s="10"/>
      <c r="H4" s="10"/>
      <c r="I4" s="10"/>
      <c r="K4" s="369"/>
    </row>
    <row r="5" spans="1:13" s="37" customFormat="1" ht="13.5" customHeight="1">
      <c r="C5" s="10"/>
      <c r="D5" s="10"/>
      <c r="E5" s="10"/>
      <c r="F5" s="10"/>
      <c r="G5" s="10"/>
      <c r="H5" s="10"/>
      <c r="I5" s="10"/>
      <c r="J5" s="10"/>
      <c r="K5" s="369"/>
    </row>
    <row r="6" spans="1:13" s="112" customFormat="1" ht="15" customHeight="1">
      <c r="B6" s="24" t="s">
        <v>119</v>
      </c>
      <c r="C6" s="751" t="str">
        <f>IF('Basic Data'!C8=0,"",'Basic Data'!C8)</f>
        <v/>
      </c>
      <c r="D6" s="752"/>
      <c r="E6" s="752"/>
      <c r="F6" s="752"/>
      <c r="G6" s="752"/>
      <c r="H6" s="752"/>
      <c r="I6" s="752"/>
      <c r="J6" s="753"/>
      <c r="K6" s="369"/>
    </row>
    <row r="7" spans="1:13" s="112" customFormat="1" ht="6.95" customHeight="1">
      <c r="B7" s="368"/>
      <c r="C7" s="10"/>
      <c r="D7" s="10"/>
      <c r="E7" s="10"/>
      <c r="F7" s="10"/>
      <c r="G7" s="10"/>
      <c r="H7" s="10"/>
      <c r="I7" s="10"/>
      <c r="J7" s="10"/>
      <c r="K7" s="369"/>
    </row>
    <row r="8" spans="1:13" s="112" customFormat="1" ht="15" customHeight="1">
      <c r="B8" s="24" t="s">
        <v>77</v>
      </c>
      <c r="C8" s="751" t="str">
        <f>IF('Basic Data'!C6=0,"",'Basic Data'!C6)</f>
        <v>Not listed</v>
      </c>
      <c r="D8" s="752"/>
      <c r="E8" s="752"/>
      <c r="F8" s="753"/>
      <c r="G8" s="372"/>
      <c r="H8" s="377" t="s">
        <v>328</v>
      </c>
      <c r="J8" s="371" t="str">
        <f>IF('Basic Data'!O12=0,"",'Basic Data'!O12)</f>
        <v/>
      </c>
      <c r="K8" s="369"/>
    </row>
    <row r="9" spans="1:13" s="37" customFormat="1" ht="14.25" customHeight="1">
      <c r="C9" s="10"/>
      <c r="D9" s="10"/>
      <c r="E9" s="10"/>
      <c r="F9" s="10"/>
      <c r="G9" s="10"/>
      <c r="H9" s="10"/>
      <c r="I9" s="10"/>
      <c r="K9" s="369"/>
    </row>
    <row r="10" spans="1:13" s="37" customFormat="1" ht="14.25" customHeight="1">
      <c r="B10" s="393" t="str">
        <f ca="1">IF($M$11=TRUE,"Kein Datendefizit vorhanden","")</f>
        <v/>
      </c>
      <c r="C10" s="10"/>
      <c r="D10" s="10"/>
      <c r="E10" s="10"/>
      <c r="F10" s="10"/>
      <c r="G10" s="10"/>
      <c r="H10" s="10"/>
      <c r="I10" s="10"/>
      <c r="K10" s="369"/>
      <c r="M10" s="373" t="s">
        <v>324</v>
      </c>
    </row>
    <row r="11" spans="1:13" s="37" customFormat="1" ht="14.25" customHeight="1">
      <c r="B11" s="121" t="str">
        <f ca="1">IF($M$11=TRUE,"","Übertragung erfolgt automatisch aus Kennzahlenbogen (Ist-Werte, Begründungen und Aktionen)")</f>
        <v>Übertragung erfolgt automatisch aus Kennzahlenbogen (Ist-Werte, Begründungen und Aktionen)</v>
      </c>
      <c r="C11" s="10"/>
      <c r="D11" s="10"/>
      <c r="E11" s="10"/>
      <c r="F11" s="10"/>
      <c r="G11" s="10"/>
      <c r="H11" s="10"/>
      <c r="I11" s="10"/>
      <c r="K11" s="369"/>
      <c r="M11" s="373" t="b">
        <f t="array" aca="1" ref="M11" ca="1">$A$14:$K$28=""</f>
        <v>0</v>
      </c>
    </row>
    <row r="12" spans="1:13" ht="15" customHeight="1">
      <c r="A12" s="754" t="str">
        <f ca="1">IF($M$11=TRUE,"","KN")</f>
        <v>KN</v>
      </c>
      <c r="B12" s="754" t="str">
        <f ca="1">IF($M$11=TRUE,"","Kennzahlendefinition")</f>
        <v>Kennzahlendefinition</v>
      </c>
      <c r="C12" s="756" t="str">
        <f ca="1">IF($M$11=TRUE,"","Vorgaben Datenqualität")</f>
        <v>Vorgaben Datenqualität</v>
      </c>
      <c r="D12" s="757"/>
      <c r="E12" s="758"/>
      <c r="F12" s="756" t="str">
        <f ca="1">IF($M$11=TRUE,"","Ist-Werte")</f>
        <v>Ist-Werte</v>
      </c>
      <c r="G12" s="757"/>
      <c r="H12" s="758"/>
      <c r="I12" s="754" t="str">
        <f ca="1">IF($M$11=TRUE,"","Daten-qualität
1), 2), 3)")</f>
        <v>Daten-qualität
1), 2), 3)</v>
      </c>
      <c r="J12" s="392" t="str">
        <f ca="1">IF($M$11=TRUE,"","Verifizierung Zentrum")</f>
        <v>Verifizierung Zentrum</v>
      </c>
      <c r="K12" s="391"/>
    </row>
    <row r="13" spans="1:13" ht="22.5" customHeight="1">
      <c r="A13" s="755"/>
      <c r="B13" s="755"/>
      <c r="C13" s="367" t="str">
        <f ca="1">IF($M$11=TRUE,"","Plausi unklar")</f>
        <v>Plausi unklar</v>
      </c>
      <c r="D13" s="367" t="str">
        <f ca="1">IF($M$11=TRUE,"","Sollvorgabe")</f>
        <v>Sollvorgabe</v>
      </c>
      <c r="E13" s="367" t="str">
        <f ca="1">IF($M$11=TRUE,"","Plausi unklar")</f>
        <v>Plausi unklar</v>
      </c>
      <c r="F13" s="367" t="str">
        <f ca="1">IF($M$11=TRUE,"","Zähler / Anzahl")</f>
        <v>Zähler / Anzahl</v>
      </c>
      <c r="G13" s="367" t="str">
        <f ca="1">IF($M$11=TRUE,"","Nenner")</f>
        <v>Nenner</v>
      </c>
      <c r="H13" s="367" t="str">
        <f ca="1">IF($M$11=TRUE,"","Quote")</f>
        <v>Quote</v>
      </c>
      <c r="I13" s="755"/>
      <c r="J13" s="384" t="str">
        <f ca="1">IF($M$11=TRUE,"","Begründung / Ursache")</f>
        <v>Begründung / Ursache</v>
      </c>
      <c r="K13" s="366" t="str">
        <f ca="1">IF($M$11=TRUE,"","Eingeleitete / geplante Aktionen")</f>
        <v>Eingeleitete / geplante Aktionen</v>
      </c>
    </row>
    <row r="14" spans="1:13" ht="159.94999999999999" customHeight="1">
      <c r="A14" s="272" t="str">
        <f ca="1">'Hilfstabelle Datendef KB'!O2</f>
        <v>1.1</v>
      </c>
      <c r="B14" s="133" t="str">
        <f ca="1">'Hilfstabelle Datendef KB'!P2</f>
        <v>Epithelial tumours
(excl. in situ,
inter alia basal cell carcinoma, squamous cell carcinomas)</v>
      </c>
      <c r="C14" s="374" t="str">
        <f ca="1">'Hilfstabelle Datendef KB'!Q2</f>
        <v>-----</v>
      </c>
      <c r="D14" s="272" t="str">
        <f ca="1">'Hilfstabelle Datendef KB'!R2</f>
        <v>≥ 100</v>
      </c>
      <c r="E14" s="374" t="str">
        <f ca="1">'Hilfstabelle Datendef KB'!S2</f>
        <v>-----</v>
      </c>
      <c r="F14" s="272">
        <f ca="1">'Hilfstabelle Datendef KB'!T2</f>
        <v>0</v>
      </c>
      <c r="G14" s="272" t="str">
        <f ca="1">'Hilfstabelle Datendef KB'!U2</f>
        <v>-----</v>
      </c>
      <c r="H14" s="376" t="str">
        <f ca="1">'Hilfstabelle Datendef KB'!V2</f>
        <v>-----</v>
      </c>
      <c r="I14" s="272" t="str">
        <f ca="1">'Hilfstabelle Datendef KB'!W2</f>
        <v>Incomplete</v>
      </c>
      <c r="J14" s="134" t="str">
        <f ca="1">'Hilfstabelle Datendef KB'!X2</f>
        <v>-----</v>
      </c>
      <c r="K14" s="134" t="str">
        <f ca="1">'Hilfstabelle Datendef KB'!Y2</f>
        <v>-----</v>
      </c>
    </row>
    <row r="15" spans="1:13" ht="159.94999999999999" customHeight="1">
      <c r="A15" s="272" t="str">
        <f ca="1">'Hilfstabelle Datendef KB'!O3</f>
        <v>1.2</v>
      </c>
      <c r="B15" s="133" t="str">
        <f ca="1">'Hilfstabelle Datendef KB'!P3</f>
        <v>Invasive malignant melanomas
(incl. malignant uveal, conjunctival, 
mucosal melanomas)</v>
      </c>
      <c r="C15" s="374" t="str">
        <f ca="1">'Hilfstabelle Datendef KB'!Q3</f>
        <v>-----</v>
      </c>
      <c r="D15" s="272" t="str">
        <f ca="1">'Hilfstabelle Datendef KB'!R3</f>
        <v>≥ 40</v>
      </c>
      <c r="E15" s="374" t="str">
        <f ca="1">'Hilfstabelle Datendef KB'!S3</f>
        <v>-----</v>
      </c>
      <c r="F15" s="272">
        <f ca="1">'Hilfstabelle Datendef KB'!T3</f>
        <v>0</v>
      </c>
      <c r="G15" s="272" t="str">
        <f ca="1">'Hilfstabelle Datendef KB'!U3</f>
        <v>-----</v>
      </c>
      <c r="H15" s="376" t="str">
        <f ca="1">'Hilfstabelle Datendef KB'!V3</f>
        <v>-----</v>
      </c>
      <c r="I15" s="272" t="str">
        <f ca="1">'Hilfstabelle Datendef KB'!W3</f>
        <v>Incomplete</v>
      </c>
      <c r="J15" s="134" t="str">
        <f ca="1">'Hilfstabelle Datendef KB'!X3</f>
        <v>-----</v>
      </c>
      <c r="K15" s="134" t="str">
        <f ca="1">'Hilfstabelle Datendef KB'!Y3</f>
        <v>-----</v>
      </c>
    </row>
    <row r="16" spans="1:13" ht="159.94999999999999" customHeight="1">
      <c r="A16" s="272" t="str">
        <f ca="1">'Hilfstabelle Datendef KB'!O4</f>
        <v>1.3</v>
      </c>
      <c r="B16" s="133" t="str">
        <f ca="1">'Hilfstabelle Datendef KB'!P4</f>
        <v>Cutaneous lymphoma and other rare, malignant skin tumours
(angiosarcoma, Merkel cell carcinoma, DFSP, etc.)</v>
      </c>
      <c r="C16" s="374" t="str">
        <f ca="1">'Hilfstabelle Datendef KB'!Q4</f>
        <v>-----</v>
      </c>
      <c r="D16" s="272" t="str">
        <f ca="1">'Hilfstabelle Datendef KB'!R4</f>
        <v>No target value</v>
      </c>
      <c r="E16" s="374" t="str">
        <f ca="1">'Hilfstabelle Datendef KB'!S4</f>
        <v>-----</v>
      </c>
      <c r="F16" s="272">
        <f ca="1">'Hilfstabelle Datendef KB'!T4</f>
        <v>0</v>
      </c>
      <c r="G16" s="272" t="str">
        <f ca="1">'Hilfstabelle Datendef KB'!U4</f>
        <v>-----</v>
      </c>
      <c r="H16" s="376" t="str">
        <f ca="1">'Hilfstabelle Datendef KB'!V4</f>
        <v>-----</v>
      </c>
      <c r="I16" s="272" t="str">
        <f ca="1">'Hilfstabelle Datendef KB'!W4</f>
        <v>Incomplete</v>
      </c>
      <c r="J16" s="134" t="str">
        <f ca="1">'Hilfstabelle Datendef KB'!X4</f>
        <v>-----</v>
      </c>
      <c r="K16" s="134" t="str">
        <f ca="1">'Hilfstabelle Datendef KB'!Y4</f>
        <v>-----</v>
      </c>
    </row>
    <row r="17" spans="1:11" ht="159.94999999999999" customHeight="1">
      <c r="A17" s="272" t="str">
        <f ca="1">'Hilfstabelle Datendef KB'!O5</f>
        <v>1.4</v>
      </c>
      <c r="B17" s="133" t="str">
        <f ca="1">'Hilfstabelle Datendef KB'!P5</f>
        <v>Patients with stage shift / recurrence</v>
      </c>
      <c r="C17" s="374" t="str">
        <f ca="1">'Hilfstabelle Datendef KB'!Q5</f>
        <v>-----</v>
      </c>
      <c r="D17" s="272" t="str">
        <f ca="1">'Hilfstabelle Datendef KB'!R5</f>
        <v>No target value</v>
      </c>
      <c r="E17" s="374" t="str">
        <f ca="1">'Hilfstabelle Datendef KB'!S5</f>
        <v>-----</v>
      </c>
      <c r="F17" s="272">
        <f ca="1">'Hilfstabelle Datendef KB'!T5</f>
        <v>0</v>
      </c>
      <c r="G17" s="272" t="str">
        <f ca="1">'Hilfstabelle Datendef KB'!U5</f>
        <v>-----</v>
      </c>
      <c r="H17" s="376" t="str">
        <f ca="1">'Hilfstabelle Datendef KB'!V5</f>
        <v>-----</v>
      </c>
      <c r="I17" s="272" t="str">
        <f ca="1">'Hilfstabelle Datendef KB'!W5</f>
        <v>Incomplete</v>
      </c>
      <c r="J17" s="134" t="str">
        <f ca="1">'Hilfstabelle Datendef KB'!X5</f>
        <v>-----</v>
      </c>
      <c r="K17" s="134" t="str">
        <f ca="1">'Hilfstabelle Datendef KB'!Y5</f>
        <v>-----</v>
      </c>
    </row>
    <row r="18" spans="1:11" ht="159.94999999999999" customHeight="1">
      <c r="A18" s="272">
        <f ca="1">'Hilfstabelle Datendef KB'!O6</f>
        <v>2</v>
      </c>
      <c r="B18" s="133" t="str">
        <f ca="1">'Hilfstabelle Datendef KB'!P6</f>
        <v>Melanoma: 
Discussion of cases</v>
      </c>
      <c r="C18" s="374" t="str">
        <f ca="1">'Hilfstabelle Datendef KB'!Q6</f>
        <v>-----</v>
      </c>
      <c r="D18" s="272" t="str">
        <f ca="1">'Hilfstabelle Datendef KB'!R6</f>
        <v>≥ 95%</v>
      </c>
      <c r="E18" s="374" t="str">
        <f ca="1">'Hilfstabelle Datendef KB'!S6</f>
        <v>-----</v>
      </c>
      <c r="F18" s="272" t="str">
        <f ca="1">'Hilfstabelle Datendef KB'!T6</f>
        <v>-----</v>
      </c>
      <c r="G18" s="272">
        <f ca="1">'Hilfstabelle Datendef KB'!U6</f>
        <v>0</v>
      </c>
      <c r="H18" s="376" t="str">
        <f ca="1">'Hilfstabelle Datendef KB'!V6</f>
        <v>n.d.</v>
      </c>
      <c r="I18" s="272" t="str">
        <f ca="1">'Hilfstabelle Datendef KB'!W6</f>
        <v>Incomplete</v>
      </c>
      <c r="J18" s="134" t="str">
        <f ca="1">'Hilfstabelle Datendef KB'!X6</f>
        <v>-----</v>
      </c>
      <c r="K18" s="134" t="str">
        <f ca="1">'Hilfstabelle Datendef KB'!Y6</f>
        <v>-----</v>
      </c>
    </row>
    <row r="19" spans="1:11" ht="159.94999999999999" customHeight="1">
      <c r="A19" s="272">
        <f ca="1">'Hilfstabelle Datendef KB'!O7</f>
        <v>3</v>
      </c>
      <c r="B19" s="133" t="str">
        <f ca="1">'Hilfstabelle Datendef KB'!P7</f>
        <v>Melanoma:
Therapy deviation from recommendation tumour board</v>
      </c>
      <c r="C19" s="374" t="str">
        <f ca="1">'Hilfstabelle Datendef KB'!Q7</f>
        <v>≤ 3%</v>
      </c>
      <c r="D19" s="272" t="str">
        <f ca="1">'Hilfstabelle Datendef KB'!R7</f>
        <v>≤ 25%</v>
      </c>
      <c r="E19" s="374" t="str">
        <f ca="1">'Hilfstabelle Datendef KB'!S7</f>
        <v>-----</v>
      </c>
      <c r="F19" s="272" t="str">
        <f ca="1">'Hilfstabelle Datendef KB'!T7</f>
        <v>-----</v>
      </c>
      <c r="G19" s="272">
        <f ca="1">'Hilfstabelle Datendef KB'!U7</f>
        <v>0</v>
      </c>
      <c r="H19" s="376" t="str">
        <f ca="1">'Hilfstabelle Datendef KB'!V7</f>
        <v>n.d.</v>
      </c>
      <c r="I19" s="272" t="str">
        <f ca="1">'Hilfstabelle Datendef KB'!W7</f>
        <v>Incomplete</v>
      </c>
      <c r="J19" s="134" t="str">
        <f ca="1">'Hilfstabelle Datendef KB'!X7</f>
        <v>-----</v>
      </c>
      <c r="K19" s="134" t="str">
        <f ca="1">'Hilfstabelle Datendef KB'!Y7</f>
        <v>-----</v>
      </c>
    </row>
    <row r="20" spans="1:11" ht="159.94999999999999" customHeight="1">
      <c r="A20" s="272">
        <f ca="1">'Hilfstabelle Datendef KB'!O8</f>
        <v>4</v>
      </c>
      <c r="B20" s="133" t="str">
        <f ca="1">'Hilfstabelle Datendef KB'!P8</f>
        <v>Melanoma:
Psycho-oncological care</v>
      </c>
      <c r="C20" s="374" t="str">
        <f ca="1">'Hilfstabelle Datendef KB'!Q8</f>
        <v>&lt; 5%</v>
      </c>
      <c r="D20" s="272" t="str">
        <f ca="1">'Hilfstabelle Datendef KB'!R8</f>
        <v>No target value</v>
      </c>
      <c r="E20" s="374" t="str">
        <f ca="1">'Hilfstabelle Datendef KB'!S8</f>
        <v>&gt; 70%</v>
      </c>
      <c r="F20" s="272" t="str">
        <f ca="1">'Hilfstabelle Datendef KB'!T8</f>
        <v>-----</v>
      </c>
      <c r="G20" s="272">
        <f ca="1">'Hilfstabelle Datendef KB'!U8</f>
        <v>0</v>
      </c>
      <c r="H20" s="376" t="str">
        <f ca="1">'Hilfstabelle Datendef KB'!V8</f>
        <v>n.d.</v>
      </c>
      <c r="I20" s="272" t="str">
        <f ca="1">'Hilfstabelle Datendef KB'!W8</f>
        <v>Incomplete</v>
      </c>
      <c r="J20" s="134" t="str">
        <f ca="1">'Hilfstabelle Datendef KB'!X8</f>
        <v>-----</v>
      </c>
      <c r="K20" s="134" t="str">
        <f ca="1">'Hilfstabelle Datendef KB'!Y8</f>
        <v>-----</v>
      </c>
    </row>
    <row r="21" spans="1:11" ht="159.94999999999999" customHeight="1">
      <c r="A21" s="272">
        <f ca="1">'Hilfstabelle Datendef KB'!O9</f>
        <v>5</v>
      </c>
      <c r="B21" s="133" t="str">
        <f ca="1">'Hilfstabelle Datendef KB'!P9</f>
        <v>Melanoma: 
Counselling social services</v>
      </c>
      <c r="C21" s="374" t="str">
        <f ca="1">'Hilfstabelle Datendef KB'!Q9</f>
        <v>&lt; 15%</v>
      </c>
      <c r="D21" s="272" t="str">
        <f ca="1">'Hilfstabelle Datendef KB'!R9</f>
        <v>No target value</v>
      </c>
      <c r="E21" s="374" t="str">
        <f ca="1">'Hilfstabelle Datendef KB'!S9</f>
        <v>-----</v>
      </c>
      <c r="F21" s="272" t="str">
        <f ca="1">'Hilfstabelle Datendef KB'!T9</f>
        <v>-----</v>
      </c>
      <c r="G21" s="272">
        <f ca="1">'Hilfstabelle Datendef KB'!U9</f>
        <v>0</v>
      </c>
      <c r="H21" s="376" t="str">
        <f ca="1">'Hilfstabelle Datendef KB'!V9</f>
        <v>n.d.</v>
      </c>
      <c r="I21" s="272" t="str">
        <f ca="1">'Hilfstabelle Datendef KB'!W9</f>
        <v>Incomplete</v>
      </c>
      <c r="J21" s="134" t="str">
        <f ca="1">'Hilfstabelle Datendef KB'!X9</f>
        <v>-----</v>
      </c>
      <c r="K21" s="134" t="str">
        <f ca="1">'Hilfstabelle Datendef KB'!Y9</f>
        <v>-----</v>
      </c>
    </row>
    <row r="22" spans="1:11" ht="159.94999999999999" customHeight="1">
      <c r="A22" s="272">
        <f ca="1">'Hilfstabelle Datendef KB'!O10</f>
        <v>6</v>
      </c>
      <c r="B22" s="133" t="str">
        <f ca="1">'Hilfstabelle Datendef KB'!P10</f>
        <v xml:space="preserve">Melanoma:
Patients enrolled in a study </v>
      </c>
      <c r="C22" s="374" t="str">
        <f ca="1">'Hilfstabelle Datendef KB'!Q10</f>
        <v>-----</v>
      </c>
      <c r="D22" s="272" t="str">
        <f ca="1">'Hilfstabelle Datendef KB'!R10</f>
        <v>≥ 5%</v>
      </c>
      <c r="E22" s="374" t="str">
        <f ca="1">'Hilfstabelle Datendef KB'!S10</f>
        <v>&gt; 80%</v>
      </c>
      <c r="F22" s="272" t="str">
        <f ca="1">'Hilfstabelle Datendef KB'!T10</f>
        <v>-----</v>
      </c>
      <c r="G22" s="272" t="str">
        <f ca="1">'Hilfstabelle Datendef KB'!U10</f>
        <v>-----</v>
      </c>
      <c r="H22" s="376" t="str">
        <f ca="1">'Hilfstabelle Datendef KB'!V10</f>
        <v>n.d.</v>
      </c>
      <c r="I22" s="272" t="str">
        <f ca="1">'Hilfstabelle Datendef KB'!W10</f>
        <v>Incomplete</v>
      </c>
      <c r="J22" s="134" t="str">
        <f ca="1">'Hilfstabelle Datendef KB'!X10</f>
        <v>-----</v>
      </c>
      <c r="K22" s="134" t="str">
        <f ca="1">'Hilfstabelle Datendef KB'!Y10</f>
        <v>-----</v>
      </c>
    </row>
    <row r="23" spans="1:11" ht="159.94999999999999" customHeight="1">
      <c r="A23" s="272">
        <f ca="1">'Hilfstabelle Datendef KB'!O11</f>
        <v>7</v>
      </c>
      <c r="B23" s="133" t="str">
        <f ca="1">'Hilfstabelle Datendef KB'!P11</f>
        <v xml:space="preserve">Sentinel node biopsy (SNB) </v>
      </c>
      <c r="C23" s="374" t="str">
        <f ca="1">'Hilfstabelle Datendef KB'!Q11</f>
        <v>-----</v>
      </c>
      <c r="D23" s="272" t="str">
        <f ca="1">'Hilfstabelle Datendef KB'!R11</f>
        <v>≥ 90%</v>
      </c>
      <c r="E23" s="374" t="str">
        <f ca="1">'Hilfstabelle Datendef KB'!S11</f>
        <v>-----</v>
      </c>
      <c r="F23" s="272" t="str">
        <f ca="1">'Hilfstabelle Datendef KB'!T11</f>
        <v>-----</v>
      </c>
      <c r="G23" s="272" t="str">
        <f ca="1">'Hilfstabelle Datendef KB'!U11</f>
        <v>-----</v>
      </c>
      <c r="H23" s="376" t="str">
        <f ca="1">'Hilfstabelle Datendef KB'!V11</f>
        <v>n.d.</v>
      </c>
      <c r="I23" s="272" t="str">
        <f ca="1">'Hilfstabelle Datendef KB'!W11</f>
        <v>Incomplete</v>
      </c>
      <c r="J23" s="134" t="str">
        <f ca="1">'Hilfstabelle Datendef KB'!X11</f>
        <v>-----</v>
      </c>
      <c r="K23" s="134" t="str">
        <f ca="1">'Hilfstabelle Datendef KB'!Y11</f>
        <v>-----</v>
      </c>
    </row>
    <row r="24" spans="1:11" ht="159.94999999999999" customHeight="1">
      <c r="A24" s="272">
        <f ca="1">'Hilfstabelle Datendef KB'!O12</f>
        <v>8</v>
      </c>
      <c r="B24" s="133" t="str">
        <f ca="1">'Hilfstabelle Datendef KB'!P12</f>
        <v>Surgical interventions with safety margin defined in the guideline
(= malignant melanomas, Merkel cell carcinomas, sarcomas and other rare malignant skin tumours</v>
      </c>
      <c r="C24" s="374" t="str">
        <f ca="1">'Hilfstabelle Datendef KB'!Q12</f>
        <v>-----</v>
      </c>
      <c r="D24" s="272" t="str">
        <f ca="1">'Hilfstabelle Datendef KB'!R12</f>
        <v xml:space="preserve">≥ 30 </v>
      </c>
      <c r="E24" s="374" t="str">
        <f ca="1">'Hilfstabelle Datendef KB'!S12</f>
        <v>-----</v>
      </c>
      <c r="F24" s="272" t="str">
        <f ca="1">'Hilfstabelle Datendef KB'!T12</f>
        <v>-----</v>
      </c>
      <c r="G24" s="272" t="str">
        <f ca="1">'Hilfstabelle Datendef KB'!U12</f>
        <v>-----</v>
      </c>
      <c r="H24" s="376" t="str">
        <f ca="1">'Hilfstabelle Datendef KB'!V12</f>
        <v>-----</v>
      </c>
      <c r="I24" s="272" t="str">
        <f ca="1">'Hilfstabelle Datendef KB'!W12</f>
        <v>Incomplete</v>
      </c>
      <c r="J24" s="134" t="str">
        <f ca="1">'Hilfstabelle Datendef KB'!X12</f>
        <v>-----</v>
      </c>
      <c r="K24" s="134" t="str">
        <f ca="1">'Hilfstabelle Datendef KB'!Y12</f>
        <v>-----</v>
      </c>
    </row>
    <row r="25" spans="1:11" ht="159.94999999999999" customHeight="1">
      <c r="A25" s="272">
        <f ca="1">'Hilfstabelle Datendef KB'!O13</f>
        <v>9</v>
      </c>
      <c r="B25" s="133" t="str">
        <f ca="1">'Hilfstabelle Datendef KB'!P13</f>
        <v>Surgical interventions with histological margin control 
(= epithelial tumours)</v>
      </c>
      <c r="C25" s="374" t="str">
        <f ca="1">'Hilfstabelle Datendef KB'!Q13</f>
        <v>-----</v>
      </c>
      <c r="D25" s="272" t="str">
        <f ca="1">'Hilfstabelle Datendef KB'!R13</f>
        <v>≥ 100</v>
      </c>
      <c r="E25" s="374" t="str">
        <f ca="1">'Hilfstabelle Datendef KB'!S13</f>
        <v>-----</v>
      </c>
      <c r="F25" s="272" t="str">
        <f ca="1">'Hilfstabelle Datendef KB'!T13</f>
        <v>-----</v>
      </c>
      <c r="G25" s="272" t="str">
        <f ca="1">'Hilfstabelle Datendef KB'!U13</f>
        <v>-----</v>
      </c>
      <c r="H25" s="376" t="str">
        <f ca="1">'Hilfstabelle Datendef KB'!V13</f>
        <v>-----</v>
      </c>
      <c r="I25" s="272" t="str">
        <f ca="1">'Hilfstabelle Datendef KB'!W13</f>
        <v>Incomplete</v>
      </c>
      <c r="J25" s="134" t="str">
        <f ca="1">'Hilfstabelle Datendef KB'!X13</f>
        <v>-----</v>
      </c>
      <c r="K25" s="134" t="str">
        <f ca="1">'Hilfstabelle Datendef KB'!Y13</f>
        <v>-----</v>
      </c>
    </row>
    <row r="26" spans="1:11" ht="159.94999999999999" customHeight="1">
      <c r="A26" s="272">
        <f ca="1">'Hilfstabelle Datendef KB'!O14</f>
        <v>10</v>
      </c>
      <c r="B26" s="133" t="str">
        <f ca="1">'Hilfstabelle Datendef KB'!P14</f>
        <v>Revision surgery after secondary bleeding</v>
      </c>
      <c r="C26" s="374" t="str">
        <f ca="1">'Hilfstabelle Datendef KB'!Q14</f>
        <v>-----</v>
      </c>
      <c r="D26" s="272" t="str">
        <f ca="1">'Hilfstabelle Datendef KB'!R14</f>
        <v>≤  3%</v>
      </c>
      <c r="E26" s="374" t="str">
        <f ca="1">'Hilfstabelle Datendef KB'!S14</f>
        <v>-----</v>
      </c>
      <c r="F26" s="272" t="str">
        <f ca="1">'Hilfstabelle Datendef KB'!T14</f>
        <v>-----</v>
      </c>
      <c r="G26" s="272">
        <f ca="1">'Hilfstabelle Datendef KB'!U14</f>
        <v>0</v>
      </c>
      <c r="H26" s="376" t="str">
        <f ca="1">'Hilfstabelle Datendef KB'!V14</f>
        <v>n.d.</v>
      </c>
      <c r="I26" s="272" t="str">
        <f ca="1">'Hilfstabelle Datendef KB'!W14</f>
        <v>Incomplete</v>
      </c>
      <c r="J26" s="134" t="str">
        <f ca="1">'Hilfstabelle Datendef KB'!X14</f>
        <v>-----</v>
      </c>
      <c r="K26" s="134" t="str">
        <f ca="1">'Hilfstabelle Datendef KB'!Y14</f>
        <v>-----</v>
      </c>
    </row>
    <row r="27" spans="1:11" ht="159.94999999999999" customHeight="1">
      <c r="A27" s="272">
        <f ca="1">'Hilfstabelle Datendef KB'!O15</f>
        <v>11</v>
      </c>
      <c r="B27" s="133" t="str">
        <f ca="1">'Hilfstabelle Datendef KB'!P15</f>
        <v>Revision surgery in the case of secondary bleeding after SNB and LAD</v>
      </c>
      <c r="C27" s="374" t="str">
        <f ca="1">'Hilfstabelle Datendef KB'!Q15</f>
        <v>-----</v>
      </c>
      <c r="D27" s="272" t="str">
        <f ca="1">'Hilfstabelle Datendef KB'!R15</f>
        <v>≤  3%</v>
      </c>
      <c r="E27" s="374" t="str">
        <f ca="1">'Hilfstabelle Datendef KB'!S15</f>
        <v>-----</v>
      </c>
      <c r="F27" s="272" t="str">
        <f ca="1">'Hilfstabelle Datendef KB'!T15</f>
        <v>-----</v>
      </c>
      <c r="G27" s="272" t="str">
        <f ca="1">'Hilfstabelle Datendef KB'!U15</f>
        <v>-----</v>
      </c>
      <c r="H27" s="376" t="str">
        <f ca="1">'Hilfstabelle Datendef KB'!V15</f>
        <v>n.d.</v>
      </c>
      <c r="I27" s="272" t="str">
        <f ca="1">'Hilfstabelle Datendef KB'!W15</f>
        <v>Incomplete</v>
      </c>
      <c r="J27" s="134" t="str">
        <f ca="1">'Hilfstabelle Datendef KB'!X15</f>
        <v>-----</v>
      </c>
      <c r="K27" s="134" t="str">
        <f ca="1">'Hilfstabelle Datendef KB'!Y15</f>
        <v>-----</v>
      </c>
    </row>
    <row r="28" spans="1:11" ht="159.94999999999999" customHeight="1">
      <c r="A28" s="272">
        <f ca="1">'Hilfstabelle Datendef KB'!O16</f>
        <v>12</v>
      </c>
      <c r="B28" s="133" t="str">
        <f ca="1">'Hilfstabelle Datendef KB'!P16</f>
        <v>Revision surgery after post-operative wound infections</v>
      </c>
      <c r="C28" s="374" t="str">
        <f ca="1">'Hilfstabelle Datendef KB'!Q16</f>
        <v>-----</v>
      </c>
      <c r="D28" s="272" t="str">
        <f ca="1">'Hilfstabelle Datendef KB'!R16</f>
        <v>≤  3%</v>
      </c>
      <c r="E28" s="374" t="str">
        <f ca="1">'Hilfstabelle Datendef KB'!S16</f>
        <v>-----</v>
      </c>
      <c r="F28" s="272" t="str">
        <f ca="1">'Hilfstabelle Datendef KB'!T16</f>
        <v>-----</v>
      </c>
      <c r="G28" s="272">
        <f ca="1">'Hilfstabelle Datendef KB'!U16</f>
        <v>0</v>
      </c>
      <c r="H28" s="376" t="str">
        <f ca="1">'Hilfstabelle Datendef KB'!V16</f>
        <v>n.d.</v>
      </c>
      <c r="I28" s="272" t="str">
        <f ca="1">'Hilfstabelle Datendef KB'!W16</f>
        <v>Incomplete</v>
      </c>
      <c r="J28" s="134" t="str">
        <f ca="1">'Hilfstabelle Datendef KB'!X16</f>
        <v>-----</v>
      </c>
      <c r="K28" s="134" t="str">
        <f ca="1">'Hilfstabelle Datendef KB'!Y16</f>
        <v>-----</v>
      </c>
    </row>
  </sheetData>
  <sheetProtection algorithmName="SHA-512" hashValue="HqZJn5xF2q9120f4hJpzdoDni0R3epY4RzVn5CfIKgYsS6uKA2U9iBbRZWmCiC8LFpsQBFrXwfZGi9/hgQsjwA==" saltValue="uWaZhD0aRNAT+Zk5Xf3QYQ==" spinCount="100000" sheet="1" selectLockedCells="1" selectUnlockedCells="1"/>
  <customSheetViews>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C8:F8"/>
    <mergeCell ref="C6:J6"/>
    <mergeCell ref="I12:I13"/>
    <mergeCell ref="A12:A13"/>
    <mergeCell ref="B12:B13"/>
    <mergeCell ref="C12:E12"/>
    <mergeCell ref="F12:H12"/>
  </mergeCells>
  <phoneticPr fontId="41" type="noConversion"/>
  <conditionalFormatting sqref="J14:K28 A14:H28">
    <cfRule type="notContainsBlanks" dxfId="193" priority="21" stopIfTrue="1">
      <formula>LEN(TRIM(A14))&gt;0</formula>
    </cfRule>
  </conditionalFormatting>
  <conditionalFormatting sqref="I14:I28">
    <cfRule type="expression" dxfId="192" priority="1" stopIfTrue="1">
      <formula>AND($I14&lt;&gt;"",$I14="Sollvorgabe nicht erfüllt")</formula>
    </cfRule>
    <cfRule type="expression" dxfId="191" priority="17" stopIfTrue="1">
      <formula>AND($I14&lt;&gt;"",$I14="Ausnahme (Plausibilität unklar)")</formula>
    </cfRule>
    <cfRule type="expression" dxfId="190" priority="18" stopIfTrue="1">
      <formula>AND($I14&lt;&gt;"",$I14="I.O. (Plausibilität unklar)")</formula>
    </cfRule>
    <cfRule type="expression" dxfId="189" priority="19" stopIfTrue="1">
      <formula>OR(AND($I14&lt;&gt;"",$I14="Unvollständig"),AND($I14&lt;&gt;"",$I14="Inkorrekt"))</formula>
    </cfRule>
  </conditionalFormatting>
  <conditionalFormatting sqref="A12:A13 J12">
    <cfRule type="expression" dxfId="188" priority="16" stopIfTrue="1">
      <formula>$B$10="Kein Datendefizit vorhanden"</formula>
    </cfRule>
  </conditionalFormatting>
  <conditionalFormatting sqref="B12:B13">
    <cfRule type="expression" dxfId="187" priority="15" stopIfTrue="1">
      <formula>$B$10="Kein Datendefizit vorhanden"</formula>
    </cfRule>
  </conditionalFormatting>
  <conditionalFormatting sqref="C12:E12">
    <cfRule type="expression" dxfId="186" priority="14" stopIfTrue="1">
      <formula>$B$10="Kein Datendefizit vorhanden"</formula>
    </cfRule>
  </conditionalFormatting>
  <conditionalFormatting sqref="C13">
    <cfRule type="expression" dxfId="185" priority="13" stopIfTrue="1">
      <formula>$B$10="Kein Datendefizit vorhanden"</formula>
    </cfRule>
  </conditionalFormatting>
  <conditionalFormatting sqref="D13">
    <cfRule type="expression" dxfId="184" priority="12" stopIfTrue="1">
      <formula>$B$10="Kein Datendefizit vorhanden"</formula>
    </cfRule>
  </conditionalFormatting>
  <conditionalFormatting sqref="E13">
    <cfRule type="expression" dxfId="183" priority="11" stopIfTrue="1">
      <formula>$B$10="Kein Datendefizit vorhanden"</formula>
    </cfRule>
  </conditionalFormatting>
  <conditionalFormatting sqref="F13">
    <cfRule type="expression" dxfId="182" priority="10" stopIfTrue="1">
      <formula>$B$10="Kein Datendefizit vorhanden"</formula>
    </cfRule>
  </conditionalFormatting>
  <conditionalFormatting sqref="G13">
    <cfRule type="expression" dxfId="181" priority="9" stopIfTrue="1">
      <formula>$B$10="Kein Datendefizit vorhanden"</formula>
    </cfRule>
  </conditionalFormatting>
  <conditionalFormatting sqref="H13">
    <cfRule type="expression" dxfId="180" priority="8" stopIfTrue="1">
      <formula>$B$10="Kein Datendefizit vorhanden"</formula>
    </cfRule>
  </conditionalFormatting>
  <conditionalFormatting sqref="F12:H12">
    <cfRule type="expression" dxfId="179" priority="7" stopIfTrue="1">
      <formula>$B$10="Kein Datendefizit vorhanden"</formula>
    </cfRule>
  </conditionalFormatting>
  <conditionalFormatting sqref="I12:I13">
    <cfRule type="expression" dxfId="178" priority="6" stopIfTrue="1">
      <formula>$B$10="Kein Datendefizit vorhanden"</formula>
    </cfRule>
  </conditionalFormatting>
  <conditionalFormatting sqref="J13">
    <cfRule type="expression" dxfId="177" priority="4" stopIfTrue="1">
      <formula>$B$10="Kein Datendefizit vorhanden"</formula>
    </cfRule>
  </conditionalFormatting>
  <conditionalFormatting sqref="K13">
    <cfRule type="expression" dxfId="176" priority="3" stopIfTrue="1">
      <formula>$B$10="Kein Datendefizit vorhanden"</formula>
    </cfRule>
  </conditionalFormatting>
  <conditionalFormatting sqref="K12">
    <cfRule type="expression" dxfId="175" priority="2" stopIfTrue="1">
      <formula>$B$10="Kein Datendefizit vorhanden"</formula>
    </cfRule>
  </conditionalFormatting>
  <pageMargins left="0.39370078740157483" right="3.937007874015748E-2" top="0.59055118110236227" bottom="0.39370078740157483" header="0.11811023622047245" footer="0.11811023622047245"/>
  <pageSetup paperSize="9" orientation="landscape" r:id="rId3"/>
  <headerFooter>
    <oddFooter>&amp;L&amp;"Arial,Standard"&amp;7&amp;F&amp;C&amp;"Arial,Standard"&amp;7 © DKG  Alle Rechte vorbehalten&amp;R&amp;"Arial,Standard"&amp;7&amp;P</oddFooter>
  </headerFooter>
  <ignoredErrors>
    <ignoredError sqref="D13" formula="1"/>
  </ignoredErrors>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0"/>
  <dimension ref="A1:Y22"/>
  <sheetViews>
    <sheetView showGridLines="0" showWhiteSpace="0" zoomScaleNormal="100" workbookViewId="0">
      <pane ySplit="1" topLeftCell="A2" activePane="bottomLeft" state="frozen"/>
      <selection pane="bottomLeft" activeCell="X4" sqref="X4"/>
    </sheetView>
  </sheetViews>
  <sheetFormatPr baseColWidth="10" defaultColWidth="11.3984375" defaultRowHeight="10.15"/>
  <cols>
    <col min="1" max="1" width="17.86328125" style="351" customWidth="1"/>
    <col min="2" max="2" width="9.1328125" style="351" customWidth="1"/>
    <col min="3" max="3" width="3.3984375" style="256" customWidth="1"/>
    <col min="4" max="4" width="16.265625" style="351" customWidth="1"/>
    <col min="5" max="5" width="6.265625" style="351" customWidth="1"/>
    <col min="6" max="6" width="10.73046875" style="351" customWidth="1"/>
    <col min="7" max="7" width="6.265625" style="351" customWidth="1"/>
    <col min="8" max="10" width="6.3984375" style="351" customWidth="1"/>
    <col min="11" max="11" width="9.86328125" style="351" customWidth="1"/>
    <col min="12" max="12" width="36.59765625" style="351" customWidth="1"/>
    <col min="13" max="13" width="27.73046875" style="351" customWidth="1"/>
    <col min="14" max="14" width="13.265625" style="351" customWidth="1"/>
    <col min="15" max="15" width="7.59765625" style="256" customWidth="1"/>
    <col min="16" max="16" width="26.59765625" style="359" customWidth="1"/>
    <col min="17" max="22" width="7.86328125" style="256" customWidth="1"/>
    <col min="23" max="23" width="9.1328125" style="256" customWidth="1"/>
    <col min="24" max="25" width="20.1328125" style="351" customWidth="1"/>
    <col min="26" max="16384" width="11.3984375" style="351"/>
  </cols>
  <sheetData>
    <row r="1" spans="1:25" ht="37.5" customHeight="1">
      <c r="A1" s="363" t="s">
        <v>59</v>
      </c>
      <c r="B1" s="351" t="s">
        <v>322</v>
      </c>
      <c r="C1" s="358" t="s">
        <v>5</v>
      </c>
      <c r="D1" s="358" t="s">
        <v>269</v>
      </c>
      <c r="E1" s="358" t="s">
        <v>287</v>
      </c>
      <c r="F1" s="358" t="s">
        <v>6</v>
      </c>
      <c r="G1" s="358" t="s">
        <v>287</v>
      </c>
      <c r="H1" s="358" t="s">
        <v>140</v>
      </c>
      <c r="I1" s="358" t="s">
        <v>7</v>
      </c>
      <c r="J1" s="358" t="s">
        <v>17</v>
      </c>
      <c r="K1" s="358" t="s">
        <v>288</v>
      </c>
      <c r="L1" s="358" t="s">
        <v>0</v>
      </c>
      <c r="M1" s="358" t="s">
        <v>1</v>
      </c>
      <c r="O1" s="360" t="s">
        <v>323</v>
      </c>
    </row>
    <row r="2" spans="1:25" ht="62.1" customHeight="1">
      <c r="A2" s="335" t="str">
        <f>IF('Indicators Sheet_(IS)'!R12=0,"",'Indicators Sheet_(IS)'!R12)</f>
        <v>Incomplete</v>
      </c>
      <c r="C2" s="201" t="str">
        <f>IF($A2="I.O.","",'Indicators Sheet_(IS)'!B12)</f>
        <v>1.1</v>
      </c>
      <c r="D2" s="355" t="str">
        <f>IF($A2="I.O.","",'Indicators Sheet_(IS)'!E12)</f>
        <v>Epithelial tumours
(excl. in situ,
inter alia basal cell carcinoma, squamous cell carcinomas)</v>
      </c>
      <c r="E2" s="364" t="str">
        <f>IF(AND('Indicators Sheet_(IS)'!L12="",$A2&lt;&gt;"I.O."),"-----",IF($A2="I.O.","",'Indicators Sheet_(IS)'!L12))</f>
        <v>-----</v>
      </c>
      <c r="F2" s="364" t="str">
        <f>IF($A2="I.O.","",'Indicators Sheet_(IS)'!M12)</f>
        <v>≥ 100</v>
      </c>
      <c r="G2" s="364" t="str">
        <f>IF(AND('Indicators Sheet_(IS)'!O12="",$A2&lt;&gt;"I.O."),"-----",IF($A2="I.O.","",'Indicators Sheet_(IS)'!O12))</f>
        <v>-----</v>
      </c>
      <c r="H2" s="107">
        <f>IF($A2="I.O.","",IF('Indicators Sheet_(IS)'!Q12="","-----",'Indicators Sheet_(IS)'!Q12))</f>
        <v>0</v>
      </c>
      <c r="I2" s="107" t="str">
        <f>IF($A2="I.O.","","-----")</f>
        <v>-----</v>
      </c>
      <c r="J2" s="356" t="str">
        <f t="shared" ref="I2:J4" si="0">IF($A2="I.O.","","-----")</f>
        <v>-----</v>
      </c>
      <c r="K2" s="357" t="str">
        <f>IF($A2="I.O.","",'Indicators Sheet_(IS)'!R12)</f>
        <v>Incomplete</v>
      </c>
      <c r="L2" s="352" t="str">
        <f>IF(AND('Indicators Sheet_(IS)'!S12="",$A2&lt;&gt;"I.O."),"-----",IF($A2="I.O.","",'Indicators Sheet_(IS)'!S12))</f>
        <v>-----</v>
      </c>
      <c r="M2" s="352" t="str">
        <f>IF(AND('Indicators Sheet_(IS)'!T12="",$A2&lt;&gt;"I.O."),"-----",IF($A2="I.O.","",'Indicators Sheet_(IS)'!T12))</f>
        <v>-----</v>
      </c>
      <c r="O2" s="251" t="str">
        <f t="array" aca="1" ref="O2" ca="1">IF(ROW()-ROW($D$2:$D$22)+1&gt;ROWS($C$2:$C$22)-COUNTBLANK($C$2:$C$22),"",INDIRECT(ADDRESS(SMALL((IF($C$2:$C$22&lt;&gt;"",ROW($C$2:$C$22),ROW()+ROWS($C$2:$C$22))),ROW()-ROW($D$2:$D$22)+1),COLUMN($C$2:$C$22),4)))</f>
        <v>1.1</v>
      </c>
      <c r="P2" s="365" t="str">
        <f t="array" aca="1" ref="P2" ca="1">IF(ROW()-ROW($E$2:$E$22)+1&gt;ROWS($D$2:$D$22)-COUNTBLANK($D$2:$D$22),"",INDIRECT(ADDRESS(SMALL((IF($D$2:$D$22&gt;"",ROW($D$2:$D$22),ROW()+ROWS($D$2:$D$22))),ROW()-ROW($E$2:$E$22)+1),COLUMN($D$2:$D$22),4)))</f>
        <v>Epithelial tumours
(excl. in situ,
inter alia basal cell carcinoma, squamous cell carcinomas)</v>
      </c>
      <c r="Q2" s="362" t="str">
        <f t="array" aca="1" ref="Q2" ca="1">IF(ROW()-ROW($F$2:$F$22)+1&gt;ROWS($E$2:$E$22)-COUNTBLANK($E$2:$E$22),"",INDIRECT(ADDRESS(SMALL((IF($E$2:$E$22&gt;"",ROW($E$2:$E$22),ROW()+ROWS($E$2:$E$22))),ROW()-ROW($F$2:$F$22)+1),COLUMN($E$2:$E$22),4)))</f>
        <v>-----</v>
      </c>
      <c r="R2" s="362" t="str">
        <f t="array" aca="1" ref="R2" ca="1">IF(ROW()-ROW($G$2:$G$22)+1&gt;ROWS($F$2:$F$22)-COUNTBLANK($F$2:$F$22),"",INDIRECT(ADDRESS(SMALL((IF($F$2:$F$22&gt;"",ROW($F$2:$F$22),ROW()+ROWS($F$2:$F$22))),ROW()-ROW($G$2:$G$22)+1),COLUMN($F$2:$F$22),4)))</f>
        <v>≥ 100</v>
      </c>
      <c r="S2" s="362" t="str">
        <f t="array" aca="1" ref="S2" ca="1">IF(ROW()-ROW($H$2:$H$22)+1&gt;ROWS($G$2:$G$22)-COUNTBLANK($G$2:$G$22),"",INDIRECT(ADDRESS(SMALL((IF($G$2:$G$22&lt;&gt;"",ROW($G$2:$G$22),ROW()+ROWS($G$2:$G$22))),ROW()-ROW($H$2:$H$22)+1),COLUMN($G$2:$G$22),4)))</f>
        <v>-----</v>
      </c>
      <c r="T2" s="251">
        <f t="array" aca="1" ref="T2" ca="1">IF(ROW()-ROW($I$2:$I$22)+1&gt;ROWS($H$2:$H$22)-COUNTBLANK($H$2:$H$22),"",INDIRECT(ADDRESS(SMALL((IF($H$2:$H$22&lt;&gt;"",ROW($H$2:$H$22),ROW()+ROWS($H$2:$H$22))),ROW()-ROW($I$2:$I$22)+1),COLUMN($H$2:$H$22),4)))</f>
        <v>0</v>
      </c>
      <c r="U2" s="251" t="str">
        <f t="array" aca="1" ref="U2" ca="1">IF(ROW()-ROW($J$2:$J$22)+1&gt;ROWS($I$2:$I$22)-COUNTBLANK($I$2:$I$22),"",INDIRECT(ADDRESS(SMALL((IF($I$2:$I$22&lt;&gt;"",ROW($I$2:$I$22),ROW()+ROWS($I$2:$I$22))),ROW()-ROW($J$2:$J$22)+1),COLUMN($I$2:$I$22),4)))</f>
        <v>-----</v>
      </c>
      <c r="V2" s="361" t="str">
        <f t="array" aca="1" ref="V2" ca="1">IF(ROW()-ROW($K$2:$K$22)+1&gt;ROWS($J$2:$J$22)-COUNTBLANK($J$2:$J$22),"",INDIRECT(ADDRESS(SMALL((IF($J$2:$J$22&lt;&gt;"",ROW($J$2:$J$22),ROW()+ROWS($J$2:$J$22))),ROW()-ROW($K$2:$K$22)+1),COLUMN($J$2:$J$22),4)))</f>
        <v>-----</v>
      </c>
      <c r="W2" s="251" t="str">
        <f t="array" aca="1" ref="W2" ca="1">IF(ROW()-ROW($L$2:$L$22)+1&gt;ROWS($K$2:$K$22)-COUNTBLANK($K$2:$K$22),"",INDIRECT(ADDRESS(SMALL((IF($K$2:$K$22&lt;&gt;"",ROW($K$2:$K$22),ROW()+ROWS($K$2:$K$22))),ROW()-ROW($L$2:$L$22)+1),COLUMN($K$2:$K$22),4)))</f>
        <v>Incomplete</v>
      </c>
      <c r="X2" s="335" t="str">
        <f t="array" aca="1" ref="X2" ca="1">IF(ROW()-ROW($M$2:$M$22)+1&gt;ROWS($L$2:$L$22)-COUNTBLANK($L$2:$L$22),"",INDIRECT(ADDRESS(SMALL((IF($L$2:$L$22&lt;&gt;"",ROW($L$2:$L$22),ROW()+ROWS($L$2:$L$22))),ROW()-ROW($M$2:$M$22)+1),COLUMN($L$2:$L$22),4)))</f>
        <v>-----</v>
      </c>
      <c r="Y2" s="335" t="str">
        <f t="array" aca="1" ref="Y2" ca="1">IF(ROW()-ROW($N$2:$N$22)+1&gt;ROWS($M$2:$M$22)-COUNTBLANK($M$2:$M$22),"",INDIRECT(ADDRESS(SMALL((IF($M$2:$M$22&lt;&gt;"",ROW($M$2:$M$22),ROW()+ROWS($M$2:$M$22))),ROW()-ROW($N$2:$N$22)+1),COLUMN($M$2:$M$22),4)))</f>
        <v>-----</v>
      </c>
    </row>
    <row r="3" spans="1:25" ht="62.1" customHeight="1">
      <c r="A3" s="335" t="str">
        <f>IF('Indicators Sheet_(IS)'!R15=0,"",'Indicators Sheet_(IS)'!R15)</f>
        <v>Incomplete</v>
      </c>
      <c r="C3" s="201" t="str">
        <f>IF($A3="I.O.","",'Indicators Sheet_(IS)'!B15)</f>
        <v>1.2</v>
      </c>
      <c r="D3" s="355" t="str">
        <f>IF($A3="I.O.","",'Indicators Sheet_(IS)'!E15)</f>
        <v>Invasive malignant melanomas
(incl. malignant uveal, conjunctival, 
mucosal melanomas)</v>
      </c>
      <c r="E3" s="364" t="str">
        <f>IF(AND('Indicators Sheet_(IS)'!L15="",$A3&lt;&gt;"I.O."),"-----",IF($A3="I.O.","",'Indicators Sheet_(IS)'!L15))</f>
        <v>-----</v>
      </c>
      <c r="F3" s="364" t="str">
        <f>IF($A3="I.O.","",'Indicators Sheet_(IS)'!M15)</f>
        <v>≥ 40</v>
      </c>
      <c r="G3" s="364" t="str">
        <f>IF(AND('Indicators Sheet_(IS)'!O15="",$A3&lt;&gt;"I.O."),"-----",IF($A3="I.O.","",'Indicators Sheet_(IS)'!O15))</f>
        <v>-----</v>
      </c>
      <c r="H3" s="107">
        <f>IF($A3="I.O.","",IF('Indicators Sheet_(IS)'!Q15="","-----",'Indicators Sheet_(IS)'!Q15))</f>
        <v>0</v>
      </c>
      <c r="I3" s="107" t="str">
        <f t="shared" si="0"/>
        <v>-----</v>
      </c>
      <c r="J3" s="356" t="str">
        <f t="shared" si="0"/>
        <v>-----</v>
      </c>
      <c r="K3" s="357" t="str">
        <f>IF($A3="I.O.","",'Indicators Sheet_(IS)'!R15)</f>
        <v>Incomplete</v>
      </c>
      <c r="L3" s="352" t="str">
        <f>IF(AND('Indicators Sheet_(IS)'!S15="",$A3&lt;&gt;"I.O."),"-----",IF($A3="I.O.","",'Indicators Sheet_(IS)'!S15))</f>
        <v>-----</v>
      </c>
      <c r="M3" s="352" t="str">
        <f>IF(AND('Indicators Sheet_(IS)'!T15="",$A3&lt;&gt;"I.O."),"-----",IF($A3="I.O.","",'Indicators Sheet_(IS)'!T15))</f>
        <v>-----</v>
      </c>
      <c r="O3" s="251" t="str">
        <f t="array" aca="1" ref="O3" ca="1">IF(ROW()-ROW($D$2:$D$22)+1&gt;ROWS($C$2:$C$22)-COUNTBLANK($C$2:$C$22),"",INDIRECT(ADDRESS(SMALL((IF($C$2:$C$22&lt;&gt;"",ROW($C$2:$C$22),ROW()+ROWS($C$2:$C$22))),ROW()-ROW($D$2:$D$22)+1),COLUMN($C$2:$C$22),4)))</f>
        <v>1.2</v>
      </c>
      <c r="P3" s="365" t="str">
        <f t="array" aca="1" ref="P3" ca="1">IF(ROW()-ROW($E$2:$E$22)+1&gt;ROWS($D$2:$D$22)-COUNTBLANK($D$2:$D$22),"",INDIRECT(ADDRESS(SMALL((IF($D$2:$D$22&gt;"",ROW($D$2:$D$22),ROW()+ROWS($D$2:$D$22))),ROW()-ROW($E$2:$E$22)+1),COLUMN($D$2:$D$22),4)))</f>
        <v>Invasive malignant melanomas
(incl. malignant uveal, conjunctival, 
mucosal melanomas)</v>
      </c>
      <c r="Q3" s="362" t="str">
        <f t="array" aca="1" ref="Q3" ca="1">IF(ROW()-ROW($F$2:$F$22)+1&gt;ROWS($E$2:$E$22)-COUNTBLANK($E$2:$E$22),"",INDIRECT(ADDRESS(SMALL((IF($E$2:$E$22&gt;"",ROW($E$2:$E$22),ROW()+ROWS($E$2:$E$22))),ROW()-ROW($F$2:$F$22)+1),COLUMN($E$2:$E$22),4)))</f>
        <v>-----</v>
      </c>
      <c r="R3" s="362" t="str">
        <f t="array" aca="1" ref="R3" ca="1">IF(ROW()-ROW($G$2:$G$22)+1&gt;ROWS($F$2:$F$22)-COUNTBLANK($F$2:$F$22),"",INDIRECT(ADDRESS(SMALL((IF($F$2:$F$22&gt;"",ROW($F$2:$F$22),ROW()+ROWS($F$2:$F$22))),ROW()-ROW($G$2:$G$22)+1),COLUMN($F$2:$F$22),4)))</f>
        <v>≥ 40</v>
      </c>
      <c r="S3" s="362" t="str">
        <f t="array" aca="1" ref="S3" ca="1">IF(ROW()-ROW($H$2:$H$22)+1&gt;ROWS($G$2:$G$22)-COUNTBLANK($G$2:$G$22),"",INDIRECT(ADDRESS(SMALL((IF($G$2:$G$22&lt;&gt;"",ROW($G$2:$G$22),ROW()+ROWS($G$2:$G$22))),ROW()-ROW($H$2:$H$22)+1),COLUMN($G$2:$G$22),4)))</f>
        <v>-----</v>
      </c>
      <c r="T3" s="251">
        <f t="array" aca="1" ref="T3" ca="1">IF(ROW()-ROW($I$2:$I$22)+1&gt;ROWS($H$2:$H$22)-COUNTBLANK($H$2:$H$22),"",INDIRECT(ADDRESS(SMALL((IF($H$2:$H$22&lt;&gt;"",ROW($H$2:$H$22),ROW()+ROWS($H$2:$H$22))),ROW()-ROW($I$2:$I$22)+1),COLUMN($H$2:$H$22),4)))</f>
        <v>0</v>
      </c>
      <c r="U3" s="251" t="str">
        <f t="array" aca="1" ref="U3" ca="1">IF(ROW()-ROW($J$2:$J$22)+1&gt;ROWS($I$2:$I$22)-COUNTBLANK($I$2:$I$22),"",INDIRECT(ADDRESS(SMALL((IF($I$2:$I$22&lt;&gt;"",ROW($I$2:$I$22),ROW()+ROWS($I$2:$I$22))),ROW()-ROW($J$2:$J$22)+1),COLUMN($I$2:$I$22),4)))</f>
        <v>-----</v>
      </c>
      <c r="V3" s="361" t="str">
        <f t="array" aca="1" ref="V3" ca="1">IF(ROW()-ROW($K$2:$K$22)+1&gt;ROWS($J$2:$J$22)-COUNTBLANK($J$2:$J$22),"",INDIRECT(ADDRESS(SMALL((IF($J$2:$J$22&lt;&gt;"",ROW($J$2:$J$22),ROW()+ROWS($J$2:$J$22))),ROW()-ROW($K$2:$K$22)+1),COLUMN($J$2:$J$22),4)))</f>
        <v>-----</v>
      </c>
      <c r="W3" s="251" t="str">
        <f t="array" aca="1" ref="W3" ca="1">IF(ROW()-ROW($L$2:$L$22)+1&gt;ROWS($K$2:$K$22)-COUNTBLANK($K$2:$K$22),"",INDIRECT(ADDRESS(SMALL((IF($K$2:$K$22&lt;&gt;"",ROW($K$2:$K$22),ROW()+ROWS($K$2:$K$22))),ROW()-ROW($L$2:$L$22)+1),COLUMN($K$2:$K$22),4)))</f>
        <v>Incomplete</v>
      </c>
      <c r="X3" s="335" t="str">
        <f t="array" aca="1" ref="X3" ca="1">IF(ROW()-ROW($M$2:$M$22)+1&gt;ROWS($L$2:$L$22)-COUNTBLANK($L$2:$L$22),"",INDIRECT(ADDRESS(SMALL((IF($L$2:$L$22&lt;&gt;"",ROW($L$2:$L$22),ROW()+ROWS($L$2:$L$22))),ROW()-ROW($M$2:$M$22)+1),COLUMN($L$2:$L$22),4)))</f>
        <v>-----</v>
      </c>
      <c r="Y3" s="335" t="str">
        <f t="array" aca="1" ref="Y3" ca="1">IF(ROW()-ROW($N$2:$N$22)+1&gt;ROWS($M$2:$M$22)-COUNTBLANK($M$2:$M$22),"",INDIRECT(ADDRESS(SMALL((IF($M$2:$M$22&lt;&gt;"",ROW($M$2:$M$22),ROW()+ROWS($M$2:$M$22))),ROW()-ROW($N$2:$N$22)+1),COLUMN($M$2:$M$22),4)))</f>
        <v>-----</v>
      </c>
    </row>
    <row r="4" spans="1:25" ht="62.1" customHeight="1">
      <c r="A4" s="335" t="str">
        <f>IF('Indicators Sheet_(IS)'!R18=0,"",'Indicators Sheet_(IS)'!R18)</f>
        <v>Incomplete</v>
      </c>
      <c r="C4" s="201" t="str">
        <f>IF($A4="I.O.","",'Indicators Sheet_(IS)'!B18)</f>
        <v>1.3</v>
      </c>
      <c r="D4" s="355" t="str">
        <f>IF($A4="I.O.","",'Indicators Sheet_(IS)'!E18)</f>
        <v>Cutaneous lymphoma and other rare, malignant skin tumours
(angiosarcoma, Merkel cell carcinoma, DFSP, etc.)</v>
      </c>
      <c r="E4" s="364" t="str">
        <f>IF(AND('Indicators Sheet_(IS)'!L18="",$A4&lt;&gt;"I.O."),"-----",IF($A4="I.O.","",'Indicators Sheet_(IS)'!L18))</f>
        <v>-----</v>
      </c>
      <c r="F4" s="364" t="str">
        <f>IF($A4="I.O.","",'Indicators Sheet_(IS)'!M18)</f>
        <v>No target value</v>
      </c>
      <c r="G4" s="364" t="str">
        <f>IF(AND('Indicators Sheet_(IS)'!O18="",$A4&lt;&gt;"I.O."),"-----",IF($A4="I.O.","",'Indicators Sheet_(IS)'!O18))</f>
        <v>-----</v>
      </c>
      <c r="H4" s="107">
        <f>IF($A4="I.O.","",IF('Indicators Sheet_(IS)'!Q18="","-----",'Indicators Sheet_(IS)'!Q18))</f>
        <v>0</v>
      </c>
      <c r="I4" s="107" t="str">
        <f t="shared" si="0"/>
        <v>-----</v>
      </c>
      <c r="J4" s="356" t="str">
        <f t="shared" si="0"/>
        <v>-----</v>
      </c>
      <c r="K4" s="357" t="str">
        <f>IF($A4="I.O.","",'Indicators Sheet_(IS)'!R18)</f>
        <v>Incomplete</v>
      </c>
      <c r="L4" s="352" t="str">
        <f>IF(AND('Indicators Sheet_(IS)'!S18="",$A4&lt;&gt;"I.O."),"-----",IF($A4="I.O.","",'Indicators Sheet_(IS)'!S18))</f>
        <v>-----</v>
      </c>
      <c r="M4" s="352" t="str">
        <f>IF(AND('Indicators Sheet_(IS)'!T18="",$A4&lt;&gt;"I.O."),"-----",IF($A4="I.O.","",'Indicators Sheet_(IS)'!T18))</f>
        <v>-----</v>
      </c>
      <c r="O4" s="251" t="str">
        <f t="array" aca="1" ref="O4" ca="1">IF(ROW()-ROW($D$2:$D$22)+1&gt;ROWS($C$2:$C$22)-COUNTBLANK($C$2:$C$22),"",INDIRECT(ADDRESS(SMALL((IF($C$2:$C$22&lt;&gt;"",ROW($C$2:$C$22),ROW()+ROWS($C$2:$C$22))),ROW()-ROW($D$2:$D$22)+1),COLUMN($C$2:$C$22),4)))</f>
        <v>1.3</v>
      </c>
      <c r="P4" s="365" t="str">
        <f t="array" aca="1" ref="P4" ca="1">IF(ROW()-ROW($E$2:$E$22)+1&gt;ROWS($D$2:$D$22)-COUNTBLANK($D$2:$D$22),"",INDIRECT(ADDRESS(SMALL((IF($D$2:$D$22&gt;"",ROW($D$2:$D$22),ROW()+ROWS($D$2:$D$22))),ROW()-ROW($E$2:$E$22)+1),COLUMN($D$2:$D$22),4)))</f>
        <v>Cutaneous lymphoma and other rare, malignant skin tumours
(angiosarcoma, Merkel cell carcinoma, DFSP, etc.)</v>
      </c>
      <c r="Q4" s="362" t="str">
        <f t="array" aca="1" ref="Q4" ca="1">IF(ROW()-ROW($F$2:$F$22)+1&gt;ROWS($E$2:$E$22)-COUNTBLANK($E$2:$E$22),"",INDIRECT(ADDRESS(SMALL((IF($E$2:$E$22&gt;"",ROW($E$2:$E$22),ROW()+ROWS($E$2:$E$22))),ROW()-ROW($F$2:$F$22)+1),COLUMN($E$2:$E$22),4)))</f>
        <v>-----</v>
      </c>
      <c r="R4" s="362" t="str">
        <f t="array" aca="1" ref="R4" ca="1">IF(ROW()-ROW($G$2:$G$22)+1&gt;ROWS($F$2:$F$22)-COUNTBLANK($F$2:$F$22),"",INDIRECT(ADDRESS(SMALL((IF($F$2:$F$22&gt;"",ROW($F$2:$F$22),ROW()+ROWS($F$2:$F$22))),ROW()-ROW($G$2:$G$22)+1),COLUMN($F$2:$F$22),4)))</f>
        <v>No target value</v>
      </c>
      <c r="S4" s="362" t="str">
        <f t="array" aca="1" ref="S4" ca="1">IF(ROW()-ROW($H$2:$H$22)+1&gt;ROWS($G$2:$G$22)-COUNTBLANK($G$2:$G$22),"",INDIRECT(ADDRESS(SMALL((IF($G$2:$G$22&lt;&gt;"",ROW($G$2:$G$22),ROW()+ROWS($G$2:$G$22))),ROW()-ROW($H$2:$H$22)+1),COLUMN($G$2:$G$22),4)))</f>
        <v>-----</v>
      </c>
      <c r="T4" s="251">
        <f t="array" aca="1" ref="T4" ca="1">IF(ROW()-ROW($I$2:$I$22)+1&gt;ROWS($H$2:$H$22)-COUNTBLANK($H$2:$H$22),"",INDIRECT(ADDRESS(SMALL((IF($H$2:$H$22&lt;&gt;"",ROW($H$2:$H$22),ROW()+ROWS($H$2:$H$22))),ROW()-ROW($I$2:$I$22)+1),COLUMN($H$2:$H$22),4)))</f>
        <v>0</v>
      </c>
      <c r="U4" s="251" t="str">
        <f t="array" aca="1" ref="U4" ca="1">IF(ROW()-ROW($J$2:$J$22)+1&gt;ROWS($I$2:$I$22)-COUNTBLANK($I$2:$I$22),"",INDIRECT(ADDRESS(SMALL((IF($I$2:$I$22&lt;&gt;"",ROW($I$2:$I$22),ROW()+ROWS($I$2:$I$22))),ROW()-ROW($J$2:$J$22)+1),COLUMN($I$2:$I$22),4)))</f>
        <v>-----</v>
      </c>
      <c r="V4" s="361" t="str">
        <f t="array" aca="1" ref="V4" ca="1">IF(ROW()-ROW($K$2:$K$22)+1&gt;ROWS($J$2:$J$22)-COUNTBLANK($J$2:$J$22),"",INDIRECT(ADDRESS(SMALL((IF($J$2:$J$22&lt;&gt;"",ROW($J$2:$J$22),ROW()+ROWS($J$2:$J$22))),ROW()-ROW($K$2:$K$22)+1),COLUMN($J$2:$J$22),4)))</f>
        <v>-----</v>
      </c>
      <c r="W4" s="251" t="str">
        <f t="array" aca="1" ref="W4" ca="1">IF(ROW()-ROW($L$2:$L$22)+1&gt;ROWS($K$2:$K$22)-COUNTBLANK($K$2:$K$22),"",INDIRECT(ADDRESS(SMALL((IF($K$2:$K$22&lt;&gt;"",ROW($K$2:$K$22),ROW()+ROWS($K$2:$K$22))),ROW()-ROW($L$2:$L$22)+1),COLUMN($K$2:$K$22),4)))</f>
        <v>Incomplete</v>
      </c>
      <c r="X4" s="335" t="str">
        <f t="array" aca="1" ref="X4" ca="1">IF(ROW()-ROW($M$2:$M$22)+1&gt;ROWS($L$2:$L$22)-COUNTBLANK($L$2:$L$22),"",INDIRECT(ADDRESS(SMALL((IF($L$2:$L$22&lt;&gt;"",ROW($L$2:$L$22),ROW()+ROWS($L$2:$L$22))),ROW()-ROW($M$2:$M$22)+1),COLUMN($L$2:$L$22),4)))</f>
        <v>-----</v>
      </c>
      <c r="Y4" s="335" t="str">
        <f t="array" aca="1" ref="Y4" ca="1">IF(ROW()-ROW($N$2:$N$22)+1&gt;ROWS($M$2:$M$22)-COUNTBLANK($M$2:$M$22),"",INDIRECT(ADDRESS(SMALL((IF($M$2:$M$22&lt;&gt;"",ROW($M$2:$M$22),ROW()+ROWS($M$2:$M$22))),ROW()-ROW($N$2:$N$22)+1),COLUMN($M$2:$M$22),4)))</f>
        <v>-----</v>
      </c>
    </row>
    <row r="5" spans="1:25" ht="62.1" customHeight="1">
      <c r="A5" s="335" t="str">
        <f>IF('Indicators Sheet_(IS)'!R21=0,"",'Indicators Sheet_(IS)'!R21)</f>
        <v>Incomplete</v>
      </c>
      <c r="C5" s="201" t="str">
        <f>IF($A5="I.O.","",'Indicators Sheet_(IS)'!B21)</f>
        <v>1.4</v>
      </c>
      <c r="D5" s="355" t="str">
        <f>IF($A5="I.O.","",'Indicators Sheet_(IS)'!E21)</f>
        <v>Patients with stage shift / recurrence</v>
      </c>
      <c r="E5" s="364" t="str">
        <f>IF(AND('Indicators Sheet_(IS)'!L21="",$A5&lt;&gt;"I.O."),"-----",IF($A5="I.O.","",'Indicators Sheet_(IS)'!L21))</f>
        <v>-----</v>
      </c>
      <c r="F5" s="364" t="str">
        <f>IF($A5="I.O.","",'Indicators Sheet_(IS)'!M21)</f>
        <v>No target value</v>
      </c>
      <c r="G5" s="364" t="str">
        <f>IF(AND('Indicators Sheet_(IS)'!O21="",$A5&lt;&gt;"I.O."),"-----",IF($A5="I.O.","",'Indicators Sheet_(IS)'!O21))</f>
        <v>-----</v>
      </c>
      <c r="H5" s="107">
        <f>IF($A5="I.O.","",IF('Indicators Sheet_(IS)'!Q21="","-----",'Indicators Sheet_(IS)'!Q21))</f>
        <v>0</v>
      </c>
      <c r="I5" s="107" t="str">
        <f>IF($A5="I.O.","","-----")</f>
        <v>-----</v>
      </c>
      <c r="J5" s="356" t="str">
        <f>IF($A5="I.O.","","-----")</f>
        <v>-----</v>
      </c>
      <c r="K5" s="357" t="str">
        <f>IF($A5="I.O.","",'Indicators Sheet_(IS)'!R21)</f>
        <v>Incomplete</v>
      </c>
      <c r="L5" s="352" t="str">
        <f>IF(AND('Indicators Sheet_(IS)'!S21="",$A5&lt;&gt;"I.O."),"-----",IF($A5="I.O.","",'Indicators Sheet_(IS)'!S21))</f>
        <v>-----</v>
      </c>
      <c r="M5" s="352" t="str">
        <f>IF(AND('Indicators Sheet_(IS)'!T21="",$A5&lt;&gt;"I.O."),"-----",IF($A5="I.O.","",'Indicators Sheet_(IS)'!T21))</f>
        <v>-----</v>
      </c>
      <c r="O5" s="251" t="str">
        <f t="array" aca="1" ref="O5" ca="1">IF(ROW()-ROW($D$2:$D$22)+1&gt;ROWS($C$2:$C$22)-COUNTBLANK($C$2:$C$22),"",INDIRECT(ADDRESS(SMALL((IF($C$2:$C$22&lt;&gt;"",ROW($C$2:$C$22),ROW()+ROWS($C$2:$C$22))),ROW()-ROW($D$2:$D$22)+1),COLUMN($C$2:$C$22),4)))</f>
        <v>1.4</v>
      </c>
      <c r="P5" s="365" t="str">
        <f t="array" aca="1" ref="P5" ca="1">IF(ROW()-ROW($E$2:$E$22)+1&gt;ROWS($D$2:$D$22)-COUNTBLANK($D$2:$D$22),"",INDIRECT(ADDRESS(SMALL((IF($D$2:$D$22&gt;"",ROW($D$2:$D$22),ROW()+ROWS($D$2:$D$22))),ROW()-ROW($E$2:$E$22)+1),COLUMN($D$2:$D$22),4)))</f>
        <v>Patients with stage shift / recurrence</v>
      </c>
      <c r="Q5" s="362" t="str">
        <f t="array" aca="1" ref="Q5" ca="1">IF(ROW()-ROW($F$2:$F$22)+1&gt;ROWS($E$2:$E$22)-COUNTBLANK($E$2:$E$22),"",INDIRECT(ADDRESS(SMALL((IF($E$2:$E$22&gt;"",ROW($E$2:$E$22),ROW()+ROWS($E$2:$E$22))),ROW()-ROW($F$2:$F$22)+1),COLUMN($E$2:$E$22),4)))</f>
        <v>-----</v>
      </c>
      <c r="R5" s="362" t="str">
        <f t="array" aca="1" ref="R5" ca="1">IF(ROW()-ROW($G$2:$G$22)+1&gt;ROWS($F$2:$F$22)-COUNTBLANK($F$2:$F$22),"",INDIRECT(ADDRESS(SMALL((IF($F$2:$F$22&gt;"",ROW($F$2:$F$22),ROW()+ROWS($F$2:$F$22))),ROW()-ROW($G$2:$G$22)+1),COLUMN($F$2:$F$22),4)))</f>
        <v>No target value</v>
      </c>
      <c r="S5" s="362" t="str">
        <f t="array" aca="1" ref="S5" ca="1">IF(ROW()-ROW($H$2:$H$22)+1&gt;ROWS($G$2:$G$22)-COUNTBLANK($G$2:$G$22),"",INDIRECT(ADDRESS(SMALL((IF($G$2:$G$22&lt;&gt;"",ROW($G$2:$G$22),ROW()+ROWS($G$2:$G$22))),ROW()-ROW($H$2:$H$22)+1),COLUMN($G$2:$G$22),4)))</f>
        <v>-----</v>
      </c>
      <c r="T5" s="251">
        <f t="array" aca="1" ref="T5" ca="1">IF(ROW()-ROW($I$2:$I$22)+1&gt;ROWS($H$2:$H$22)-COUNTBLANK($H$2:$H$22),"",INDIRECT(ADDRESS(SMALL((IF($H$2:$H$22&lt;&gt;"",ROW($H$2:$H$22),ROW()+ROWS($H$2:$H$22))),ROW()-ROW($I$2:$I$22)+1),COLUMN($H$2:$H$22),4)))</f>
        <v>0</v>
      </c>
      <c r="U5" s="251" t="str">
        <f t="array" aca="1" ref="U5" ca="1">IF(ROW()-ROW($J$2:$J$22)+1&gt;ROWS($I$2:$I$22)-COUNTBLANK($I$2:$I$22),"",INDIRECT(ADDRESS(SMALL((IF($I$2:$I$22&lt;&gt;"",ROW($I$2:$I$22),ROW()+ROWS($I$2:$I$22))),ROW()-ROW($J$2:$J$22)+1),COLUMN($I$2:$I$22),4)))</f>
        <v>-----</v>
      </c>
      <c r="V5" s="361" t="str">
        <f t="array" aca="1" ref="V5" ca="1">IF(ROW()-ROW($K$2:$K$22)+1&gt;ROWS($J$2:$J$22)-COUNTBLANK($J$2:$J$22),"",INDIRECT(ADDRESS(SMALL((IF($J$2:$J$22&lt;&gt;"",ROW($J$2:$J$22),ROW()+ROWS($J$2:$J$22))),ROW()-ROW($K$2:$K$22)+1),COLUMN($J$2:$J$22),4)))</f>
        <v>-----</v>
      </c>
      <c r="W5" s="251" t="str">
        <f t="array" aca="1" ref="W5" ca="1">IF(ROW()-ROW($L$2:$L$22)+1&gt;ROWS($K$2:$K$22)-COUNTBLANK($K$2:$K$22),"",INDIRECT(ADDRESS(SMALL((IF($K$2:$K$22&lt;&gt;"",ROW($K$2:$K$22),ROW()+ROWS($K$2:$K$22))),ROW()-ROW($L$2:$L$22)+1),COLUMN($K$2:$K$22),4)))</f>
        <v>Incomplete</v>
      </c>
      <c r="X5" s="335" t="str">
        <f t="array" aca="1" ref="X5" ca="1">IF(ROW()-ROW($M$2:$M$22)+1&gt;ROWS($L$2:$L$22)-COUNTBLANK($L$2:$L$22),"",INDIRECT(ADDRESS(SMALL((IF($L$2:$L$22&lt;&gt;"",ROW($L$2:$L$22),ROW()+ROWS($L$2:$L$22))),ROW()-ROW($M$2:$M$22)+1),COLUMN($L$2:$L$22),4)))</f>
        <v>-----</v>
      </c>
      <c r="Y5" s="335" t="str">
        <f t="array" aca="1" ref="Y5" ca="1">IF(ROW()-ROW($N$2:$N$22)+1&gt;ROWS($M$2:$M$22)-COUNTBLANK($M$2:$M$22),"",INDIRECT(ADDRESS(SMALL((IF($M$2:$M$22&lt;&gt;"",ROW($M$2:$M$22),ROW()+ROWS($M$2:$M$22))),ROW()-ROW($N$2:$N$22)+1),COLUMN($M$2:$M$22),4)))</f>
        <v>-----</v>
      </c>
    </row>
    <row r="6" spans="1:25" ht="62.1" customHeight="1">
      <c r="A6" s="335" t="str">
        <f>IF('Indicators Sheet_(IS)'!R24=0,"",'Indicators Sheet_(IS)'!R24)</f>
        <v>Incomplete</v>
      </c>
      <c r="C6" s="201">
        <f>IF($A6="I.O.","",'Indicators Sheet_(IS)'!B24)</f>
        <v>2</v>
      </c>
      <c r="D6" s="355" t="str">
        <f>IF($A6="I.O.","",'Indicators Sheet_(IS)'!E24)</f>
        <v>Melanoma: 
Discussion of cases</v>
      </c>
      <c r="E6" s="364" t="str">
        <f>IF(AND('Indicators Sheet_(IS)'!L24="",$A6&lt;&gt;"I.O."),"-----",IF($A6="I.O.","",'Indicators Sheet_(IS)'!L24))</f>
        <v>-----</v>
      </c>
      <c r="F6" s="364" t="str">
        <f>IF($A6="I.O.","",'Indicators Sheet_(IS)'!M24)</f>
        <v>≥ 95%</v>
      </c>
      <c r="G6" s="364" t="str">
        <f>IF(AND('Indicators Sheet_(IS)'!O24="",$A6&lt;&gt;"I.O."),"-----",IF($A6="I.O.","",'Indicators Sheet_(IS)'!O24))</f>
        <v>-----</v>
      </c>
      <c r="H6" s="107" t="str">
        <f>IF($A6="I.O.","",IF('Indicators Sheet_(IS)'!Q24="","-----",'Indicators Sheet_(IS)'!Q24))</f>
        <v>-----</v>
      </c>
      <c r="I6" s="107">
        <f>IF($A6="I.O.","",IF('Indicators Sheet_(IS)'!Q25="","-----",'Indicators Sheet_(IS)'!Q25))</f>
        <v>0</v>
      </c>
      <c r="J6" s="356" t="str">
        <f>IF($A6="I.O.","",IF('Indicators Sheet_(IS)'!Q26="",0,'Indicators Sheet_(IS)'!Q26))</f>
        <v>n.d.</v>
      </c>
      <c r="K6" s="357" t="str">
        <f>IF($A6="I.O.","",'Indicators Sheet_(IS)'!R24)</f>
        <v>Incomplete</v>
      </c>
      <c r="L6" s="352" t="str">
        <f>IF(AND('Indicators Sheet_(IS)'!S24="",$A6&lt;&gt;"I.O."),"-----",IF($A6="I.O.","",'Indicators Sheet_(IS)'!S24))</f>
        <v>-----</v>
      </c>
      <c r="M6" s="352" t="str">
        <f>IF(AND('Indicators Sheet_(IS)'!T24="",$A6&lt;&gt;"I.O."),"-----",IF($A6="I.O.","",'Indicators Sheet_(IS)'!T24))</f>
        <v>-----</v>
      </c>
      <c r="O6" s="251">
        <f t="array" aca="1" ref="O6" ca="1">IF(ROW()-ROW($D$2:$D$22)+1&gt;ROWS($C$2:$C$22)-COUNTBLANK($C$2:$C$22),"",INDIRECT(ADDRESS(SMALL((IF($C$2:$C$22&lt;&gt;"",ROW($C$2:$C$22),ROW()+ROWS($C$2:$C$22))),ROW()-ROW($D$2:$D$22)+1),COLUMN($C$2:$C$22),4)))</f>
        <v>2</v>
      </c>
      <c r="P6" s="365" t="str">
        <f t="array" aca="1" ref="P6" ca="1">IF(ROW()-ROW($E$2:$E$22)+1&gt;ROWS($D$2:$D$22)-COUNTBLANK($D$2:$D$22),"",INDIRECT(ADDRESS(SMALL((IF($D$2:$D$22&gt;"",ROW($D$2:$D$22),ROW()+ROWS($D$2:$D$22))),ROW()-ROW($E$2:$E$22)+1),COLUMN($D$2:$D$22),4)))</f>
        <v>Melanoma: 
Discussion of cases</v>
      </c>
      <c r="Q6" s="362" t="str">
        <f t="array" aca="1" ref="Q6" ca="1">IF(ROW()-ROW($F$2:$F$22)+1&gt;ROWS($E$2:$E$22)-COUNTBLANK($E$2:$E$22),"",INDIRECT(ADDRESS(SMALL((IF($E$2:$E$22&gt;"",ROW($E$2:$E$22),ROW()+ROWS($E$2:$E$22))),ROW()-ROW($F$2:$F$22)+1),COLUMN($E$2:$E$22),4)))</f>
        <v>-----</v>
      </c>
      <c r="R6" s="362" t="str">
        <f t="array" aca="1" ref="R6" ca="1">IF(ROW()-ROW($G$2:$G$22)+1&gt;ROWS($F$2:$F$22)-COUNTBLANK($F$2:$F$22),"",INDIRECT(ADDRESS(SMALL((IF($F$2:$F$22&gt;"",ROW($F$2:$F$22),ROW()+ROWS($F$2:$F$22))),ROW()-ROW($G$2:$G$22)+1),COLUMN($F$2:$F$22),4)))</f>
        <v>≥ 95%</v>
      </c>
      <c r="S6" s="362" t="str">
        <f t="array" aca="1" ref="S6" ca="1">IF(ROW()-ROW($H$2:$H$22)+1&gt;ROWS($G$2:$G$22)-COUNTBLANK($G$2:$G$22),"",INDIRECT(ADDRESS(SMALL((IF($G$2:$G$22&lt;&gt;"",ROW($G$2:$G$22),ROW()+ROWS($G$2:$G$22))),ROW()-ROW($H$2:$H$22)+1),COLUMN($G$2:$G$22),4)))</f>
        <v>-----</v>
      </c>
      <c r="T6" s="251" t="str">
        <f t="array" aca="1" ref="T6" ca="1">IF(ROW()-ROW($I$2:$I$22)+1&gt;ROWS($H$2:$H$22)-COUNTBLANK($H$2:$H$22),"",INDIRECT(ADDRESS(SMALL((IF($H$2:$H$22&lt;&gt;"",ROW($H$2:$H$22),ROW()+ROWS($H$2:$H$22))),ROW()-ROW($I$2:$I$22)+1),COLUMN($H$2:$H$22),4)))</f>
        <v>-----</v>
      </c>
      <c r="U6" s="251">
        <f t="array" aca="1" ref="U6" ca="1">IF(ROW()-ROW($J$2:$J$22)+1&gt;ROWS($I$2:$I$22)-COUNTBLANK($I$2:$I$22),"",INDIRECT(ADDRESS(SMALL((IF($I$2:$I$22&lt;&gt;"",ROW($I$2:$I$22),ROW()+ROWS($I$2:$I$22))),ROW()-ROW($J$2:$J$22)+1),COLUMN($I$2:$I$22),4)))</f>
        <v>0</v>
      </c>
      <c r="V6" s="361" t="str">
        <f t="array" aca="1" ref="V6" ca="1">IF(ROW()-ROW($K$2:$K$22)+1&gt;ROWS($J$2:$J$22)-COUNTBLANK($J$2:$J$22),"",INDIRECT(ADDRESS(SMALL((IF($J$2:$J$22&lt;&gt;"",ROW($J$2:$J$22),ROW()+ROWS($J$2:$J$22))),ROW()-ROW($K$2:$K$22)+1),COLUMN($J$2:$J$22),4)))</f>
        <v>n.d.</v>
      </c>
      <c r="W6" s="251" t="str">
        <f t="array" aca="1" ref="W6" ca="1">IF(ROW()-ROW($L$2:$L$22)+1&gt;ROWS($K$2:$K$22)-COUNTBLANK($K$2:$K$22),"",INDIRECT(ADDRESS(SMALL((IF($K$2:$K$22&lt;&gt;"",ROW($K$2:$K$22),ROW()+ROWS($K$2:$K$22))),ROW()-ROW($L$2:$L$22)+1),COLUMN($K$2:$K$22),4)))</f>
        <v>Incomplete</v>
      </c>
      <c r="X6" s="335" t="str">
        <f t="array" aca="1" ref="X6" ca="1">IF(ROW()-ROW($M$2:$M$22)+1&gt;ROWS($L$2:$L$22)-COUNTBLANK($L$2:$L$22),"",INDIRECT(ADDRESS(SMALL((IF($L$2:$L$22&lt;&gt;"",ROW($L$2:$L$22),ROW()+ROWS($L$2:$L$22))),ROW()-ROW($M$2:$M$22)+1),COLUMN($L$2:$L$22),4)))</f>
        <v>-----</v>
      </c>
      <c r="Y6" s="335" t="str">
        <f t="array" aca="1" ref="Y6" ca="1">IF(ROW()-ROW($N$2:$N$22)+1&gt;ROWS($M$2:$M$22)-COUNTBLANK($M$2:$M$22),"",INDIRECT(ADDRESS(SMALL((IF($M$2:$M$22&lt;&gt;"",ROW($M$2:$M$22),ROW()+ROWS($M$2:$M$22))),ROW()-ROW($N$2:$N$22)+1),COLUMN($M$2:$M$22),4)))</f>
        <v>-----</v>
      </c>
    </row>
    <row r="7" spans="1:25" ht="62.1" customHeight="1">
      <c r="A7" s="335" t="str">
        <f>IF('Indicators Sheet_(IS)'!R27=0,"",'Indicators Sheet_(IS)'!R27)</f>
        <v>Incomplete</v>
      </c>
      <c r="C7" s="201">
        <f>IF($A7="I.O.","",'Indicators Sheet_(IS)'!B27)</f>
        <v>3</v>
      </c>
      <c r="D7" s="355" t="str">
        <f>IF($A7="I.O.","",'Indicators Sheet_(IS)'!E27)</f>
        <v>Melanoma:
Therapy deviation from recommendation tumour board</v>
      </c>
      <c r="E7" s="364" t="str">
        <f>IF(AND('Indicators Sheet_(IS)'!L27="",$A7&lt;&gt;"I.O."),"-----",IF($A7="I.O.","",'Indicators Sheet_(IS)'!L27))</f>
        <v>≤ 3%</v>
      </c>
      <c r="F7" s="364" t="str">
        <f>IF($A7="I.O.","",'Indicators Sheet_(IS)'!M27)</f>
        <v>≤ 25%</v>
      </c>
      <c r="G7" s="364" t="str">
        <f>IF(AND('Indicators Sheet_(IS)'!O27="",$A7&lt;&gt;"I.O."),"-----",IF($A7="I.O.","",'Indicators Sheet_(IS)'!O27))</f>
        <v>-----</v>
      </c>
      <c r="H7" s="107" t="str">
        <f>IF($A7="I.O.","",IF('Indicators Sheet_(IS)'!Q27="","-----",'Indicators Sheet_(IS)'!Q27))</f>
        <v>-----</v>
      </c>
      <c r="I7" s="107">
        <f>IF($A7="I.O.","",IF('Indicators Sheet_(IS)'!Q28="","-----",'Indicators Sheet_(IS)'!Q28))</f>
        <v>0</v>
      </c>
      <c r="J7" s="356" t="str">
        <f>IF($A7="I.O.","",IF('Indicators Sheet_(IS)'!Q29="",0,'Indicators Sheet_(IS)'!Q29))</f>
        <v>n.d.</v>
      </c>
      <c r="K7" s="357" t="str">
        <f>IF($A7="I.O.","",'Indicators Sheet_(IS)'!R27)</f>
        <v>Incomplete</v>
      </c>
      <c r="L7" s="352" t="str">
        <f>IF(AND('Indicators Sheet_(IS)'!S27="",$A7&lt;&gt;"I.O."),"-----",IF($A7="I.O.","",'Indicators Sheet_(IS)'!S27))</f>
        <v>-----</v>
      </c>
      <c r="M7" s="352" t="str">
        <f>IF(AND('Indicators Sheet_(IS)'!T27="",$A7&lt;&gt;"I.O."),"-----",IF($A7="I.O.","",'Indicators Sheet_(IS)'!T27))</f>
        <v>-----</v>
      </c>
      <c r="O7" s="251">
        <f t="array" aca="1" ref="O7" ca="1">IF(ROW()-ROW($D$2:$D$22)+1&gt;ROWS($C$2:$C$22)-COUNTBLANK($C$2:$C$22),"",INDIRECT(ADDRESS(SMALL((IF($C$2:$C$22&lt;&gt;"",ROW($C$2:$C$22),ROW()+ROWS($C$2:$C$22))),ROW()-ROW($D$2:$D$22)+1),COLUMN($C$2:$C$22),4)))</f>
        <v>3</v>
      </c>
      <c r="P7" s="365" t="str">
        <f t="array" aca="1" ref="P7" ca="1">IF(ROW()-ROW($E$2:$E$22)+1&gt;ROWS($D$2:$D$22)-COUNTBLANK($D$2:$D$22),"",INDIRECT(ADDRESS(SMALL((IF($D$2:$D$22&gt;"",ROW($D$2:$D$22),ROW()+ROWS($D$2:$D$22))),ROW()-ROW($E$2:$E$22)+1),COLUMN($D$2:$D$22),4)))</f>
        <v>Melanoma:
Therapy deviation from recommendation tumour board</v>
      </c>
      <c r="Q7" s="362" t="str">
        <f t="array" aca="1" ref="Q7" ca="1">IF(ROW()-ROW($F$2:$F$22)+1&gt;ROWS($E$2:$E$22)-COUNTBLANK($E$2:$E$22),"",INDIRECT(ADDRESS(SMALL((IF($E$2:$E$22&gt;"",ROW($E$2:$E$22),ROW()+ROWS($E$2:$E$22))),ROW()-ROW($F$2:$F$22)+1),COLUMN($E$2:$E$22),4)))</f>
        <v>≤ 3%</v>
      </c>
      <c r="R7" s="362" t="str">
        <f t="array" aca="1" ref="R7" ca="1">IF(ROW()-ROW($G$2:$G$22)+1&gt;ROWS($F$2:$F$22)-COUNTBLANK($F$2:$F$22),"",INDIRECT(ADDRESS(SMALL((IF($F$2:$F$22&gt;"",ROW($F$2:$F$22),ROW()+ROWS($F$2:$F$22))),ROW()-ROW($G$2:$G$22)+1),COLUMN($F$2:$F$22),4)))</f>
        <v>≤ 25%</v>
      </c>
      <c r="S7" s="362" t="str">
        <f t="array" aca="1" ref="S7" ca="1">IF(ROW()-ROW($H$2:$H$22)+1&gt;ROWS($G$2:$G$22)-COUNTBLANK($G$2:$G$22),"",INDIRECT(ADDRESS(SMALL((IF($G$2:$G$22&lt;&gt;"",ROW($G$2:$G$22),ROW()+ROWS($G$2:$G$22))),ROW()-ROW($H$2:$H$22)+1),COLUMN($G$2:$G$22),4)))</f>
        <v>-----</v>
      </c>
      <c r="T7" s="251" t="str">
        <f t="array" aca="1" ref="T7" ca="1">IF(ROW()-ROW($I$2:$I$22)+1&gt;ROWS($H$2:$H$22)-COUNTBLANK($H$2:$H$22),"",INDIRECT(ADDRESS(SMALL((IF($H$2:$H$22&lt;&gt;"",ROW($H$2:$H$22),ROW()+ROWS($H$2:$H$22))),ROW()-ROW($I$2:$I$22)+1),COLUMN($H$2:$H$22),4)))</f>
        <v>-----</v>
      </c>
      <c r="U7" s="251">
        <f t="array" aca="1" ref="U7" ca="1">IF(ROW()-ROW($J$2:$J$22)+1&gt;ROWS($I$2:$I$22)-COUNTBLANK($I$2:$I$22),"",INDIRECT(ADDRESS(SMALL((IF($I$2:$I$22&lt;&gt;"",ROW($I$2:$I$22),ROW()+ROWS($I$2:$I$22))),ROW()-ROW($J$2:$J$22)+1),COLUMN($I$2:$I$22),4)))</f>
        <v>0</v>
      </c>
      <c r="V7" s="361" t="str">
        <f t="array" aca="1" ref="V7" ca="1">IF(ROW()-ROW($K$2:$K$22)+1&gt;ROWS($J$2:$J$22)-COUNTBLANK($J$2:$J$22),"",INDIRECT(ADDRESS(SMALL((IF($J$2:$J$22&lt;&gt;"",ROW($J$2:$J$22),ROW()+ROWS($J$2:$J$22))),ROW()-ROW($K$2:$K$22)+1),COLUMN($J$2:$J$22),4)))</f>
        <v>n.d.</v>
      </c>
      <c r="W7" s="251" t="str">
        <f t="array" aca="1" ref="W7" ca="1">IF(ROW()-ROW($L$2:$L$22)+1&gt;ROWS($K$2:$K$22)-COUNTBLANK($K$2:$K$22),"",INDIRECT(ADDRESS(SMALL((IF($K$2:$K$22&lt;&gt;"",ROW($K$2:$K$22),ROW()+ROWS($K$2:$K$22))),ROW()-ROW($L$2:$L$22)+1),COLUMN($K$2:$K$22),4)))</f>
        <v>Incomplete</v>
      </c>
      <c r="X7" s="335" t="str">
        <f t="array" aca="1" ref="X7" ca="1">IF(ROW()-ROW($M$2:$M$22)+1&gt;ROWS($L$2:$L$22)-COUNTBLANK($L$2:$L$22),"",INDIRECT(ADDRESS(SMALL((IF($L$2:$L$22&lt;&gt;"",ROW($L$2:$L$22),ROW()+ROWS($L$2:$L$22))),ROW()-ROW($M$2:$M$22)+1),COLUMN($L$2:$L$22),4)))</f>
        <v>-----</v>
      </c>
      <c r="Y7" s="335" t="str">
        <f t="array" aca="1" ref="Y7" ca="1">IF(ROW()-ROW($N$2:$N$22)+1&gt;ROWS($M$2:$M$22)-COUNTBLANK($M$2:$M$22),"",INDIRECT(ADDRESS(SMALL((IF($M$2:$M$22&lt;&gt;"",ROW($M$2:$M$22),ROW()+ROWS($M$2:$M$22))),ROW()-ROW($N$2:$N$22)+1),COLUMN($M$2:$M$22),4)))</f>
        <v>-----</v>
      </c>
    </row>
    <row r="8" spans="1:25" ht="62.1" customHeight="1">
      <c r="A8" s="335" t="str">
        <f>IF('Indicators Sheet_(IS)'!R30=0,"",'Indicators Sheet_(IS)'!R30)</f>
        <v>Incomplete</v>
      </c>
      <c r="C8" s="201">
        <f>IF($A8="I.O.","",'Indicators Sheet_(IS)'!B30)</f>
        <v>4</v>
      </c>
      <c r="D8" s="355" t="str">
        <f>IF($A8="I.O.","",'Indicators Sheet_(IS)'!E30)</f>
        <v>Melanoma:
Psycho-oncological care</v>
      </c>
      <c r="E8" s="364" t="str">
        <f>IF(AND('Indicators Sheet_(IS)'!L30="",$A8&lt;&gt;"I.O."),"-----",IF($A8="I.O.","",'Indicators Sheet_(IS)'!L30))</f>
        <v>&lt; 5%</v>
      </c>
      <c r="F8" s="364" t="str">
        <f>IF($A8="I.O.","",'Indicators Sheet_(IS)'!M30)</f>
        <v>No target value</v>
      </c>
      <c r="G8" s="364" t="str">
        <f>IF(AND('Indicators Sheet_(IS)'!O30="",$A8&lt;&gt;"I.O."),"-----",IF($A8="I.O.","",'Indicators Sheet_(IS)'!O30))</f>
        <v>&gt; 70%</v>
      </c>
      <c r="H8" s="107" t="str">
        <f>IF($A8="I.O.","",IF('Indicators Sheet_(IS)'!Q30="","-----",'Indicators Sheet_(IS)'!Q30))</f>
        <v>-----</v>
      </c>
      <c r="I8" s="107">
        <f>IF($A8="I.O.","",IF('Indicators Sheet_(IS)'!Q31="","-----",'Indicators Sheet_(IS)'!Q31))</f>
        <v>0</v>
      </c>
      <c r="J8" s="356" t="str">
        <f>IF($A8="I.O.","",IF('Indicators Sheet_(IS)'!Q32="",0,'Indicators Sheet_(IS)'!Q32))</f>
        <v>n.d.</v>
      </c>
      <c r="K8" s="357" t="str">
        <f>IF($A8="I.O.","",'Indicators Sheet_(IS)'!R30)</f>
        <v>Incomplete</v>
      </c>
      <c r="L8" s="352" t="str">
        <f>IF(AND('Indicators Sheet_(IS)'!S30="",$A8&lt;&gt;"I.O."),"-----",IF($A8="I.O.","",'Indicators Sheet_(IS)'!S30))</f>
        <v>-----</v>
      </c>
      <c r="M8" s="352" t="str">
        <f>IF(AND('Indicators Sheet_(IS)'!T30="",$A8&lt;&gt;"I.O."),"-----",IF($A8="I.O.","",'Indicators Sheet_(IS)'!T30))</f>
        <v>-----</v>
      </c>
      <c r="O8" s="251">
        <f t="array" aca="1" ref="O8" ca="1">IF(ROW()-ROW($D$2:$D$22)+1&gt;ROWS($C$2:$C$22)-COUNTBLANK($C$2:$C$22),"",INDIRECT(ADDRESS(SMALL((IF($C$2:$C$22&lt;&gt;"",ROW($C$2:$C$22),ROW()+ROWS($C$2:$C$22))),ROW()-ROW($D$2:$D$22)+1),COLUMN($C$2:$C$22),4)))</f>
        <v>4</v>
      </c>
      <c r="P8" s="365" t="str">
        <f t="array" aca="1" ref="P8" ca="1">IF(ROW()-ROW($E$2:$E$22)+1&gt;ROWS($D$2:$D$22)-COUNTBLANK($D$2:$D$22),"",INDIRECT(ADDRESS(SMALL((IF($D$2:$D$22&gt;"",ROW($D$2:$D$22),ROW()+ROWS($D$2:$D$22))),ROW()-ROW($E$2:$E$22)+1),COLUMN($D$2:$D$22),4)))</f>
        <v>Melanoma:
Psycho-oncological care</v>
      </c>
      <c r="Q8" s="362" t="str">
        <f t="array" aca="1" ref="Q8" ca="1">IF(ROW()-ROW($F$2:$F$22)+1&gt;ROWS($E$2:$E$22)-COUNTBLANK($E$2:$E$22),"",INDIRECT(ADDRESS(SMALL((IF($E$2:$E$22&gt;"",ROW($E$2:$E$22),ROW()+ROWS($E$2:$E$22))),ROW()-ROW($F$2:$F$22)+1),COLUMN($E$2:$E$22),4)))</f>
        <v>&lt; 5%</v>
      </c>
      <c r="R8" s="362" t="str">
        <f t="array" aca="1" ref="R8" ca="1">IF(ROW()-ROW($G$2:$G$22)+1&gt;ROWS($F$2:$F$22)-COUNTBLANK($F$2:$F$22),"",INDIRECT(ADDRESS(SMALL((IF($F$2:$F$22&gt;"",ROW($F$2:$F$22),ROW()+ROWS($F$2:$F$22))),ROW()-ROW($G$2:$G$22)+1),COLUMN($F$2:$F$22),4)))</f>
        <v>No target value</v>
      </c>
      <c r="S8" s="362" t="str">
        <f t="array" aca="1" ref="S8" ca="1">IF(ROW()-ROW($H$2:$H$22)+1&gt;ROWS($G$2:$G$22)-COUNTBLANK($G$2:$G$22),"",INDIRECT(ADDRESS(SMALL((IF($G$2:$G$22&lt;&gt;"",ROW($G$2:$G$22),ROW()+ROWS($G$2:$G$22))),ROW()-ROW($H$2:$H$22)+1),COLUMN($G$2:$G$22),4)))</f>
        <v>&gt; 70%</v>
      </c>
      <c r="T8" s="251" t="str">
        <f t="array" aca="1" ref="T8" ca="1">IF(ROW()-ROW($I$2:$I$22)+1&gt;ROWS($H$2:$H$22)-COUNTBLANK($H$2:$H$22),"",INDIRECT(ADDRESS(SMALL((IF($H$2:$H$22&lt;&gt;"",ROW($H$2:$H$22),ROW()+ROWS($H$2:$H$22))),ROW()-ROW($I$2:$I$22)+1),COLUMN($H$2:$H$22),4)))</f>
        <v>-----</v>
      </c>
      <c r="U8" s="251">
        <f t="array" aca="1" ref="U8" ca="1">IF(ROW()-ROW($J$2:$J$22)+1&gt;ROWS($I$2:$I$22)-COUNTBLANK($I$2:$I$22),"",INDIRECT(ADDRESS(SMALL((IF($I$2:$I$22&lt;&gt;"",ROW($I$2:$I$22),ROW()+ROWS($I$2:$I$22))),ROW()-ROW($J$2:$J$22)+1),COLUMN($I$2:$I$22),4)))</f>
        <v>0</v>
      </c>
      <c r="V8" s="361" t="str">
        <f t="array" aca="1" ref="V8" ca="1">IF(ROW()-ROW($K$2:$K$22)+1&gt;ROWS($J$2:$J$22)-COUNTBLANK($J$2:$J$22),"",INDIRECT(ADDRESS(SMALL((IF($J$2:$J$22&lt;&gt;"",ROW($J$2:$J$22),ROW()+ROWS($J$2:$J$22))),ROW()-ROW($K$2:$K$22)+1),COLUMN($J$2:$J$22),4)))</f>
        <v>n.d.</v>
      </c>
      <c r="W8" s="251" t="str">
        <f t="array" aca="1" ref="W8" ca="1">IF(ROW()-ROW($L$2:$L$22)+1&gt;ROWS($K$2:$K$22)-COUNTBLANK($K$2:$K$22),"",INDIRECT(ADDRESS(SMALL((IF($K$2:$K$22&lt;&gt;"",ROW($K$2:$K$22),ROW()+ROWS($K$2:$K$22))),ROW()-ROW($L$2:$L$22)+1),COLUMN($K$2:$K$22),4)))</f>
        <v>Incomplete</v>
      </c>
      <c r="X8" s="335" t="str">
        <f t="array" aca="1" ref="X8" ca="1">IF(ROW()-ROW($M$2:$M$22)+1&gt;ROWS($L$2:$L$22)-COUNTBLANK($L$2:$L$22),"",INDIRECT(ADDRESS(SMALL((IF($L$2:$L$22&lt;&gt;"",ROW($L$2:$L$22),ROW()+ROWS($L$2:$L$22))),ROW()-ROW($M$2:$M$22)+1),COLUMN($L$2:$L$22),4)))</f>
        <v>-----</v>
      </c>
      <c r="Y8" s="335" t="str">
        <f t="array" aca="1" ref="Y8" ca="1">IF(ROW()-ROW($N$2:$N$22)+1&gt;ROWS($M$2:$M$22)-COUNTBLANK($M$2:$M$22),"",INDIRECT(ADDRESS(SMALL((IF($M$2:$M$22&lt;&gt;"",ROW($M$2:$M$22),ROW()+ROWS($M$2:$M$22))),ROW()-ROW($N$2:$N$22)+1),COLUMN($M$2:$M$22),4)))</f>
        <v>-----</v>
      </c>
    </row>
    <row r="9" spans="1:25" ht="62.1" customHeight="1">
      <c r="A9" s="335" t="str">
        <f>IF('Indicators Sheet_(IS)'!R33=0,"",'Indicators Sheet_(IS)'!R33)</f>
        <v>Incomplete</v>
      </c>
      <c r="C9" s="201">
        <f>IF($A9="I.O.","",'Indicators Sheet_(IS)'!B33)</f>
        <v>5</v>
      </c>
      <c r="D9" s="355" t="str">
        <f>IF($A9="I.O.","",'Indicators Sheet_(IS)'!E33)</f>
        <v>Melanoma: 
Counselling social services</v>
      </c>
      <c r="E9" s="364" t="str">
        <f>IF(AND('Indicators Sheet_(IS)'!L33="",$A9&lt;&gt;"I.O."),"-----",IF($A9="I.O.","",'Indicators Sheet_(IS)'!L33))</f>
        <v>&lt; 15%</v>
      </c>
      <c r="F9" s="364" t="str">
        <f>IF($A9="I.O.","",'Indicators Sheet_(IS)'!M33)</f>
        <v>No target value</v>
      </c>
      <c r="G9" s="364" t="str">
        <f>IF(AND('Indicators Sheet_(IS)'!O33="",$A9&lt;&gt;"I.O."),"-----",IF($A9="I.O.","",'Indicators Sheet_(IS)'!O33))</f>
        <v>-----</v>
      </c>
      <c r="H9" s="107" t="str">
        <f>IF($A9="I.O.","",IF('Indicators Sheet_(IS)'!Q33="","-----",'Indicators Sheet_(IS)'!Q33))</f>
        <v>-----</v>
      </c>
      <c r="I9" s="107">
        <f>IF($A9="I.O.","",IF('Indicators Sheet_(IS)'!Q34="","-----",'Indicators Sheet_(IS)'!Q34))</f>
        <v>0</v>
      </c>
      <c r="J9" s="356" t="str">
        <f>IF($A9="I.O.","",IF('Indicators Sheet_(IS)'!Q35="",0,'Indicators Sheet_(IS)'!Q35))</f>
        <v>n.d.</v>
      </c>
      <c r="K9" s="357" t="str">
        <f>IF($A9="I.O.","",'Indicators Sheet_(IS)'!R33)</f>
        <v>Incomplete</v>
      </c>
      <c r="L9" s="352" t="str">
        <f>IF(AND('Indicators Sheet_(IS)'!S33="",$A9&lt;&gt;"I.O."),"-----",IF($A9="I.O.","",'Indicators Sheet_(IS)'!S33))</f>
        <v>-----</v>
      </c>
      <c r="M9" s="352" t="str">
        <f>IF(AND('Indicators Sheet_(IS)'!T33="",$A9&lt;&gt;"I.O."),"-----",IF($A9="I.O.","",'Indicators Sheet_(IS)'!T33))</f>
        <v>-----</v>
      </c>
      <c r="O9" s="251">
        <f t="array" aca="1" ref="O9" ca="1">IF(ROW()-ROW($D$2:$D$22)+1&gt;ROWS($C$2:$C$22)-COUNTBLANK($C$2:$C$22),"",INDIRECT(ADDRESS(SMALL((IF($C$2:$C$22&lt;&gt;"",ROW($C$2:$C$22),ROW()+ROWS($C$2:$C$22))),ROW()-ROW($D$2:$D$22)+1),COLUMN($C$2:$C$22),4)))</f>
        <v>5</v>
      </c>
      <c r="P9" s="365" t="str">
        <f t="array" aca="1" ref="P9" ca="1">IF(ROW()-ROW($E$2:$E$22)+1&gt;ROWS($D$2:$D$22)-COUNTBLANK($D$2:$D$22),"",INDIRECT(ADDRESS(SMALL((IF($D$2:$D$22&gt;"",ROW($D$2:$D$22),ROW()+ROWS($D$2:$D$22))),ROW()-ROW($E$2:$E$22)+1),COLUMN($D$2:$D$22),4)))</f>
        <v>Melanoma: 
Counselling social services</v>
      </c>
      <c r="Q9" s="362" t="str">
        <f t="array" aca="1" ref="Q9" ca="1">IF(ROW()-ROW($F$2:$F$22)+1&gt;ROWS($E$2:$E$22)-COUNTBLANK($E$2:$E$22),"",INDIRECT(ADDRESS(SMALL((IF($E$2:$E$22&gt;"",ROW($E$2:$E$22),ROW()+ROWS($E$2:$E$22))),ROW()-ROW($F$2:$F$22)+1),COLUMN($E$2:$E$22),4)))</f>
        <v>&lt; 15%</v>
      </c>
      <c r="R9" s="362" t="str">
        <f t="array" aca="1" ref="R9" ca="1">IF(ROW()-ROW($G$2:$G$22)+1&gt;ROWS($F$2:$F$22)-COUNTBLANK($F$2:$F$22),"",INDIRECT(ADDRESS(SMALL((IF($F$2:$F$22&gt;"",ROW($F$2:$F$22),ROW()+ROWS($F$2:$F$22))),ROW()-ROW($G$2:$G$22)+1),COLUMN($F$2:$F$22),4)))</f>
        <v>No target value</v>
      </c>
      <c r="S9" s="362" t="str">
        <f t="array" aca="1" ref="S9" ca="1">IF(ROW()-ROW($H$2:$H$22)+1&gt;ROWS($G$2:$G$22)-COUNTBLANK($G$2:$G$22),"",INDIRECT(ADDRESS(SMALL((IF($G$2:$G$22&lt;&gt;"",ROW($G$2:$G$22),ROW()+ROWS($G$2:$G$22))),ROW()-ROW($H$2:$H$22)+1),COLUMN($G$2:$G$22),4)))</f>
        <v>-----</v>
      </c>
      <c r="T9" s="251" t="str">
        <f t="array" aca="1" ref="T9" ca="1">IF(ROW()-ROW($I$2:$I$22)+1&gt;ROWS($H$2:$H$22)-COUNTBLANK($H$2:$H$22),"",INDIRECT(ADDRESS(SMALL((IF($H$2:$H$22&lt;&gt;"",ROW($H$2:$H$22),ROW()+ROWS($H$2:$H$22))),ROW()-ROW($I$2:$I$22)+1),COLUMN($H$2:$H$22),4)))</f>
        <v>-----</v>
      </c>
      <c r="U9" s="251">
        <f t="array" aca="1" ref="U9" ca="1">IF(ROW()-ROW($J$2:$J$22)+1&gt;ROWS($I$2:$I$22)-COUNTBLANK($I$2:$I$22),"",INDIRECT(ADDRESS(SMALL((IF($I$2:$I$22&lt;&gt;"",ROW($I$2:$I$22),ROW()+ROWS($I$2:$I$22))),ROW()-ROW($J$2:$J$22)+1),COLUMN($I$2:$I$22),4)))</f>
        <v>0</v>
      </c>
      <c r="V9" s="361" t="str">
        <f t="array" aca="1" ref="V9" ca="1">IF(ROW()-ROW($K$2:$K$22)+1&gt;ROWS($J$2:$J$22)-COUNTBLANK($J$2:$J$22),"",INDIRECT(ADDRESS(SMALL((IF($J$2:$J$22&lt;&gt;"",ROW($J$2:$J$22),ROW()+ROWS($J$2:$J$22))),ROW()-ROW($K$2:$K$22)+1),COLUMN($J$2:$J$22),4)))</f>
        <v>n.d.</v>
      </c>
      <c r="W9" s="251" t="str">
        <f t="array" aca="1" ref="W9" ca="1">IF(ROW()-ROW($L$2:$L$22)+1&gt;ROWS($K$2:$K$22)-COUNTBLANK($K$2:$K$22),"",INDIRECT(ADDRESS(SMALL((IF($K$2:$K$22&lt;&gt;"",ROW($K$2:$K$22),ROW()+ROWS($K$2:$K$22))),ROW()-ROW($L$2:$L$22)+1),COLUMN($K$2:$K$22),4)))</f>
        <v>Incomplete</v>
      </c>
      <c r="X9" s="335" t="str">
        <f t="array" aca="1" ref="X9" ca="1">IF(ROW()-ROW($M$2:$M$22)+1&gt;ROWS($L$2:$L$22)-COUNTBLANK($L$2:$L$22),"",INDIRECT(ADDRESS(SMALL((IF($L$2:$L$22&lt;&gt;"",ROW($L$2:$L$22),ROW()+ROWS($L$2:$L$22))),ROW()-ROW($M$2:$M$22)+1),COLUMN($L$2:$L$22),4)))</f>
        <v>-----</v>
      </c>
      <c r="Y9" s="335" t="str">
        <f t="array" aca="1" ref="Y9" ca="1">IF(ROW()-ROW($N$2:$N$22)+1&gt;ROWS($M$2:$M$22)-COUNTBLANK($M$2:$M$22),"",INDIRECT(ADDRESS(SMALL((IF($M$2:$M$22&lt;&gt;"",ROW($M$2:$M$22),ROW()+ROWS($M$2:$M$22))),ROW()-ROW($N$2:$N$22)+1),COLUMN($M$2:$M$22),4)))</f>
        <v>-----</v>
      </c>
    </row>
    <row r="10" spans="1:25" ht="62.1" customHeight="1">
      <c r="A10" s="335" t="str">
        <f>IF('Indicators Sheet_(IS)'!R36=0,"",'Indicators Sheet_(IS)'!R36)</f>
        <v>Incomplete</v>
      </c>
      <c r="C10" s="201">
        <f>IF($A10="I.O.","",'Indicators Sheet_(IS)'!B36)</f>
        <v>6</v>
      </c>
      <c r="D10" s="355" t="str">
        <f>IF($A10="I.O.","",'Indicators Sheet_(IS)'!E36)</f>
        <v xml:space="preserve">Melanoma:
Patients enrolled in a study </v>
      </c>
      <c r="E10" s="364" t="str">
        <f>IF(AND('Indicators Sheet_(IS)'!L36="",$A10&lt;&gt;"I.O."),"-----",IF($A10="I.O.","",'Indicators Sheet_(IS)'!L36))</f>
        <v>-----</v>
      </c>
      <c r="F10" s="364" t="str">
        <f>IF($A10="I.O.","",'Indicators Sheet_(IS)'!M36)</f>
        <v>≥ 5%</v>
      </c>
      <c r="G10" s="364" t="str">
        <f>IF(AND('Indicators Sheet_(IS)'!O36="",$A10&lt;&gt;"I.O."),"-----",IF($A10="I.O.","",'Indicators Sheet_(IS)'!O36))</f>
        <v>&gt; 80%</v>
      </c>
      <c r="H10" s="107" t="str">
        <f>IF($A10="I.O.","",IF('Indicators Sheet_(IS)'!Q36="","-----",'Indicators Sheet_(IS)'!Q36))</f>
        <v>-----</v>
      </c>
      <c r="I10" s="107" t="str">
        <f>IF($A10="I.O.","",IF('Indicators Sheet_(IS)'!Q37="","-----",'Indicators Sheet_(IS)'!Q37))</f>
        <v>-----</v>
      </c>
      <c r="J10" s="356" t="str">
        <f>IF($A10="I.O.","",IF('Indicators Sheet_(IS)'!Q38="",0,'Indicators Sheet_(IS)'!Q38))</f>
        <v>n.d.</v>
      </c>
      <c r="K10" s="357" t="str">
        <f>IF($A10="I.O.","",'Indicators Sheet_(IS)'!R36)</f>
        <v>Incomplete</v>
      </c>
      <c r="L10" s="352" t="str">
        <f>IF(AND('Indicators Sheet_(IS)'!S36="",$A10&lt;&gt;"I.O."),"-----",IF($A10="I.O.","",'Indicators Sheet_(IS)'!S36))</f>
        <v>-----</v>
      </c>
      <c r="M10" s="352" t="str">
        <f>IF(AND('Indicators Sheet_(IS)'!T36="",$A10&lt;&gt;"I.O."),"-----",IF($A10="I.O.","",'Indicators Sheet_(IS)'!T36))</f>
        <v>-----</v>
      </c>
      <c r="O10" s="251">
        <f t="array" aca="1" ref="O10" ca="1">IF(ROW()-ROW($D$2:$D$22)+1&gt;ROWS($C$2:$C$22)-COUNTBLANK($C$2:$C$22),"",INDIRECT(ADDRESS(SMALL((IF($C$2:$C$22&lt;&gt;"",ROW($C$2:$C$22),ROW()+ROWS($C$2:$C$22))),ROW()-ROW($D$2:$D$22)+1),COLUMN($C$2:$C$22),4)))</f>
        <v>6</v>
      </c>
      <c r="P10" s="365" t="str">
        <f t="array" aca="1" ref="P10" ca="1">IF(ROW()-ROW($E$2:$E$22)+1&gt;ROWS($D$2:$D$22)-COUNTBLANK($D$2:$D$22),"",INDIRECT(ADDRESS(SMALL((IF($D$2:$D$22&gt;"",ROW($D$2:$D$22),ROW()+ROWS($D$2:$D$22))),ROW()-ROW($E$2:$E$22)+1),COLUMN($D$2:$D$22),4)))</f>
        <v xml:space="preserve">Melanoma:
Patients enrolled in a study </v>
      </c>
      <c r="Q10" s="362" t="str">
        <f t="array" aca="1" ref="Q10" ca="1">IF(ROW()-ROW($F$2:$F$22)+1&gt;ROWS($E$2:$E$22)-COUNTBLANK($E$2:$E$22),"",INDIRECT(ADDRESS(SMALL((IF($E$2:$E$22&gt;"",ROW($E$2:$E$22),ROW()+ROWS($E$2:$E$22))),ROW()-ROW($F$2:$F$22)+1),COLUMN($E$2:$E$22),4)))</f>
        <v>-----</v>
      </c>
      <c r="R10" s="362" t="str">
        <f t="array" aca="1" ref="R10" ca="1">IF(ROW()-ROW($G$2:$G$22)+1&gt;ROWS($F$2:$F$22)-COUNTBLANK($F$2:$F$22),"",INDIRECT(ADDRESS(SMALL((IF($F$2:$F$22&gt;"",ROW($F$2:$F$22),ROW()+ROWS($F$2:$F$22))),ROW()-ROW($G$2:$G$22)+1),COLUMN($F$2:$F$22),4)))</f>
        <v>≥ 5%</v>
      </c>
      <c r="S10" s="362" t="str">
        <f t="array" aca="1" ref="S10" ca="1">IF(ROW()-ROW($H$2:$H$22)+1&gt;ROWS($G$2:$G$22)-COUNTBLANK($G$2:$G$22),"",INDIRECT(ADDRESS(SMALL((IF($G$2:$G$22&lt;&gt;"",ROW($G$2:$G$22),ROW()+ROWS($G$2:$G$22))),ROW()-ROW($H$2:$H$22)+1),COLUMN($G$2:$G$22),4)))</f>
        <v>&gt; 80%</v>
      </c>
      <c r="T10" s="251" t="str">
        <f t="array" aca="1" ref="T10" ca="1">IF(ROW()-ROW($I$2:$I$22)+1&gt;ROWS($H$2:$H$22)-COUNTBLANK($H$2:$H$22),"",INDIRECT(ADDRESS(SMALL((IF($H$2:$H$22&lt;&gt;"",ROW($H$2:$H$22),ROW()+ROWS($H$2:$H$22))),ROW()-ROW($I$2:$I$22)+1),COLUMN($H$2:$H$22),4)))</f>
        <v>-----</v>
      </c>
      <c r="U10" s="251" t="str">
        <f t="array" aca="1" ref="U10" ca="1">IF(ROW()-ROW($J$2:$J$22)+1&gt;ROWS($I$2:$I$22)-COUNTBLANK($I$2:$I$22),"",INDIRECT(ADDRESS(SMALL((IF($I$2:$I$22&lt;&gt;"",ROW($I$2:$I$22),ROW()+ROWS($I$2:$I$22))),ROW()-ROW($J$2:$J$22)+1),COLUMN($I$2:$I$22),4)))</f>
        <v>-----</v>
      </c>
      <c r="V10" s="361" t="str">
        <f t="array" aca="1" ref="V10" ca="1">IF(ROW()-ROW($K$2:$K$22)+1&gt;ROWS($J$2:$J$22)-COUNTBLANK($J$2:$J$22),"",INDIRECT(ADDRESS(SMALL((IF($J$2:$J$22&lt;&gt;"",ROW($J$2:$J$22),ROW()+ROWS($J$2:$J$22))),ROW()-ROW($K$2:$K$22)+1),COLUMN($J$2:$J$22),4)))</f>
        <v>n.d.</v>
      </c>
      <c r="W10" s="251" t="str">
        <f t="array" aca="1" ref="W10" ca="1">IF(ROW()-ROW($L$2:$L$22)+1&gt;ROWS($K$2:$K$22)-COUNTBLANK($K$2:$K$22),"",INDIRECT(ADDRESS(SMALL((IF($K$2:$K$22&lt;&gt;"",ROW($K$2:$K$22),ROW()+ROWS($K$2:$K$22))),ROW()-ROW($L$2:$L$22)+1),COLUMN($K$2:$K$22),4)))</f>
        <v>Incomplete</v>
      </c>
      <c r="X10" s="335" t="str">
        <f t="array" aca="1" ref="X10" ca="1">IF(ROW()-ROW($M$2:$M$22)+1&gt;ROWS($L$2:$L$22)-COUNTBLANK($L$2:$L$22),"",INDIRECT(ADDRESS(SMALL((IF($L$2:$L$22&lt;&gt;"",ROW($L$2:$L$22),ROW()+ROWS($L$2:$L$22))),ROW()-ROW($M$2:$M$22)+1),COLUMN($L$2:$L$22),4)))</f>
        <v>-----</v>
      </c>
      <c r="Y10" s="335" t="str">
        <f t="array" aca="1" ref="Y10" ca="1">IF(ROW()-ROW($N$2:$N$22)+1&gt;ROWS($M$2:$M$22)-COUNTBLANK($M$2:$M$22),"",INDIRECT(ADDRESS(SMALL((IF($M$2:$M$22&lt;&gt;"",ROW($M$2:$M$22),ROW()+ROWS($M$2:$M$22))),ROW()-ROW($N$2:$N$22)+1),COLUMN($M$2:$M$22),4)))</f>
        <v>-----</v>
      </c>
    </row>
    <row r="11" spans="1:25" ht="94.5" customHeight="1">
      <c r="A11" s="335" t="str">
        <f>IF('Indicators Sheet_(IS)'!R39=0,"",'Indicators Sheet_(IS)'!R39)</f>
        <v>Incomplete</v>
      </c>
      <c r="C11" s="201">
        <f>IF($A11="I.O.","",'Indicators Sheet_(IS)'!B39)</f>
        <v>7</v>
      </c>
      <c r="D11" s="355" t="str">
        <f>IF($A11="I.O.","",'Indicators Sheet_(IS)'!E39)</f>
        <v xml:space="preserve">Sentinel node biopsy (SNB) </v>
      </c>
      <c r="E11" s="364" t="str">
        <f>IF(AND('Indicators Sheet_(IS)'!L39="",$A11&lt;&gt;"I.O."),"-----",IF($A11="I.O.","",'Indicators Sheet_(IS)'!L39))</f>
        <v>-----</v>
      </c>
      <c r="F11" s="364" t="str">
        <f>IF($A11="I.O.","",'Indicators Sheet_(IS)'!M39)</f>
        <v>≥ 90%</v>
      </c>
      <c r="G11" s="364" t="str">
        <f>IF(AND('Indicators Sheet_(IS)'!O39="",$A11&lt;&gt;"I.O."),"-----",IF($A11="I.O.","",'Indicators Sheet_(IS)'!O39))</f>
        <v>-----</v>
      </c>
      <c r="H11" s="107" t="str">
        <f>IF($A11="I.O.","",IF('Indicators Sheet_(IS)'!Q39="","-----",'Indicators Sheet_(IS)'!Q39))</f>
        <v>-----</v>
      </c>
      <c r="I11" s="107" t="str">
        <f>IF($A11="I.O.","",IF('Indicators Sheet_(IS)'!Q40="","-----",'Indicators Sheet_(IS)'!Q40))</f>
        <v>-----</v>
      </c>
      <c r="J11" s="356" t="str">
        <f>IF($A11="I.O.","",IF('Indicators Sheet_(IS)'!Q41="",0,'Indicators Sheet_(IS)'!Q41))</f>
        <v>n.d.</v>
      </c>
      <c r="K11" s="357" t="str">
        <f>IF($A11="I.O.","",'Indicators Sheet_(IS)'!R39)</f>
        <v>Incomplete</v>
      </c>
      <c r="L11" s="352" t="str">
        <f>IF(AND('Indicators Sheet_(IS)'!S39="",$A11&lt;&gt;"I.O."),"-----",IF($A11="I.O.","",'Indicators Sheet_(IS)'!S39))</f>
        <v>-----</v>
      </c>
      <c r="M11" s="352" t="str">
        <f>IF(AND('Indicators Sheet_(IS)'!T39="",$A11&lt;&gt;"I.O."),"-----",IF($A11="I.O.","",'Indicators Sheet_(IS)'!T39))</f>
        <v>-----</v>
      </c>
      <c r="O11" s="251">
        <f t="array" aca="1" ref="O11" ca="1">IF(ROW()-ROW($D$2:$D$22)+1&gt;ROWS($C$2:$C$22)-COUNTBLANK($C$2:$C$22),"",INDIRECT(ADDRESS(SMALL((IF($C$2:$C$22&lt;&gt;"",ROW($C$2:$C$22),ROW()+ROWS($C$2:$C$22))),ROW()-ROW($D$2:$D$22)+1),COLUMN($C$2:$C$22),4)))</f>
        <v>7</v>
      </c>
      <c r="P11" s="365" t="str">
        <f t="array" aca="1" ref="P11" ca="1">IF(ROW()-ROW($E$2:$E$22)+1&gt;ROWS($D$2:$D$22)-COUNTBLANK($D$2:$D$22),"",INDIRECT(ADDRESS(SMALL((IF($D$2:$D$22&gt;"",ROW($D$2:$D$22),ROW()+ROWS($D$2:$D$22))),ROW()-ROW($E$2:$E$22)+1),COLUMN($D$2:$D$22),4)))</f>
        <v xml:space="preserve">Sentinel node biopsy (SNB) </v>
      </c>
      <c r="Q11" s="362" t="str">
        <f t="array" aca="1" ref="Q11" ca="1">IF(ROW()-ROW($F$2:$F$22)+1&gt;ROWS($E$2:$E$22)-COUNTBLANK($E$2:$E$22),"",INDIRECT(ADDRESS(SMALL((IF($E$2:$E$22&gt;"",ROW($E$2:$E$22),ROW()+ROWS($E$2:$E$22))),ROW()-ROW($F$2:$F$22)+1),COLUMN($E$2:$E$22),4)))</f>
        <v>-----</v>
      </c>
      <c r="R11" s="362" t="str">
        <f t="array" aca="1" ref="R11" ca="1">IF(ROW()-ROW($G$2:$G$22)+1&gt;ROWS($F$2:$F$22)-COUNTBLANK($F$2:$F$22),"",INDIRECT(ADDRESS(SMALL((IF($F$2:$F$22&gt;"",ROW($F$2:$F$22),ROW()+ROWS($F$2:$F$22))),ROW()-ROW($G$2:$G$22)+1),COLUMN($F$2:$F$22),4)))</f>
        <v>≥ 90%</v>
      </c>
      <c r="S11" s="362" t="str">
        <f t="array" aca="1" ref="S11" ca="1">IF(ROW()-ROW($H$2:$H$22)+1&gt;ROWS($G$2:$G$22)-COUNTBLANK($G$2:$G$22),"",INDIRECT(ADDRESS(SMALL((IF($G$2:$G$22&lt;&gt;"",ROW($G$2:$G$22),ROW()+ROWS($G$2:$G$22))),ROW()-ROW($H$2:$H$22)+1),COLUMN($G$2:$G$22),4)))</f>
        <v>-----</v>
      </c>
      <c r="T11" s="251" t="str">
        <f t="array" aca="1" ref="T11" ca="1">IF(ROW()-ROW($I$2:$I$22)+1&gt;ROWS($H$2:$H$22)-COUNTBLANK($H$2:$H$22),"",INDIRECT(ADDRESS(SMALL((IF($H$2:$H$22&lt;&gt;"",ROW($H$2:$H$22),ROW()+ROWS($H$2:$H$22))),ROW()-ROW($I$2:$I$22)+1),COLUMN($H$2:$H$22),4)))</f>
        <v>-----</v>
      </c>
      <c r="U11" s="251" t="str">
        <f t="array" aca="1" ref="U11" ca="1">IF(ROW()-ROW($J$2:$J$22)+1&gt;ROWS($I$2:$I$22)-COUNTBLANK($I$2:$I$22),"",INDIRECT(ADDRESS(SMALL((IF($I$2:$I$22&lt;&gt;"",ROW($I$2:$I$22),ROW()+ROWS($I$2:$I$22))),ROW()-ROW($J$2:$J$22)+1),COLUMN($I$2:$I$22),4)))</f>
        <v>-----</v>
      </c>
      <c r="V11" s="361" t="str">
        <f t="array" aca="1" ref="V11" ca="1">IF(ROW()-ROW($K$2:$K$22)+1&gt;ROWS($J$2:$J$22)-COUNTBLANK($J$2:$J$22),"",INDIRECT(ADDRESS(SMALL((IF($J$2:$J$22&lt;&gt;"",ROW($J$2:$J$22),ROW()+ROWS($J$2:$J$22))),ROW()-ROW($K$2:$K$22)+1),COLUMN($J$2:$J$22),4)))</f>
        <v>n.d.</v>
      </c>
      <c r="W11" s="251" t="str">
        <f t="array" aca="1" ref="W11" ca="1">IF(ROW()-ROW($L$2:$L$22)+1&gt;ROWS($K$2:$K$22)-COUNTBLANK($K$2:$K$22),"",INDIRECT(ADDRESS(SMALL((IF($K$2:$K$22&lt;&gt;"",ROW($K$2:$K$22),ROW()+ROWS($K$2:$K$22))),ROW()-ROW($L$2:$L$22)+1),COLUMN($K$2:$K$22),4)))</f>
        <v>Incomplete</v>
      </c>
      <c r="X11" s="335" t="str">
        <f t="array" aca="1" ref="X11" ca="1">IF(ROW()-ROW($M$2:$M$22)+1&gt;ROWS($L$2:$L$22)-COUNTBLANK($L$2:$L$22),"",INDIRECT(ADDRESS(SMALL((IF($L$2:$L$22&lt;&gt;"",ROW($L$2:$L$22),ROW()+ROWS($L$2:$L$22))),ROW()-ROW($M$2:$M$22)+1),COLUMN($L$2:$L$22),4)))</f>
        <v>-----</v>
      </c>
      <c r="Y11" s="335" t="str">
        <f t="array" aca="1" ref="Y11" ca="1">IF(ROW()-ROW($N$2:$N$22)+1&gt;ROWS($M$2:$M$22)-COUNTBLANK($M$2:$M$22),"",INDIRECT(ADDRESS(SMALL((IF($M$2:$M$22&lt;&gt;"",ROW($M$2:$M$22),ROW()+ROWS($M$2:$M$22))),ROW()-ROW($N$2:$N$22)+1),COLUMN($M$2:$M$22),4)))</f>
        <v>-----</v>
      </c>
    </row>
    <row r="12" spans="1:25" ht="94.5" customHeight="1">
      <c r="A12" s="335" t="str">
        <f>IF('Indicators Sheet_(IS)'!R42=0,"",'Indicators Sheet_(IS)'!R42)</f>
        <v>Incomplete</v>
      </c>
      <c r="C12" s="201">
        <f>IF($A12="I.O.","",'Indicators Sheet_(IS)'!B42)</f>
        <v>8</v>
      </c>
      <c r="D12" s="355" t="str">
        <f>IF($A12="I.O.","",'Indicators Sheet_(IS)'!E42)</f>
        <v>Surgical interventions with safety margin defined in the guideline
(= malignant melanomas, Merkel cell carcinomas, sarcomas and other rare malignant skin tumours</v>
      </c>
      <c r="E12" s="364" t="str">
        <f>IF(AND('Indicators Sheet_(IS)'!L42="",$A12&lt;&gt;"I.O."),"-----",IF($A12="I.O.","",'Indicators Sheet_(IS)'!L42))</f>
        <v>-----</v>
      </c>
      <c r="F12" s="364" t="str">
        <f>IF($A12="I.O.","",'Indicators Sheet_(IS)'!M42)</f>
        <v xml:space="preserve">≥ 30 </v>
      </c>
      <c r="G12" s="364" t="str">
        <f>IF(AND('Indicators Sheet_(IS)'!O42="",$A12&lt;&gt;"I.O."),"-----",IF($A12="I.O.","",'Indicators Sheet_(IS)'!O42))</f>
        <v>-----</v>
      </c>
      <c r="H12" s="107" t="str">
        <f>IF($A12="I.O.","",IF('Indicators Sheet_(IS)'!Q42="","-----",'Indicators Sheet_(IS)'!Q42))</f>
        <v>-----</v>
      </c>
      <c r="I12" s="107" t="str">
        <f>IF($A12="I.O.","","-----")</f>
        <v>-----</v>
      </c>
      <c r="J12" s="356" t="str">
        <f>IF($A12="I.O.","","-----")</f>
        <v>-----</v>
      </c>
      <c r="K12" s="357" t="str">
        <f>IF($A12="I.O.","",'Indicators Sheet_(IS)'!R42)</f>
        <v>Incomplete</v>
      </c>
      <c r="L12" s="352" t="str">
        <f>IF(AND('Indicators Sheet_(IS)'!S42="",$A12&lt;&gt;"I.O."),"-----",IF($A12="I.O.","",'Indicators Sheet_(IS)'!S42))</f>
        <v>-----</v>
      </c>
      <c r="M12" s="352" t="str">
        <f>IF(AND('Indicators Sheet_(IS)'!T42="",$A12&lt;&gt;"I.O."),"-----",IF($A12="I.O.","",'Indicators Sheet_(IS)'!T42))</f>
        <v>-----</v>
      </c>
      <c r="O12" s="251">
        <f t="array" aca="1" ref="O12" ca="1">IF(ROW()-ROW($D$2:$D$22)+1&gt;ROWS($C$2:$C$22)-COUNTBLANK($C$2:$C$22),"",INDIRECT(ADDRESS(SMALL((IF($C$2:$C$22&lt;&gt;"",ROW($C$2:$C$22),ROW()+ROWS($C$2:$C$22))),ROW()-ROW($D$2:$D$22)+1),COLUMN($C$2:$C$22),4)))</f>
        <v>8</v>
      </c>
      <c r="P12" s="365" t="str">
        <f t="array" aca="1" ref="P12" ca="1">IF(ROW()-ROW($E$2:$E$22)+1&gt;ROWS($D$2:$D$22)-COUNTBLANK($D$2:$D$22),"",INDIRECT(ADDRESS(SMALL((IF($D$2:$D$22&gt;"",ROW($D$2:$D$22),ROW()+ROWS($D$2:$D$22))),ROW()-ROW($E$2:$E$22)+1),COLUMN($D$2:$D$22),4)))</f>
        <v>Surgical interventions with safety margin defined in the guideline
(= malignant melanomas, Merkel cell carcinomas, sarcomas and other rare malignant skin tumours</v>
      </c>
      <c r="Q12" s="362" t="str">
        <f t="array" aca="1" ref="Q12" ca="1">IF(ROW()-ROW($F$2:$F$22)+1&gt;ROWS($E$2:$E$22)-COUNTBLANK($E$2:$E$22),"",INDIRECT(ADDRESS(SMALL((IF($E$2:$E$22&gt;"",ROW($E$2:$E$22),ROW()+ROWS($E$2:$E$22))),ROW()-ROW($F$2:$F$22)+1),COLUMN($E$2:$E$22),4)))</f>
        <v>-----</v>
      </c>
      <c r="R12" s="362" t="str">
        <f t="array" aca="1" ref="R12" ca="1">IF(ROW()-ROW($G$2:$G$22)+1&gt;ROWS($F$2:$F$22)-COUNTBLANK($F$2:$F$22),"",INDIRECT(ADDRESS(SMALL((IF($F$2:$F$22&gt;"",ROW($F$2:$F$22),ROW()+ROWS($F$2:$F$22))),ROW()-ROW($G$2:$G$22)+1),COLUMN($F$2:$F$22),4)))</f>
        <v xml:space="preserve">≥ 30 </v>
      </c>
      <c r="S12" s="362" t="str">
        <f t="array" aca="1" ref="S12" ca="1">IF(ROW()-ROW($H$2:$H$22)+1&gt;ROWS($G$2:$G$22)-COUNTBLANK($G$2:$G$22),"",INDIRECT(ADDRESS(SMALL((IF($G$2:$G$22&lt;&gt;"",ROW($G$2:$G$22),ROW()+ROWS($G$2:$G$22))),ROW()-ROW($H$2:$H$22)+1),COLUMN($G$2:$G$22),4)))</f>
        <v>-----</v>
      </c>
      <c r="T12" s="251" t="str">
        <f t="array" aca="1" ref="T12" ca="1">IF(ROW()-ROW($I$2:$I$22)+1&gt;ROWS($H$2:$H$22)-COUNTBLANK($H$2:$H$22),"",INDIRECT(ADDRESS(SMALL((IF($H$2:$H$22&lt;&gt;"",ROW($H$2:$H$22),ROW()+ROWS($H$2:$H$22))),ROW()-ROW($I$2:$I$22)+1),COLUMN($H$2:$H$22),4)))</f>
        <v>-----</v>
      </c>
      <c r="U12" s="251" t="str">
        <f t="array" aca="1" ref="U12" ca="1">IF(ROW()-ROW($J$2:$J$22)+1&gt;ROWS($I$2:$I$22)-COUNTBLANK($I$2:$I$22),"",INDIRECT(ADDRESS(SMALL((IF($I$2:$I$22&lt;&gt;"",ROW($I$2:$I$22),ROW()+ROWS($I$2:$I$22))),ROW()-ROW($J$2:$J$22)+1),COLUMN($I$2:$I$22),4)))</f>
        <v>-----</v>
      </c>
      <c r="V12" s="361" t="str">
        <f t="array" aca="1" ref="V12" ca="1">IF(ROW()-ROW($K$2:$K$22)+1&gt;ROWS($J$2:$J$22)-COUNTBLANK($J$2:$J$22),"",INDIRECT(ADDRESS(SMALL((IF($J$2:$J$22&lt;&gt;"",ROW($J$2:$J$22),ROW()+ROWS($J$2:$J$22))),ROW()-ROW($K$2:$K$22)+1),COLUMN($J$2:$J$22),4)))</f>
        <v>-----</v>
      </c>
      <c r="W12" s="251" t="str">
        <f t="array" aca="1" ref="W12" ca="1">IF(ROW()-ROW($L$2:$L$22)+1&gt;ROWS($K$2:$K$22)-COUNTBLANK($K$2:$K$22),"",INDIRECT(ADDRESS(SMALL((IF($K$2:$K$22&lt;&gt;"",ROW($K$2:$K$22),ROW()+ROWS($K$2:$K$22))),ROW()-ROW($L$2:$L$22)+1),COLUMN($K$2:$K$22),4)))</f>
        <v>Incomplete</v>
      </c>
      <c r="X12" s="335" t="str">
        <f t="array" aca="1" ref="X12" ca="1">IF(ROW()-ROW($M$2:$M$22)+1&gt;ROWS($L$2:$L$22)-COUNTBLANK($L$2:$L$22),"",INDIRECT(ADDRESS(SMALL((IF($L$2:$L$22&lt;&gt;"",ROW($L$2:$L$22),ROW()+ROWS($L$2:$L$22))),ROW()-ROW($M$2:$M$22)+1),COLUMN($L$2:$L$22),4)))</f>
        <v>-----</v>
      </c>
      <c r="Y12" s="335" t="str">
        <f t="array" aca="1" ref="Y12" ca="1">IF(ROW()-ROW($N$2:$N$22)+1&gt;ROWS($M$2:$M$22)-COUNTBLANK($M$2:$M$22),"",INDIRECT(ADDRESS(SMALL((IF($M$2:$M$22&lt;&gt;"",ROW($M$2:$M$22),ROW()+ROWS($M$2:$M$22))),ROW()-ROW($N$2:$N$22)+1),COLUMN($M$2:$M$22),4)))</f>
        <v>-----</v>
      </c>
    </row>
    <row r="13" spans="1:25" ht="62.1" customHeight="1">
      <c r="A13" s="335" t="str">
        <f>IF('Indicators Sheet_(IS)'!R45=0,"",'Indicators Sheet_(IS)'!R45)</f>
        <v>Incomplete</v>
      </c>
      <c r="C13" s="201">
        <f>IF($A13="I.O.","",'Indicators Sheet_(IS)'!B45)</f>
        <v>9</v>
      </c>
      <c r="D13" s="355" t="str">
        <f>IF($A13="I.O.","",'Indicators Sheet_(IS)'!E45)</f>
        <v>Surgical interventions with histological margin control 
(= epithelial tumours)</v>
      </c>
      <c r="E13" s="364" t="str">
        <f>IF(AND('Indicators Sheet_(IS)'!L45="",$A13&lt;&gt;"I.O."),"-----",IF($A13="I.O.","",'Indicators Sheet_(IS)'!L45))</f>
        <v>-----</v>
      </c>
      <c r="F13" s="364" t="str">
        <f>IF($A13="I.O.","",'Indicators Sheet_(IS)'!M45)</f>
        <v>≥ 100</v>
      </c>
      <c r="G13" s="364" t="str">
        <f>IF(AND('Indicators Sheet_(IS)'!O45="",$A13&lt;&gt;"I.O."),"-----",IF($A13="I.O.","",'Indicators Sheet_(IS)'!O45))</f>
        <v>-----</v>
      </c>
      <c r="H13" s="107" t="str">
        <f>IF($A13="I.O.","",IF('Indicators Sheet_(IS)'!Q45="","-----",'Indicators Sheet_(IS)'!Q45))</f>
        <v>-----</v>
      </c>
      <c r="I13" s="107" t="str">
        <f>IF($A13="I.O.","","-----")</f>
        <v>-----</v>
      </c>
      <c r="J13" s="356" t="str">
        <f>IF($A13="I.O.","","-----")</f>
        <v>-----</v>
      </c>
      <c r="K13" s="357" t="str">
        <f>IF($A13="I.O.","",'Indicators Sheet_(IS)'!R45)</f>
        <v>Incomplete</v>
      </c>
      <c r="L13" s="352" t="str">
        <f>IF(AND('Indicators Sheet_(IS)'!S45="",$A13&lt;&gt;"I.O."),"-----",IF($A13="I.O.","",'Indicators Sheet_(IS)'!S45))</f>
        <v>-----</v>
      </c>
      <c r="M13" s="352" t="str">
        <f>IF(AND('Indicators Sheet_(IS)'!T45="",$A13&lt;&gt;"I.O."),"-----",IF($A13="I.O.","",'Indicators Sheet_(IS)'!T45))</f>
        <v>-----</v>
      </c>
      <c r="O13" s="251">
        <f t="array" aca="1" ref="O13" ca="1">IF(ROW()-ROW($D$2:$D$22)+1&gt;ROWS($C$2:$C$22)-COUNTBLANK($C$2:$C$22),"",INDIRECT(ADDRESS(SMALL((IF($C$2:$C$22&lt;&gt;"",ROW($C$2:$C$22),ROW()+ROWS($C$2:$C$22))),ROW()-ROW($D$2:$D$22)+1),COLUMN($C$2:$C$22),4)))</f>
        <v>9</v>
      </c>
      <c r="P13" s="365" t="str">
        <f t="array" aca="1" ref="P13" ca="1">IF(ROW()-ROW($E$2:$E$22)+1&gt;ROWS($D$2:$D$22)-COUNTBLANK($D$2:$D$22),"",INDIRECT(ADDRESS(SMALL((IF($D$2:$D$22&gt;"",ROW($D$2:$D$22),ROW()+ROWS($D$2:$D$22))),ROW()-ROW($E$2:$E$22)+1),COLUMN($D$2:$D$22),4)))</f>
        <v>Surgical interventions with histological margin control 
(= epithelial tumours)</v>
      </c>
      <c r="Q13" s="362" t="str">
        <f t="array" aca="1" ref="Q13" ca="1">IF(ROW()-ROW($F$2:$F$22)+1&gt;ROWS($E$2:$E$22)-COUNTBLANK($E$2:$E$22),"",INDIRECT(ADDRESS(SMALL((IF($E$2:$E$22&gt;"",ROW($E$2:$E$22),ROW()+ROWS($E$2:$E$22))),ROW()-ROW($F$2:$F$22)+1),COLUMN($E$2:$E$22),4)))</f>
        <v>-----</v>
      </c>
      <c r="R13" s="362" t="str">
        <f t="array" aca="1" ref="R13" ca="1">IF(ROW()-ROW($G$2:$G$22)+1&gt;ROWS($F$2:$F$22)-COUNTBLANK($F$2:$F$22),"",INDIRECT(ADDRESS(SMALL((IF($F$2:$F$22&gt;"",ROW($F$2:$F$22),ROW()+ROWS($F$2:$F$22))),ROW()-ROW($G$2:$G$22)+1),COLUMN($F$2:$F$22),4)))</f>
        <v>≥ 100</v>
      </c>
      <c r="S13" s="362" t="str">
        <f t="array" aca="1" ref="S13" ca="1">IF(ROW()-ROW($H$2:$H$22)+1&gt;ROWS($G$2:$G$22)-COUNTBLANK($G$2:$G$22),"",INDIRECT(ADDRESS(SMALL((IF($G$2:$G$22&lt;&gt;"",ROW($G$2:$G$22),ROW()+ROWS($G$2:$G$22))),ROW()-ROW($H$2:$H$22)+1),COLUMN($G$2:$G$22),4)))</f>
        <v>-----</v>
      </c>
      <c r="T13" s="251" t="str">
        <f t="array" aca="1" ref="T13" ca="1">IF(ROW()-ROW($I$2:$I$22)+1&gt;ROWS($H$2:$H$22)-COUNTBLANK($H$2:$H$22),"",INDIRECT(ADDRESS(SMALL((IF($H$2:$H$22&lt;&gt;"",ROW($H$2:$H$22),ROW()+ROWS($H$2:$H$22))),ROW()-ROW($I$2:$I$22)+1),COLUMN($H$2:$H$22),4)))</f>
        <v>-----</v>
      </c>
      <c r="U13" s="251" t="str">
        <f t="array" aca="1" ref="U13" ca="1">IF(ROW()-ROW($J$2:$J$22)+1&gt;ROWS($I$2:$I$22)-COUNTBLANK($I$2:$I$22),"",INDIRECT(ADDRESS(SMALL((IF($I$2:$I$22&lt;&gt;"",ROW($I$2:$I$22),ROW()+ROWS($I$2:$I$22))),ROW()-ROW($J$2:$J$22)+1),COLUMN($I$2:$I$22),4)))</f>
        <v>-----</v>
      </c>
      <c r="V13" s="361" t="str">
        <f t="array" aca="1" ref="V13" ca="1">IF(ROW()-ROW($K$2:$K$22)+1&gt;ROWS($J$2:$J$22)-COUNTBLANK($J$2:$J$22),"",INDIRECT(ADDRESS(SMALL((IF($J$2:$J$22&lt;&gt;"",ROW($J$2:$J$22),ROW()+ROWS($J$2:$J$22))),ROW()-ROW($K$2:$K$22)+1),COLUMN($J$2:$J$22),4)))</f>
        <v>-----</v>
      </c>
      <c r="W13" s="251" t="str">
        <f t="array" aca="1" ref="W13" ca="1">IF(ROW()-ROW($L$2:$L$22)+1&gt;ROWS($K$2:$K$22)-COUNTBLANK($K$2:$K$22),"",INDIRECT(ADDRESS(SMALL((IF($K$2:$K$22&lt;&gt;"",ROW($K$2:$K$22),ROW()+ROWS($K$2:$K$22))),ROW()-ROW($L$2:$L$22)+1),COLUMN($K$2:$K$22),4)))</f>
        <v>Incomplete</v>
      </c>
      <c r="X13" s="335" t="str">
        <f t="array" aca="1" ref="X13" ca="1">IF(ROW()-ROW($M$2:$M$22)+1&gt;ROWS($L$2:$L$22)-COUNTBLANK($L$2:$L$22),"",INDIRECT(ADDRESS(SMALL((IF($L$2:$L$22&lt;&gt;"",ROW($L$2:$L$22),ROW()+ROWS($L$2:$L$22))),ROW()-ROW($M$2:$M$22)+1),COLUMN($L$2:$L$22),4)))</f>
        <v>-----</v>
      </c>
      <c r="Y13" s="335" t="str">
        <f t="array" aca="1" ref="Y13" ca="1">IF(ROW()-ROW($N$2:$N$22)+1&gt;ROWS($M$2:$M$22)-COUNTBLANK($M$2:$M$22),"",INDIRECT(ADDRESS(SMALL((IF($M$2:$M$22&lt;&gt;"",ROW($M$2:$M$22),ROW()+ROWS($M$2:$M$22))),ROW()-ROW($N$2:$N$22)+1),COLUMN($M$2:$M$22),4)))</f>
        <v>-----</v>
      </c>
    </row>
    <row r="14" spans="1:25" ht="62.1" customHeight="1">
      <c r="A14" s="335" t="str">
        <f>IF('Indicators Sheet_(IS)'!R48=0,"",'Indicators Sheet_(IS)'!R48)</f>
        <v>Incomplete</v>
      </c>
      <c r="C14" s="201">
        <f>IF($A14="I.O.","",'Indicators Sheet_(IS)'!B48)</f>
        <v>10</v>
      </c>
      <c r="D14" s="355" t="str">
        <f>IF($A14="I.O.","",'Indicators Sheet_(IS)'!E48)</f>
        <v>Revision surgery after secondary bleeding</v>
      </c>
      <c r="E14" s="364" t="str">
        <f>IF(AND('Indicators Sheet_(IS)'!L48="",$A14&lt;&gt;"I.O."),"-----",IF($A14="I.O.","",'Indicators Sheet_(IS)'!L48))</f>
        <v>-----</v>
      </c>
      <c r="F14" s="364" t="str">
        <f>IF($A14="I.O.","",'Indicators Sheet_(IS)'!M48)</f>
        <v>≤  3%</v>
      </c>
      <c r="G14" s="364" t="str">
        <f>IF(AND('Indicators Sheet_(IS)'!O48="",$A14&lt;&gt;"I.O."),"-----",IF($A14="I.O.","",'Indicators Sheet_(IS)'!O48))</f>
        <v>-----</v>
      </c>
      <c r="H14" s="107" t="str">
        <f>IF($A14="I.O.","",IF('Indicators Sheet_(IS)'!Q48="","-----",'Indicators Sheet_(IS)'!Q48))</f>
        <v>-----</v>
      </c>
      <c r="I14" s="107">
        <f>IF($A14="I.O.","",IF('Indicators Sheet_(IS)'!Q49="","-----",'Indicators Sheet_(IS)'!Q49))</f>
        <v>0</v>
      </c>
      <c r="J14" s="356" t="str">
        <f>IF($A14="I.O.","",IF('Indicators Sheet_(IS)'!Q50="",0,'Indicators Sheet_(IS)'!Q50))</f>
        <v>n.d.</v>
      </c>
      <c r="K14" s="357" t="str">
        <f>IF($A14="I.O.","",'Indicators Sheet_(IS)'!R48)</f>
        <v>Incomplete</v>
      </c>
      <c r="L14" s="352" t="str">
        <f>IF(AND('Indicators Sheet_(IS)'!S48="",$A14&lt;&gt;"I.O."),"-----",IF($A14="I.O.","",'Indicators Sheet_(IS)'!S48))</f>
        <v>-----</v>
      </c>
      <c r="M14" s="352" t="str">
        <f>IF(AND('Indicators Sheet_(IS)'!T48="",$A14&lt;&gt;"I.O."),"-----",IF($A14="I.O.","",'Indicators Sheet_(IS)'!T48))</f>
        <v>-----</v>
      </c>
      <c r="O14" s="251">
        <f t="array" aca="1" ref="O14" ca="1">IF(ROW()-ROW($D$2:$D$22)+1&gt;ROWS($C$2:$C$22)-COUNTBLANK($C$2:$C$22),"",INDIRECT(ADDRESS(SMALL((IF($C$2:$C$22&lt;&gt;"",ROW($C$2:$C$22),ROW()+ROWS($C$2:$C$22))),ROW()-ROW($D$2:$D$22)+1),COLUMN($C$2:$C$22),4)))</f>
        <v>10</v>
      </c>
      <c r="P14" s="365" t="str">
        <f t="array" aca="1" ref="P14" ca="1">IF(ROW()-ROW($E$2:$E$22)+1&gt;ROWS($D$2:$D$22)-COUNTBLANK($D$2:$D$22),"",INDIRECT(ADDRESS(SMALL((IF($D$2:$D$22&gt;"",ROW($D$2:$D$22),ROW()+ROWS($D$2:$D$22))),ROW()-ROW($E$2:$E$22)+1),COLUMN($D$2:$D$22),4)))</f>
        <v>Revision surgery after secondary bleeding</v>
      </c>
      <c r="Q14" s="362" t="str">
        <f t="array" aca="1" ref="Q14" ca="1">IF(ROW()-ROW($F$2:$F$22)+1&gt;ROWS($E$2:$E$22)-COUNTBLANK($E$2:$E$22),"",INDIRECT(ADDRESS(SMALL((IF($E$2:$E$22&gt;"",ROW($E$2:$E$22),ROW()+ROWS($E$2:$E$22))),ROW()-ROW($F$2:$F$22)+1),COLUMN($E$2:$E$22),4)))</f>
        <v>-----</v>
      </c>
      <c r="R14" s="362" t="str">
        <f t="array" aca="1" ref="R14" ca="1">IF(ROW()-ROW($G$2:$G$22)+1&gt;ROWS($F$2:$F$22)-COUNTBLANK($F$2:$F$22),"",INDIRECT(ADDRESS(SMALL((IF($F$2:$F$22&gt;"",ROW($F$2:$F$22),ROW()+ROWS($F$2:$F$22))),ROW()-ROW($G$2:$G$22)+1),COLUMN($F$2:$F$22),4)))</f>
        <v>≤  3%</v>
      </c>
      <c r="S14" s="362" t="str">
        <f t="array" aca="1" ref="S14" ca="1">IF(ROW()-ROW($H$2:$H$22)+1&gt;ROWS($G$2:$G$22)-COUNTBLANK($G$2:$G$22),"",INDIRECT(ADDRESS(SMALL((IF($G$2:$G$22&lt;&gt;"",ROW($G$2:$G$22),ROW()+ROWS($G$2:$G$22))),ROW()-ROW($H$2:$H$22)+1),COLUMN($G$2:$G$22),4)))</f>
        <v>-----</v>
      </c>
      <c r="T14" s="251" t="str">
        <f t="array" aca="1" ref="T14" ca="1">IF(ROW()-ROW($I$2:$I$22)+1&gt;ROWS($H$2:$H$22)-COUNTBLANK($H$2:$H$22),"",INDIRECT(ADDRESS(SMALL((IF($H$2:$H$22&lt;&gt;"",ROW($H$2:$H$22),ROW()+ROWS($H$2:$H$22))),ROW()-ROW($I$2:$I$22)+1),COLUMN($H$2:$H$22),4)))</f>
        <v>-----</v>
      </c>
      <c r="U14" s="251">
        <f t="array" aca="1" ref="U14" ca="1">IF(ROW()-ROW($J$2:$J$22)+1&gt;ROWS($I$2:$I$22)-COUNTBLANK($I$2:$I$22),"",INDIRECT(ADDRESS(SMALL((IF($I$2:$I$22&lt;&gt;"",ROW($I$2:$I$22),ROW()+ROWS($I$2:$I$22))),ROW()-ROW($J$2:$J$22)+1),COLUMN($I$2:$I$22),4)))</f>
        <v>0</v>
      </c>
      <c r="V14" s="361" t="str">
        <f t="array" aca="1" ref="V14" ca="1">IF(ROW()-ROW($K$2:$K$22)+1&gt;ROWS($J$2:$J$22)-COUNTBLANK($J$2:$J$22),"",INDIRECT(ADDRESS(SMALL((IF($J$2:$J$22&lt;&gt;"",ROW($J$2:$J$22),ROW()+ROWS($J$2:$J$22))),ROW()-ROW($K$2:$K$22)+1),COLUMN($J$2:$J$22),4)))</f>
        <v>n.d.</v>
      </c>
      <c r="W14" s="251" t="str">
        <f t="array" aca="1" ref="W14" ca="1">IF(ROW()-ROW($L$2:$L$22)+1&gt;ROWS($K$2:$K$22)-COUNTBLANK($K$2:$K$22),"",INDIRECT(ADDRESS(SMALL((IF($K$2:$K$22&lt;&gt;"",ROW($K$2:$K$22),ROW()+ROWS($K$2:$K$22))),ROW()-ROW($L$2:$L$22)+1),COLUMN($K$2:$K$22),4)))</f>
        <v>Incomplete</v>
      </c>
      <c r="X14" s="335" t="str">
        <f t="array" aca="1" ref="X14" ca="1">IF(ROW()-ROW($M$2:$M$22)+1&gt;ROWS($L$2:$L$22)-COUNTBLANK($L$2:$L$22),"",INDIRECT(ADDRESS(SMALL((IF($L$2:$L$22&lt;&gt;"",ROW($L$2:$L$22),ROW()+ROWS($L$2:$L$22))),ROW()-ROW($M$2:$M$22)+1),COLUMN($L$2:$L$22),4)))</f>
        <v>-----</v>
      </c>
      <c r="Y14" s="335" t="str">
        <f t="array" aca="1" ref="Y14" ca="1">IF(ROW()-ROW($N$2:$N$22)+1&gt;ROWS($M$2:$M$22)-COUNTBLANK($M$2:$M$22),"",INDIRECT(ADDRESS(SMALL((IF($M$2:$M$22&lt;&gt;"",ROW($M$2:$M$22),ROW()+ROWS($M$2:$M$22))),ROW()-ROW($N$2:$N$22)+1),COLUMN($M$2:$M$22),4)))</f>
        <v>-----</v>
      </c>
    </row>
    <row r="15" spans="1:25" ht="62.1" customHeight="1">
      <c r="A15" s="335" t="str">
        <f>IF('Indicators Sheet_(IS)'!R51=0,"",'Indicators Sheet_(IS)'!R51)</f>
        <v>Incomplete</v>
      </c>
      <c r="C15" s="201">
        <f>IF($A15="I.O.","",'Indicators Sheet_(IS)'!B51)</f>
        <v>11</v>
      </c>
      <c r="D15" s="355" t="str">
        <f>IF($A15="I.O.","",'Indicators Sheet_(IS)'!E51)</f>
        <v>Revision surgery in the case of secondary bleeding after SNB and LAD</v>
      </c>
      <c r="E15" s="364" t="str">
        <f>IF(AND('Indicators Sheet_(IS)'!L51="",$A15&lt;&gt;"I.O."),"-----",IF($A15="I.O.","",'Indicators Sheet_(IS)'!L51))</f>
        <v>-----</v>
      </c>
      <c r="F15" s="364" t="str">
        <f>IF($A15="I.O.","",'Indicators Sheet_(IS)'!M51)</f>
        <v>≤  3%</v>
      </c>
      <c r="G15" s="364" t="str">
        <f>IF(AND('Indicators Sheet_(IS)'!O51="",$A15&lt;&gt;"I.O."),"-----",IF($A15="I.O.","",'Indicators Sheet_(IS)'!O51))</f>
        <v>-----</v>
      </c>
      <c r="H15" s="107" t="str">
        <f>IF($A15="I.O.","",IF('Indicators Sheet_(IS)'!Q51="","-----",'Indicators Sheet_(IS)'!Q51))</f>
        <v>-----</v>
      </c>
      <c r="I15" s="107" t="str">
        <f>IF($A15="I.O.","",IF('Indicators Sheet_(IS)'!Q52="","-----",'Indicators Sheet_(IS)'!Q52))</f>
        <v>-----</v>
      </c>
      <c r="J15" s="356" t="str">
        <f>IF($A15="I.O.","",IF('Indicators Sheet_(IS)'!Q53="",0,'Indicators Sheet_(IS)'!Q53))</f>
        <v>n.d.</v>
      </c>
      <c r="K15" s="357" t="str">
        <f>IF($A15="I.O.","",'Indicators Sheet_(IS)'!R51)</f>
        <v>Incomplete</v>
      </c>
      <c r="L15" s="352" t="str">
        <f>IF(AND('Indicators Sheet_(IS)'!S51="",$A15&lt;&gt;"I.O."),"-----",IF($A15="I.O.","",'Indicators Sheet_(IS)'!S51))</f>
        <v>-----</v>
      </c>
      <c r="M15" s="352" t="str">
        <f>IF(AND('Indicators Sheet_(IS)'!T51="",$A15&lt;&gt;"I.O."),"-----",IF($A15="I.O.","",'Indicators Sheet_(IS)'!T51))</f>
        <v>-----</v>
      </c>
      <c r="O15" s="251">
        <f t="array" aca="1" ref="O15" ca="1">IF(ROW()-ROW($D$2:$D$22)+1&gt;ROWS($C$2:$C$22)-COUNTBLANK($C$2:$C$22),"",INDIRECT(ADDRESS(SMALL((IF($C$2:$C$22&lt;&gt;"",ROW($C$2:$C$22),ROW()+ROWS($C$2:$C$22))),ROW()-ROW($D$2:$D$22)+1),COLUMN($C$2:$C$22),4)))</f>
        <v>11</v>
      </c>
      <c r="P15" s="365" t="str">
        <f t="array" aca="1" ref="P15" ca="1">IF(ROW()-ROW($E$2:$E$22)+1&gt;ROWS($D$2:$D$22)-COUNTBLANK($D$2:$D$22),"",INDIRECT(ADDRESS(SMALL((IF($D$2:$D$22&gt;"",ROW($D$2:$D$22),ROW()+ROWS($D$2:$D$22))),ROW()-ROW($E$2:$E$22)+1),COLUMN($D$2:$D$22),4)))</f>
        <v>Revision surgery in the case of secondary bleeding after SNB and LAD</v>
      </c>
      <c r="Q15" s="362" t="str">
        <f t="array" aca="1" ref="Q15" ca="1">IF(ROW()-ROW($F$2:$F$22)+1&gt;ROWS($E$2:$E$22)-COUNTBLANK($E$2:$E$22),"",INDIRECT(ADDRESS(SMALL((IF($E$2:$E$22&gt;"",ROW($E$2:$E$22),ROW()+ROWS($E$2:$E$22))),ROW()-ROW($F$2:$F$22)+1),COLUMN($E$2:$E$22),4)))</f>
        <v>-----</v>
      </c>
      <c r="R15" s="362" t="str">
        <f t="array" aca="1" ref="R15" ca="1">IF(ROW()-ROW($G$2:$G$22)+1&gt;ROWS($F$2:$F$22)-COUNTBLANK($F$2:$F$22),"",INDIRECT(ADDRESS(SMALL((IF($F$2:$F$22&gt;"",ROW($F$2:$F$22),ROW()+ROWS($F$2:$F$22))),ROW()-ROW($G$2:$G$22)+1),COLUMN($F$2:$F$22),4)))</f>
        <v>≤  3%</v>
      </c>
      <c r="S15" s="362" t="str">
        <f t="array" aca="1" ref="S15" ca="1">IF(ROW()-ROW($H$2:$H$22)+1&gt;ROWS($G$2:$G$22)-COUNTBLANK($G$2:$G$22),"",INDIRECT(ADDRESS(SMALL((IF($G$2:$G$22&lt;&gt;"",ROW($G$2:$G$22),ROW()+ROWS($G$2:$G$22))),ROW()-ROW($H$2:$H$22)+1),COLUMN($G$2:$G$22),4)))</f>
        <v>-----</v>
      </c>
      <c r="T15" s="251" t="str">
        <f t="array" aca="1" ref="T15" ca="1">IF(ROW()-ROW($I$2:$I$22)+1&gt;ROWS($H$2:$H$22)-COUNTBLANK($H$2:$H$22),"",INDIRECT(ADDRESS(SMALL((IF($H$2:$H$22&lt;&gt;"",ROW($H$2:$H$22),ROW()+ROWS($H$2:$H$22))),ROW()-ROW($I$2:$I$22)+1),COLUMN($H$2:$H$22),4)))</f>
        <v>-----</v>
      </c>
      <c r="U15" s="251" t="str">
        <f t="array" aca="1" ref="U15" ca="1">IF(ROW()-ROW($J$2:$J$22)+1&gt;ROWS($I$2:$I$22)-COUNTBLANK($I$2:$I$22),"",INDIRECT(ADDRESS(SMALL((IF($I$2:$I$22&lt;&gt;"",ROW($I$2:$I$22),ROW()+ROWS($I$2:$I$22))),ROW()-ROW($J$2:$J$22)+1),COLUMN($I$2:$I$22),4)))</f>
        <v>-----</v>
      </c>
      <c r="V15" s="361" t="str">
        <f t="array" aca="1" ref="V15" ca="1">IF(ROW()-ROW($K$2:$K$22)+1&gt;ROWS($J$2:$J$22)-COUNTBLANK($J$2:$J$22),"",INDIRECT(ADDRESS(SMALL((IF($J$2:$J$22&lt;&gt;"",ROW($J$2:$J$22),ROW()+ROWS($J$2:$J$22))),ROW()-ROW($K$2:$K$22)+1),COLUMN($J$2:$J$22),4)))</f>
        <v>n.d.</v>
      </c>
      <c r="W15" s="251" t="str">
        <f t="array" aca="1" ref="W15" ca="1">IF(ROW()-ROW($L$2:$L$22)+1&gt;ROWS($K$2:$K$22)-COUNTBLANK($K$2:$K$22),"",INDIRECT(ADDRESS(SMALL((IF($K$2:$K$22&lt;&gt;"",ROW($K$2:$K$22),ROW()+ROWS($K$2:$K$22))),ROW()-ROW($L$2:$L$22)+1),COLUMN($K$2:$K$22),4)))</f>
        <v>Incomplete</v>
      </c>
      <c r="X15" s="335" t="str">
        <f t="array" aca="1" ref="X15" ca="1">IF(ROW()-ROW($M$2:$M$22)+1&gt;ROWS($L$2:$L$22)-COUNTBLANK($L$2:$L$22),"",INDIRECT(ADDRESS(SMALL((IF($L$2:$L$22&lt;&gt;"",ROW($L$2:$L$22),ROW()+ROWS($L$2:$L$22))),ROW()-ROW($M$2:$M$22)+1),COLUMN($L$2:$L$22),4)))</f>
        <v>-----</v>
      </c>
      <c r="Y15" s="335" t="str">
        <f t="array" aca="1" ref="Y15" ca="1">IF(ROW()-ROW($N$2:$N$22)+1&gt;ROWS($M$2:$M$22)-COUNTBLANK($M$2:$M$22),"",INDIRECT(ADDRESS(SMALL((IF($M$2:$M$22&lt;&gt;"",ROW($M$2:$M$22),ROW()+ROWS($M$2:$M$22))),ROW()-ROW($N$2:$N$22)+1),COLUMN($M$2:$M$22),4)))</f>
        <v>-----</v>
      </c>
    </row>
    <row r="16" spans="1:25" ht="62.1" customHeight="1">
      <c r="A16" s="335" t="str">
        <f>IF('Indicators Sheet_(IS)'!R54=0,"",'Indicators Sheet_(IS)'!R54)</f>
        <v>Incomplete</v>
      </c>
      <c r="C16" s="201">
        <f>IF($A16="I.O.","",'Indicators Sheet_(IS)'!B54)</f>
        <v>12</v>
      </c>
      <c r="D16" s="355" t="str">
        <f>IF($A16="I.O.","",'Indicators Sheet_(IS)'!E54)</f>
        <v>Revision surgery after post-operative wound infections</v>
      </c>
      <c r="E16" s="364" t="str">
        <f>IF(AND('Indicators Sheet_(IS)'!L54="",$A16&lt;&gt;"I.O."),"-----",IF($A16="I.O.","",'Indicators Sheet_(IS)'!L54))</f>
        <v>-----</v>
      </c>
      <c r="F16" s="364" t="str">
        <f>IF($A16="I.O.","",'Indicators Sheet_(IS)'!M54)</f>
        <v>≤  3%</v>
      </c>
      <c r="G16" s="364" t="str">
        <f>IF(AND('Indicators Sheet_(IS)'!O54="",$A16&lt;&gt;"I.O."),"-----",IF($A16="I.O.","",'Indicators Sheet_(IS)'!O54))</f>
        <v>-----</v>
      </c>
      <c r="H16" s="107" t="str">
        <f>IF($A16="I.O.","",IF('Indicators Sheet_(IS)'!Q54="","-----",'Indicators Sheet_(IS)'!Q54))</f>
        <v>-----</v>
      </c>
      <c r="I16" s="107">
        <f>IF($A16="I.O.","",IF('Indicators Sheet_(IS)'!Q55="","-----",'Indicators Sheet_(IS)'!Q55))</f>
        <v>0</v>
      </c>
      <c r="J16" s="356" t="str">
        <f>IF($A16="I.O.","",IF('Indicators Sheet_(IS)'!Q56="",0,'Indicators Sheet_(IS)'!Q56))</f>
        <v>n.d.</v>
      </c>
      <c r="K16" s="357" t="str">
        <f>IF($A16="I.O.","",'Indicators Sheet_(IS)'!R54)</f>
        <v>Incomplete</v>
      </c>
      <c r="L16" s="352" t="str">
        <f>IF(AND('Indicators Sheet_(IS)'!S54="",$A16&lt;&gt;"I.O."),"-----",IF($A16="I.O.","",'Indicators Sheet_(IS)'!S54))</f>
        <v>-----</v>
      </c>
      <c r="M16" s="352" t="str">
        <f>IF(AND('Indicators Sheet_(IS)'!T54="",$A16&lt;&gt;"I.O."),"-----",IF($A16="I.O.","",'Indicators Sheet_(IS)'!T54))</f>
        <v>-----</v>
      </c>
      <c r="O16" s="251">
        <f t="array" aca="1" ref="O16" ca="1">IF(ROW()-ROW($D$2:$D$22)+1&gt;ROWS($C$2:$C$22)-COUNTBLANK($C$2:$C$22),"",INDIRECT(ADDRESS(SMALL((IF($C$2:$C$22&lt;&gt;"",ROW($C$2:$C$22),ROW()+ROWS($C$2:$C$22))),ROW()-ROW($D$2:$D$22)+1),COLUMN($C$2:$C$22),4)))</f>
        <v>12</v>
      </c>
      <c r="P16" s="365" t="str">
        <f t="array" aca="1" ref="P16" ca="1">IF(ROW()-ROW($E$2:$E$22)+1&gt;ROWS($D$2:$D$22)-COUNTBLANK($D$2:$D$22),"",INDIRECT(ADDRESS(SMALL((IF($D$2:$D$22&gt;"",ROW($D$2:$D$22),ROW()+ROWS($D$2:$D$22))),ROW()-ROW($E$2:$E$22)+1),COLUMN($D$2:$D$22),4)))</f>
        <v>Revision surgery after post-operative wound infections</v>
      </c>
      <c r="Q16" s="362" t="str">
        <f t="array" aca="1" ref="Q16" ca="1">IF(ROW()-ROW($F$2:$F$22)+1&gt;ROWS($E$2:$E$22)-COUNTBLANK($E$2:$E$22),"",INDIRECT(ADDRESS(SMALL((IF($E$2:$E$22&gt;"",ROW($E$2:$E$22),ROW()+ROWS($E$2:$E$22))),ROW()-ROW($F$2:$F$22)+1),COLUMN($E$2:$E$22),4)))</f>
        <v>-----</v>
      </c>
      <c r="R16" s="362" t="str">
        <f t="array" aca="1" ref="R16" ca="1">IF(ROW()-ROW($G$2:$G$22)+1&gt;ROWS($F$2:$F$22)-COUNTBLANK($F$2:$F$22),"",INDIRECT(ADDRESS(SMALL((IF($F$2:$F$22&gt;"",ROW($F$2:$F$22),ROW()+ROWS($F$2:$F$22))),ROW()-ROW($G$2:$G$22)+1),COLUMN($F$2:$F$22),4)))</f>
        <v>≤  3%</v>
      </c>
      <c r="S16" s="362" t="str">
        <f t="array" aca="1" ref="S16" ca="1">IF(ROW()-ROW($H$2:$H$22)+1&gt;ROWS($G$2:$G$22)-COUNTBLANK($G$2:$G$22),"",INDIRECT(ADDRESS(SMALL((IF($G$2:$G$22&lt;&gt;"",ROW($G$2:$G$22),ROW()+ROWS($G$2:$G$22))),ROW()-ROW($H$2:$H$22)+1),COLUMN($G$2:$G$22),4)))</f>
        <v>-----</v>
      </c>
      <c r="T16" s="251" t="str">
        <f t="array" aca="1" ref="T16" ca="1">IF(ROW()-ROW($I$2:$I$22)+1&gt;ROWS($H$2:$H$22)-COUNTBLANK($H$2:$H$22),"",INDIRECT(ADDRESS(SMALL((IF($H$2:$H$22&lt;&gt;"",ROW($H$2:$H$22),ROW()+ROWS($H$2:$H$22))),ROW()-ROW($I$2:$I$22)+1),COLUMN($H$2:$H$22),4)))</f>
        <v>-----</v>
      </c>
      <c r="U16" s="251">
        <f t="array" aca="1" ref="U16" ca="1">IF(ROW()-ROW($J$2:$J$22)+1&gt;ROWS($I$2:$I$22)-COUNTBLANK($I$2:$I$22),"",INDIRECT(ADDRESS(SMALL((IF($I$2:$I$22&lt;&gt;"",ROW($I$2:$I$22),ROW()+ROWS($I$2:$I$22))),ROW()-ROW($J$2:$J$22)+1),COLUMN($I$2:$I$22),4)))</f>
        <v>0</v>
      </c>
      <c r="V16" s="361" t="str">
        <f t="array" aca="1" ref="V16" ca="1">IF(ROW()-ROW($K$2:$K$22)+1&gt;ROWS($J$2:$J$22)-COUNTBLANK($J$2:$J$22),"",INDIRECT(ADDRESS(SMALL((IF($J$2:$J$22&lt;&gt;"",ROW($J$2:$J$22),ROW()+ROWS($J$2:$J$22))),ROW()-ROW($K$2:$K$22)+1),COLUMN($J$2:$J$22),4)))</f>
        <v>n.d.</v>
      </c>
      <c r="W16" s="251" t="str">
        <f t="array" aca="1" ref="W16" ca="1">IF(ROW()-ROW($L$2:$L$22)+1&gt;ROWS($K$2:$K$22)-COUNTBLANK($K$2:$K$22),"",INDIRECT(ADDRESS(SMALL((IF($K$2:$K$22&lt;&gt;"",ROW($K$2:$K$22),ROW()+ROWS($K$2:$K$22))),ROW()-ROW($L$2:$L$22)+1),COLUMN($K$2:$K$22),4)))</f>
        <v>Incomplete</v>
      </c>
      <c r="X16" s="335" t="str">
        <f t="array" aca="1" ref="X16" ca="1">IF(ROW()-ROW($M$2:$M$22)+1&gt;ROWS($L$2:$L$22)-COUNTBLANK($L$2:$L$22),"",INDIRECT(ADDRESS(SMALL((IF($L$2:$L$22&lt;&gt;"",ROW($L$2:$L$22),ROW()+ROWS($L$2:$L$22))),ROW()-ROW($M$2:$M$22)+1),COLUMN($L$2:$L$22),4)))</f>
        <v>-----</v>
      </c>
      <c r="Y16" s="335" t="str">
        <f t="array" aca="1" ref="Y16" ca="1">IF(ROW()-ROW($N$2:$N$22)+1&gt;ROWS($M$2:$M$22)-COUNTBLANK($M$2:$M$22),"",INDIRECT(ADDRESS(SMALL((IF($M$2:$M$22&lt;&gt;"",ROW($M$2:$M$22),ROW()+ROWS($M$2:$M$22))),ROW()-ROW($N$2:$N$22)+1),COLUMN($M$2:$M$22),4)))</f>
        <v>-----</v>
      </c>
    </row>
    <row r="17" spans="1:25" ht="61.5" customHeight="1">
      <c r="A17" s="335" t="str">
        <f>IF('Indicators Sheet_(IS)'!R57=0,"",'Indicators Sheet_(IS)'!R57)</f>
        <v>Incomplete</v>
      </c>
      <c r="C17" s="201" t="str">
        <f>IF($A17="I.O.","",'Indicators Sheet_(IS)'!B57)</f>
        <v>13</v>
      </c>
      <c r="D17" s="355" t="str">
        <f>IF($A17="I.O.","",'Indicators Sheet_(IS)'!E57)</f>
        <v>Melanoma:
Sentinel node biopsy</v>
      </c>
      <c r="E17" s="364" t="str">
        <f>IF(AND('Indicators Sheet_(IS)'!L57="",$A17&lt;&gt;"I.O."),"-----",IF($A17="I.O.","",'Indicators Sheet_(IS)'!L57))</f>
        <v>-----</v>
      </c>
      <c r="F17" s="364" t="str">
        <f>IF($A17="I.O.","",'Indicators Sheet_(IS)'!M57)</f>
        <v>≥ 80%</v>
      </c>
      <c r="G17" s="364" t="str">
        <f>IF(AND('Indicators Sheet_(IS)'!O57="",$A17&lt;&gt;"I.O."),"-----",IF($A17="I.O.","",'Indicators Sheet_(IS)'!O57))</f>
        <v>-----</v>
      </c>
      <c r="H17" s="107" t="str">
        <f>IF($A17="I.O.","",IF('Indicators Sheet_(IS)'!Q57="","-----",'Indicators Sheet_(IS)'!Q57))</f>
        <v>-----</v>
      </c>
      <c r="I17" s="107" t="str">
        <f>IF($A17="I.O.","",IF('Indicators Sheet_(IS)'!Q58="","-----",'Indicators Sheet_(IS)'!Q58))</f>
        <v>-----</v>
      </c>
      <c r="J17" s="356" t="str">
        <f>IF($A17="I.O.","",IF('Indicators Sheet_(IS)'!Q59="",0,'Indicators Sheet_(IS)'!Q59))</f>
        <v>n.d.</v>
      </c>
      <c r="K17" s="357" t="str">
        <f>IF($A17="I.O.","",'Indicators Sheet_(IS)'!R57)</f>
        <v>Incomplete</v>
      </c>
      <c r="L17" s="352" t="str">
        <f>IF(AND('Indicators Sheet_(IS)'!S57="",$A17&lt;&gt;"I.O."),"-----",IF($A17="I.O.","",'Indicators Sheet_(IS)'!S57))</f>
        <v>-----</v>
      </c>
      <c r="M17" s="352" t="str">
        <f>IF(AND('Indicators Sheet_(IS)'!T57="",$A17&lt;&gt;"I.O."),"-----",IF($A17="I.O.","",'Indicators Sheet_(IS)'!T57))</f>
        <v>-----</v>
      </c>
      <c r="O17" s="251" t="str">
        <f t="array" aca="1" ref="O17" ca="1">IF(ROW()-ROW($D$2:$D$22)+1&gt;ROWS($C$2:$C$22)-COUNTBLANK($C$2:$C$22),"",INDIRECT(ADDRESS(SMALL((IF($C$2:$C$22&lt;&gt;"",ROW($C$2:$C$22),ROW()+ROWS($C$2:$C$22))),ROW()-ROW($D$2:$D$22)+1),COLUMN($C$2:$C$22),4)))</f>
        <v>13</v>
      </c>
      <c r="P17" s="365" t="str">
        <f t="array" aca="1" ref="P17" ca="1">IF(ROW()-ROW($E$2:$E$22)+1&gt;ROWS($D$2:$D$22)-COUNTBLANK($D$2:$D$22),"",INDIRECT(ADDRESS(SMALL((IF($D$2:$D$22&gt;"",ROW($D$2:$D$22),ROW()+ROWS($D$2:$D$22))),ROW()-ROW($E$2:$E$22)+1),COLUMN($D$2:$D$22),4)))</f>
        <v>Melanoma:
Sentinel node biopsy</v>
      </c>
      <c r="Q17" s="362" t="str">
        <f t="array" aca="1" ref="Q17" ca="1">IF(ROW()-ROW($F$2:$F$22)+1&gt;ROWS($E$2:$E$22)-COUNTBLANK($E$2:$E$22),"",INDIRECT(ADDRESS(SMALL((IF($E$2:$E$22&gt;"",ROW($E$2:$E$22),ROW()+ROWS($E$2:$E$22))),ROW()-ROW($F$2:$F$22)+1),COLUMN($E$2:$E$22),4)))</f>
        <v>-----</v>
      </c>
      <c r="R17" s="362" t="str">
        <f t="array" aca="1" ref="R17" ca="1">IF(ROW()-ROW($G$2:$G$22)+1&gt;ROWS($F$2:$F$22)-COUNTBLANK($F$2:$F$22),"",INDIRECT(ADDRESS(SMALL((IF($F$2:$F$22&gt;"",ROW($F$2:$F$22),ROW()+ROWS($F$2:$F$22))),ROW()-ROW($G$2:$G$22)+1),COLUMN($F$2:$F$22),4)))</f>
        <v>≥ 80%</v>
      </c>
      <c r="S17" s="362" t="str">
        <f t="array" aca="1" ref="S17" ca="1">IF(ROW()-ROW($H$2:$H$22)+1&gt;ROWS($G$2:$G$22)-COUNTBLANK($G$2:$G$22),"",INDIRECT(ADDRESS(SMALL((IF($G$2:$G$22&lt;&gt;"",ROW($G$2:$G$22),ROW()+ROWS($G$2:$G$22))),ROW()-ROW($H$2:$H$22)+1),COLUMN($G$2:$G$22),4)))</f>
        <v>-----</v>
      </c>
      <c r="T17" s="251" t="str">
        <f t="array" aca="1" ref="T17" ca="1">IF(ROW()-ROW($I$2:$I$22)+1&gt;ROWS($H$2:$H$22)-COUNTBLANK($H$2:$H$22),"",INDIRECT(ADDRESS(SMALL((IF($H$2:$H$22&lt;&gt;"",ROW($H$2:$H$22),ROW()+ROWS($H$2:$H$22))),ROW()-ROW($I$2:$I$22)+1),COLUMN($H$2:$H$22),4)))</f>
        <v>-----</v>
      </c>
      <c r="U17" s="251" t="str">
        <f t="array" aca="1" ref="U17" ca="1">IF(ROW()-ROW($J$2:$J$22)+1&gt;ROWS($I$2:$I$22)-COUNTBLANK($I$2:$I$22),"",INDIRECT(ADDRESS(SMALL((IF($I$2:$I$22&lt;&gt;"",ROW($I$2:$I$22),ROW()+ROWS($I$2:$I$22))),ROW()-ROW($J$2:$J$22)+1),COLUMN($I$2:$I$22),4)))</f>
        <v>-----</v>
      </c>
      <c r="V17" s="361" t="str">
        <f t="array" aca="1" ref="V17" ca="1">IF(ROW()-ROW($K$2:$K$22)+1&gt;ROWS($J$2:$J$22)-COUNTBLANK($J$2:$J$22),"",INDIRECT(ADDRESS(SMALL((IF($J$2:$J$22&lt;&gt;"",ROW($J$2:$J$22),ROW()+ROWS($J$2:$J$22))),ROW()-ROW($K$2:$K$22)+1),COLUMN($J$2:$J$22),4)))</f>
        <v>n.d.</v>
      </c>
      <c r="W17" s="251" t="str">
        <f t="array" aca="1" ref="W17" ca="1">IF(ROW()-ROW($L$2:$L$22)+1&gt;ROWS($K$2:$K$22)-COUNTBLANK($K$2:$K$22),"",INDIRECT(ADDRESS(SMALL((IF($K$2:$K$22&lt;&gt;"",ROW($K$2:$K$22),ROW()+ROWS($K$2:$K$22))),ROW()-ROW($L$2:$L$22)+1),COLUMN($K$2:$K$22),4)))</f>
        <v>Incomplete</v>
      </c>
      <c r="X17" s="335" t="str">
        <f t="array" aca="1" ref="X17" ca="1">IF(ROW()-ROW($M$2:$M$22)+1&gt;ROWS($L$2:$L$22)-COUNTBLANK($L$2:$L$22),"",INDIRECT(ADDRESS(SMALL((IF($L$2:$L$22&lt;&gt;"",ROW($L$2:$L$22),ROW()+ROWS($L$2:$L$22))),ROW()-ROW($M$2:$M$22)+1),COLUMN($L$2:$L$22),4)))</f>
        <v>-----</v>
      </c>
      <c r="Y17" s="335" t="str">
        <f t="array" aca="1" ref="Y17" ca="1">IF(ROW()-ROW($N$2:$N$22)+1&gt;ROWS($M$2:$M$22)-COUNTBLANK($M$2:$M$22),"",INDIRECT(ADDRESS(SMALL((IF($M$2:$M$22&lt;&gt;"",ROW($M$2:$M$22),ROW()+ROWS($M$2:$M$22))),ROW()-ROW($N$2:$N$22)+1),COLUMN($M$2:$M$22),4)))</f>
        <v>-----</v>
      </c>
    </row>
    <row r="18" spans="1:25" ht="61.5" customHeight="1">
      <c r="A18" s="335" t="str">
        <f>IF('Indicators Sheet_(IS)'!R60=0,"",'Indicators Sheet_(IS)'!R60)</f>
        <v>Incomplete</v>
      </c>
      <c r="C18" s="201">
        <f>IF($A18="I.O.","",'Indicators Sheet_(IS)'!B60)</f>
        <v>14</v>
      </c>
      <c r="D18" s="355" t="str">
        <f>IF($A18="I.O.","",'Indicators Sheet_(IS)'!E60)</f>
        <v>Melanoma: Safety margin (1 cm) in the case of radical excision</v>
      </c>
      <c r="E18" s="364" t="str">
        <f>IF(AND('Indicators Sheet_(IS)'!L60="",$A18&lt;&gt;"I.O."),"-----",IF($A18="I.O.","",'Indicators Sheet_(IS)'!L60))</f>
        <v>&lt; 80%</v>
      </c>
      <c r="F18" s="364" t="str">
        <f>IF($A18="I.O.","",'Indicators Sheet_(IS)'!M60)</f>
        <v>No target value</v>
      </c>
      <c r="G18" s="364" t="str">
        <f>IF(AND('Indicators Sheet_(IS)'!O60="",$A18&lt;&gt;"I.O."),"-----",IF($A18="I.O.","",'Indicators Sheet_(IS)'!O60))</f>
        <v>-----</v>
      </c>
      <c r="H18" s="107" t="str">
        <f>IF($A18="I.O.","",IF('Indicators Sheet_(IS)'!Q60="","-----",'Indicators Sheet_(IS)'!Q60))</f>
        <v>-----</v>
      </c>
      <c r="I18" s="107" t="str">
        <f>IF($A18="I.O.","",IF('Indicators Sheet_(IS)'!Q61="","-----",'Indicators Sheet_(IS)'!Q61))</f>
        <v>-----</v>
      </c>
      <c r="J18" s="356" t="str">
        <f>IF($A18="I.O.","",IF('Indicators Sheet_(IS)'!Q62="",0,'Indicators Sheet_(IS)'!Q62))</f>
        <v>n.d.</v>
      </c>
      <c r="K18" s="357" t="str">
        <f>IF($A18="I.O.","",'Indicators Sheet_(IS)'!R60)</f>
        <v>Incomplete</v>
      </c>
      <c r="L18" s="352" t="str">
        <f>IF(AND('Indicators Sheet_(IS)'!S60="",$A18&lt;&gt;"I.O."),"-----",IF($A18="I.O.","",'Indicators Sheet_(IS)'!S60))</f>
        <v>-----</v>
      </c>
      <c r="M18" s="352" t="str">
        <f>IF(AND('Indicators Sheet_(IS)'!T60="",$A18&lt;&gt;"I.O."),"-----",IF($A18="I.O.","",'Indicators Sheet_(IS)'!T60))</f>
        <v>-----</v>
      </c>
      <c r="O18" s="251">
        <f t="array" aca="1" ref="O18" ca="1">IF(ROW()-ROW($D$2:$D$22)+1&gt;ROWS($C$2:$C$22)-COUNTBLANK($C$2:$C$22),"",INDIRECT(ADDRESS(SMALL((IF($C$2:$C$22&lt;&gt;"",ROW($C$2:$C$22),ROW()+ROWS($C$2:$C$22))),ROW()-ROW($D$2:$D$22)+1),COLUMN($C$2:$C$22),4)))</f>
        <v>14</v>
      </c>
      <c r="P18" s="365" t="str">
        <f t="array" aca="1" ref="P18" ca="1">IF(ROW()-ROW($E$2:$E$22)+1&gt;ROWS($D$2:$D$22)-COUNTBLANK($D$2:$D$22),"",INDIRECT(ADDRESS(SMALL((IF($D$2:$D$22&gt;"",ROW($D$2:$D$22),ROW()+ROWS($D$2:$D$22))),ROW()-ROW($E$2:$E$22)+1),COLUMN($D$2:$D$22),4)))</f>
        <v>Melanoma: Safety margin (1 cm) in the case of radical excision</v>
      </c>
      <c r="Q18" s="362" t="str">
        <f t="array" aca="1" ref="Q18" ca="1">IF(ROW()-ROW($F$2:$F$22)+1&gt;ROWS($E$2:$E$22)-COUNTBLANK($E$2:$E$22),"",INDIRECT(ADDRESS(SMALL((IF($E$2:$E$22&gt;"",ROW($E$2:$E$22),ROW()+ROWS($E$2:$E$22))),ROW()-ROW($F$2:$F$22)+1),COLUMN($E$2:$E$22),4)))</f>
        <v>&lt; 80%</v>
      </c>
      <c r="R18" s="362" t="str">
        <f t="array" aca="1" ref="R18" ca="1">IF(ROW()-ROW($G$2:$G$22)+1&gt;ROWS($F$2:$F$22)-COUNTBLANK($F$2:$F$22),"",INDIRECT(ADDRESS(SMALL((IF($F$2:$F$22&gt;"",ROW($F$2:$F$22),ROW()+ROWS($F$2:$F$22))),ROW()-ROW($G$2:$G$22)+1),COLUMN($F$2:$F$22),4)))</f>
        <v>No target value</v>
      </c>
      <c r="S18" s="362" t="str">
        <f t="array" aca="1" ref="S18" ca="1">IF(ROW()-ROW($H$2:$H$22)+1&gt;ROWS($G$2:$G$22)-COUNTBLANK($G$2:$G$22),"",INDIRECT(ADDRESS(SMALL((IF($G$2:$G$22&lt;&gt;"",ROW($G$2:$G$22),ROW()+ROWS($G$2:$G$22))),ROW()-ROW($H$2:$H$22)+1),COLUMN($G$2:$G$22),4)))</f>
        <v>-----</v>
      </c>
      <c r="T18" s="251" t="str">
        <f t="array" aca="1" ref="T18" ca="1">IF(ROW()-ROW($I$2:$I$22)+1&gt;ROWS($H$2:$H$22)-COUNTBLANK($H$2:$H$22),"",INDIRECT(ADDRESS(SMALL((IF($H$2:$H$22&lt;&gt;"",ROW($H$2:$H$22),ROW()+ROWS($H$2:$H$22))),ROW()-ROW($I$2:$I$22)+1),COLUMN($H$2:$H$22),4)))</f>
        <v>-----</v>
      </c>
      <c r="U18" s="251" t="str">
        <f t="array" aca="1" ref="U18" ca="1">IF(ROW()-ROW($J$2:$J$22)+1&gt;ROWS($I$2:$I$22)-COUNTBLANK($I$2:$I$22),"",INDIRECT(ADDRESS(SMALL((IF($I$2:$I$22&lt;&gt;"",ROW($I$2:$I$22),ROW()+ROWS($I$2:$I$22))),ROW()-ROW($J$2:$J$22)+1),COLUMN($I$2:$I$22),4)))</f>
        <v>-----</v>
      </c>
      <c r="V18" s="361" t="str">
        <f t="array" aca="1" ref="V18" ca="1">IF(ROW()-ROW($K$2:$K$22)+1&gt;ROWS($J$2:$J$22)-COUNTBLANK($J$2:$J$22),"",INDIRECT(ADDRESS(SMALL((IF($J$2:$J$22&lt;&gt;"",ROW($J$2:$J$22),ROW()+ROWS($J$2:$J$22))),ROW()-ROW($K$2:$K$22)+1),COLUMN($J$2:$J$22),4)))</f>
        <v>n.d.</v>
      </c>
      <c r="W18" s="251" t="str">
        <f t="array" aca="1" ref="W18" ca="1">IF(ROW()-ROW($L$2:$L$22)+1&gt;ROWS($K$2:$K$22)-COUNTBLANK($K$2:$K$22),"",INDIRECT(ADDRESS(SMALL((IF($K$2:$K$22&lt;&gt;"",ROW($K$2:$K$22),ROW()+ROWS($K$2:$K$22))),ROW()-ROW($L$2:$L$22)+1),COLUMN($K$2:$K$22),4)))</f>
        <v>Incomplete</v>
      </c>
      <c r="X18" s="335" t="str">
        <f t="array" aca="1" ref="X18" ca="1">IF(ROW()-ROW($M$2:$M$22)+1&gt;ROWS($L$2:$L$22)-COUNTBLANK($L$2:$L$22),"",INDIRECT(ADDRESS(SMALL((IF($L$2:$L$22&lt;&gt;"",ROW($L$2:$L$22),ROW()+ROWS($L$2:$L$22))),ROW()-ROW($M$2:$M$22)+1),COLUMN($L$2:$L$22),4)))</f>
        <v>-----</v>
      </c>
      <c r="Y18" s="335" t="str">
        <f t="array" aca="1" ref="Y18" ca="1">IF(ROW()-ROW($N$2:$N$22)+1&gt;ROWS($M$2:$M$22)-COUNTBLANK($M$2:$M$22),"",INDIRECT(ADDRESS(SMALL((IF($M$2:$M$22&lt;&gt;"",ROW($M$2:$M$22),ROW()+ROWS($M$2:$M$22))),ROW()-ROW($N$2:$N$22)+1),COLUMN($M$2:$M$22),4)))</f>
        <v>-----</v>
      </c>
    </row>
    <row r="19" spans="1:25" ht="61.5" customHeight="1">
      <c r="A19" s="335" t="str">
        <f>IF('Indicators Sheet_(IS)'!R63=0,"",'Indicators Sheet_(IS)'!R63)</f>
        <v>Incomplete</v>
      </c>
      <c r="C19" s="201">
        <f>IF($A19="I.O.","",'Indicators Sheet_(IS)'!B63)</f>
        <v>15</v>
      </c>
      <c r="D19" s="355" t="str">
        <f>IF($A19="I.O.","",'Indicators Sheet_(IS)'!E63)</f>
        <v>Melanoma: Safety margin (2 cm) in the case of radical excision</v>
      </c>
      <c r="E19" s="364" t="str">
        <f>IF(AND('Indicators Sheet_(IS)'!L63="",$A19&lt;&gt;"I.O."),"-----",IF($A19="I.O.","",'Indicators Sheet_(IS)'!L63))</f>
        <v>&lt; 80%</v>
      </c>
      <c r="F19" s="364" t="str">
        <f>IF($A19="I.O.","",'Indicators Sheet_(IS)'!M63)</f>
        <v>No target value</v>
      </c>
      <c r="G19" s="364" t="str">
        <f>IF(AND('Indicators Sheet_(IS)'!O63="",$A19&lt;&gt;"I.O."),"-----",IF($A19="I.O.","",'Indicators Sheet_(IS)'!O63))</f>
        <v>-----</v>
      </c>
      <c r="H19" s="107" t="str">
        <f>IF($A19="I.O.","",IF('Indicators Sheet_(IS)'!Q63="","-----",'Indicators Sheet_(IS)'!Q63))</f>
        <v>-----</v>
      </c>
      <c r="I19" s="107" t="str">
        <f>IF($A19="I.O.","",IF('Indicators Sheet_(IS)'!Q64="","-----",'Indicators Sheet_(IS)'!Q64))</f>
        <v>-----</v>
      </c>
      <c r="J19" s="356" t="str">
        <f>IF($A19="I.O.","",IF('Indicators Sheet_(IS)'!Q65="",0,'Indicators Sheet_(IS)'!Q65))</f>
        <v>n.d.</v>
      </c>
      <c r="K19" s="357" t="str">
        <f>IF($A19="I.O.","",'Indicators Sheet_(IS)'!R63)</f>
        <v>Incomplete</v>
      </c>
      <c r="L19" s="352" t="str">
        <f>IF(AND('Indicators Sheet_(IS)'!S63="",$A19&lt;&gt;"I.O."),"-----",IF($A19="I.O.","",'Indicators Sheet_(IS)'!S63))</f>
        <v>-----</v>
      </c>
      <c r="M19" s="352" t="str">
        <f>IF(AND('Indicators Sheet_(IS)'!T63="",$A19&lt;&gt;"I.O."),"-----",IF($A19="I.O.","",'Indicators Sheet_(IS)'!T63))</f>
        <v>-----</v>
      </c>
      <c r="O19" s="251">
        <f t="array" aca="1" ref="O19" ca="1">IF(ROW()-ROW($D$2:$D$22)+1&gt;ROWS($C$2:$C$22)-COUNTBLANK($C$2:$C$22),"",INDIRECT(ADDRESS(SMALL((IF($C$2:$C$22&lt;&gt;"",ROW($C$2:$C$22),ROW()+ROWS($C$2:$C$22))),ROW()-ROW($D$2:$D$22)+1),COLUMN($C$2:$C$22),4)))</f>
        <v>15</v>
      </c>
      <c r="P19" s="365" t="str">
        <f t="array" aca="1" ref="P19" ca="1">IF(ROW()-ROW($E$2:$E$22)+1&gt;ROWS($D$2:$D$22)-COUNTBLANK($D$2:$D$22),"",INDIRECT(ADDRESS(SMALL((IF($D$2:$D$22&gt;"",ROW($D$2:$D$22),ROW()+ROWS($D$2:$D$22))),ROW()-ROW($E$2:$E$22)+1),COLUMN($D$2:$D$22),4)))</f>
        <v>Melanoma: Safety margin (2 cm) in the case of radical excision</v>
      </c>
      <c r="Q19" s="362" t="str">
        <f t="array" aca="1" ref="Q19" ca="1">IF(ROW()-ROW($F$2:$F$22)+1&gt;ROWS($E$2:$E$22)-COUNTBLANK($E$2:$E$22),"",INDIRECT(ADDRESS(SMALL((IF($E$2:$E$22&gt;"",ROW($E$2:$E$22),ROW()+ROWS($E$2:$E$22))),ROW()-ROW($F$2:$F$22)+1),COLUMN($E$2:$E$22),4)))</f>
        <v>&lt; 80%</v>
      </c>
      <c r="R19" s="362" t="str">
        <f t="array" aca="1" ref="R19" ca="1">IF(ROW()-ROW($G$2:$G$22)+1&gt;ROWS($F$2:$F$22)-COUNTBLANK($F$2:$F$22),"",INDIRECT(ADDRESS(SMALL((IF($F$2:$F$22&gt;"",ROW($F$2:$F$22),ROW()+ROWS($F$2:$F$22))),ROW()-ROW($G$2:$G$22)+1),COLUMN($F$2:$F$22),4)))</f>
        <v>No target value</v>
      </c>
      <c r="S19" s="362" t="str">
        <f t="array" aca="1" ref="S19" ca="1">IF(ROW()-ROW($H$2:$H$22)+1&gt;ROWS($G$2:$G$22)-COUNTBLANK($G$2:$G$22),"",INDIRECT(ADDRESS(SMALL((IF($G$2:$G$22&lt;&gt;"",ROW($G$2:$G$22),ROW()+ROWS($G$2:$G$22))),ROW()-ROW($H$2:$H$22)+1),COLUMN($G$2:$G$22),4)))</f>
        <v>-----</v>
      </c>
      <c r="T19" s="251" t="str">
        <f t="array" aca="1" ref="T19" ca="1">IF(ROW()-ROW($I$2:$I$22)+1&gt;ROWS($H$2:$H$22)-COUNTBLANK($H$2:$H$22),"",INDIRECT(ADDRESS(SMALL((IF($H$2:$H$22&lt;&gt;"",ROW($H$2:$H$22),ROW()+ROWS($H$2:$H$22))),ROW()-ROW($I$2:$I$22)+1),COLUMN($H$2:$H$22),4)))</f>
        <v>-----</v>
      </c>
      <c r="U19" s="251" t="str">
        <f t="array" aca="1" ref="U19" ca="1">IF(ROW()-ROW($J$2:$J$22)+1&gt;ROWS($I$2:$I$22)-COUNTBLANK($I$2:$I$22),"",INDIRECT(ADDRESS(SMALL((IF($I$2:$I$22&lt;&gt;"",ROW($I$2:$I$22),ROW()+ROWS($I$2:$I$22))),ROW()-ROW($J$2:$J$22)+1),COLUMN($I$2:$I$22),4)))</f>
        <v>-----</v>
      </c>
      <c r="V19" s="361" t="str">
        <f t="array" aca="1" ref="V19" ca="1">IF(ROW()-ROW($K$2:$K$22)+1&gt;ROWS($J$2:$J$22)-COUNTBLANK($J$2:$J$22),"",INDIRECT(ADDRESS(SMALL((IF($J$2:$J$22&lt;&gt;"",ROW($J$2:$J$22),ROW()+ROWS($J$2:$J$22))),ROW()-ROW($K$2:$K$22)+1),COLUMN($J$2:$J$22),4)))</f>
        <v>n.d.</v>
      </c>
      <c r="W19" s="251" t="str">
        <f t="array" aca="1" ref="W19" ca="1">IF(ROW()-ROW($L$2:$L$22)+1&gt;ROWS($K$2:$K$22)-COUNTBLANK($K$2:$K$22),"",INDIRECT(ADDRESS(SMALL((IF($K$2:$K$22&lt;&gt;"",ROW($K$2:$K$22),ROW()+ROWS($K$2:$K$22))),ROW()-ROW($L$2:$L$22)+1),COLUMN($K$2:$K$22),4)))</f>
        <v>Incomplete</v>
      </c>
      <c r="X19" s="335" t="str">
        <f t="array" aca="1" ref="X19" ca="1">IF(ROW()-ROW($M$2:$M$22)+1&gt;ROWS($L$2:$L$22)-COUNTBLANK($L$2:$L$22),"",INDIRECT(ADDRESS(SMALL((IF($L$2:$L$22&lt;&gt;"",ROW($L$2:$L$22),ROW()+ROWS($L$2:$L$22))),ROW()-ROW($M$2:$M$22)+1),COLUMN($L$2:$L$22),4)))</f>
        <v>-----</v>
      </c>
      <c r="Y19" s="335" t="str">
        <f t="array" aca="1" ref="Y19" ca="1">IF(ROW()-ROW($N$2:$N$22)+1&gt;ROWS($M$2:$M$22)-COUNTBLANK($M$2:$M$22),"",INDIRECT(ADDRESS(SMALL((IF($M$2:$M$22&lt;&gt;"",ROW($M$2:$M$22),ROW()+ROWS($M$2:$M$22))),ROW()-ROW($N$2:$N$22)+1),COLUMN($M$2:$M$22),4)))</f>
        <v>-----</v>
      </c>
    </row>
    <row r="20" spans="1:25" ht="61.5" customHeight="1">
      <c r="A20" s="335" t="str">
        <f>IF('Indicators Sheet_(IS)'!R66=0,"",'Indicators Sheet_(IS)'!R66)</f>
        <v>Incomplete</v>
      </c>
      <c r="C20" s="201">
        <f>IF($A20="I.O.","",'Indicators Sheet_(IS)'!B66)</f>
        <v>16</v>
      </c>
      <c r="D20" s="355" t="str">
        <f>IF($A20="I.O.","",'Indicators Sheet_(IS)'!E66)</f>
        <v>Melanoma:
Lymphadenectomy</v>
      </c>
      <c r="E20" s="364" t="str">
        <f>IF(AND('Indicators Sheet_(IS)'!L66="",$A20&lt;&gt;"I.O."),"-----",IF($A20="I.O.","",'Indicators Sheet_(IS)'!L66))</f>
        <v>&lt; 80%</v>
      </c>
      <c r="F20" s="364" t="str">
        <f>IF($A20="I.O.","",'Indicators Sheet_(IS)'!M66)</f>
        <v>No target value</v>
      </c>
      <c r="G20" s="364" t="str">
        <f>IF(AND('Indicators Sheet_(IS)'!O66="",$A20&lt;&gt;"I.O."),"-----",IF($A20="I.O.","",'Indicators Sheet_(IS)'!O66))</f>
        <v>-----</v>
      </c>
      <c r="H20" s="107" t="str">
        <f>IF($A20="I.O.","",IF('Indicators Sheet_(IS)'!Q66="","-----",'Indicators Sheet_(IS)'!Q66))</f>
        <v>-----</v>
      </c>
      <c r="I20" s="107" t="str">
        <f>IF($A20="I.O.","",IF('Indicators Sheet_(IS)'!Q67="","-----",'Indicators Sheet_(IS)'!Q67))</f>
        <v>-----</v>
      </c>
      <c r="J20" s="356" t="str">
        <f>IF($A20="I.O.","",IF('Indicators Sheet_(IS)'!Q68="",0,'Indicators Sheet_(IS)'!Q68))</f>
        <v>n.d.</v>
      </c>
      <c r="K20" s="357" t="str">
        <f>IF($A20="I.O.","",'Indicators Sheet_(IS)'!R66)</f>
        <v>Incomplete</v>
      </c>
      <c r="L20" s="352" t="str">
        <f>IF(AND('Indicators Sheet_(IS)'!S66="",$A20&lt;&gt;"I.O."),"-----",IF($A20="I.O.","",'Indicators Sheet_(IS)'!S66))</f>
        <v>-----</v>
      </c>
      <c r="M20" s="352" t="str">
        <f>IF(AND('Indicators Sheet_(IS)'!T66="",$A20&lt;&gt;"I.O."),"-----",IF($A20="I.O.","",'Indicators Sheet_(IS)'!T66))</f>
        <v>-----</v>
      </c>
      <c r="O20" s="251">
        <f t="array" aca="1" ref="O20" ca="1">IF(ROW()-ROW($D$2:$D$22)+1&gt;ROWS($C$2:$C$22)-COUNTBLANK($C$2:$C$22),"",INDIRECT(ADDRESS(SMALL((IF($C$2:$C$22&lt;&gt;"",ROW($C$2:$C$22),ROW()+ROWS($C$2:$C$22))),ROW()-ROW($D$2:$D$22)+1),COLUMN($C$2:$C$22),4)))</f>
        <v>16</v>
      </c>
      <c r="P20" s="365" t="str">
        <f t="array" aca="1" ref="P20" ca="1">IF(ROW()-ROW($E$2:$E$22)+1&gt;ROWS($D$2:$D$22)-COUNTBLANK($D$2:$D$22),"",INDIRECT(ADDRESS(SMALL((IF($D$2:$D$22&gt;"",ROW($D$2:$D$22),ROW()+ROWS($D$2:$D$22))),ROW()-ROW($E$2:$E$22)+1),COLUMN($D$2:$D$22),4)))</f>
        <v>Melanoma:
Lymphadenectomy</v>
      </c>
      <c r="Q20" s="362" t="str">
        <f t="array" aca="1" ref="Q20" ca="1">IF(ROW()-ROW($F$2:$F$22)+1&gt;ROWS($E$2:$E$22)-COUNTBLANK($E$2:$E$22),"",INDIRECT(ADDRESS(SMALL((IF($E$2:$E$22&gt;"",ROW($E$2:$E$22),ROW()+ROWS($E$2:$E$22))),ROW()-ROW($F$2:$F$22)+1),COLUMN($E$2:$E$22),4)))</f>
        <v>&lt; 80%</v>
      </c>
      <c r="R20" s="362" t="str">
        <f t="array" aca="1" ref="R20" ca="1">IF(ROW()-ROW($G$2:$G$22)+1&gt;ROWS($F$2:$F$22)-COUNTBLANK($F$2:$F$22),"",INDIRECT(ADDRESS(SMALL((IF($F$2:$F$22&gt;"",ROW($F$2:$F$22),ROW()+ROWS($F$2:$F$22))),ROW()-ROW($G$2:$G$22)+1),COLUMN($F$2:$F$22),4)))</f>
        <v>No target value</v>
      </c>
      <c r="S20" s="362" t="str">
        <f t="array" aca="1" ref="S20" ca="1">IF(ROW()-ROW($H$2:$H$22)+1&gt;ROWS($G$2:$G$22)-COUNTBLANK($G$2:$G$22),"",INDIRECT(ADDRESS(SMALL((IF($G$2:$G$22&lt;&gt;"",ROW($G$2:$G$22),ROW()+ROWS($G$2:$G$22))),ROW()-ROW($H$2:$H$22)+1),COLUMN($G$2:$G$22),4)))</f>
        <v>-----</v>
      </c>
      <c r="T20" s="251" t="str">
        <f t="array" aca="1" ref="T20" ca="1">IF(ROW()-ROW($I$2:$I$22)+1&gt;ROWS($H$2:$H$22)-COUNTBLANK($H$2:$H$22),"",INDIRECT(ADDRESS(SMALL((IF($H$2:$H$22&lt;&gt;"",ROW($H$2:$H$22),ROW()+ROWS($H$2:$H$22))),ROW()-ROW($I$2:$I$22)+1),COLUMN($H$2:$H$22),4)))</f>
        <v>-----</v>
      </c>
      <c r="U20" s="251" t="str">
        <f t="array" aca="1" ref="U20" ca="1">IF(ROW()-ROW($J$2:$J$22)+1&gt;ROWS($I$2:$I$22)-COUNTBLANK($I$2:$I$22),"",INDIRECT(ADDRESS(SMALL((IF($I$2:$I$22&lt;&gt;"",ROW($I$2:$I$22),ROW()+ROWS($I$2:$I$22))),ROW()-ROW($J$2:$J$22)+1),COLUMN($I$2:$I$22),4)))</f>
        <v>-----</v>
      </c>
      <c r="V20" s="361" t="str">
        <f t="array" aca="1" ref="V20" ca="1">IF(ROW()-ROW($K$2:$K$22)+1&gt;ROWS($J$2:$J$22)-COUNTBLANK($J$2:$J$22),"",INDIRECT(ADDRESS(SMALL((IF($J$2:$J$22&lt;&gt;"",ROW($J$2:$J$22),ROW()+ROWS($J$2:$J$22))),ROW()-ROW($K$2:$K$22)+1),COLUMN($J$2:$J$22),4)))</f>
        <v>n.d.</v>
      </c>
      <c r="W20" s="251" t="str">
        <f t="array" aca="1" ref="W20" ca="1">IF(ROW()-ROW($L$2:$L$22)+1&gt;ROWS($K$2:$K$22)-COUNTBLANK($K$2:$K$22),"",INDIRECT(ADDRESS(SMALL((IF($K$2:$K$22&lt;&gt;"",ROW($K$2:$K$22),ROW()+ROWS($K$2:$K$22))),ROW()-ROW($L$2:$L$22)+1),COLUMN($K$2:$K$22),4)))</f>
        <v>Incomplete</v>
      </c>
      <c r="X20" s="335" t="str">
        <f t="array" aca="1" ref="X20" ca="1">IF(ROW()-ROW($M$2:$M$22)+1&gt;ROWS($L$2:$L$22)-COUNTBLANK($L$2:$L$22),"",INDIRECT(ADDRESS(SMALL((IF($L$2:$L$22&lt;&gt;"",ROW($L$2:$L$22),ROW()+ROWS($L$2:$L$22))),ROW()-ROW($M$2:$M$22)+1),COLUMN($L$2:$L$22),4)))</f>
        <v>-----</v>
      </c>
      <c r="Y20" s="335" t="str">
        <f t="array" aca="1" ref="Y20" ca="1">IF(ROW()-ROW($N$2:$N$22)+1&gt;ROWS($M$2:$M$22)-COUNTBLANK($M$2:$M$22),"",INDIRECT(ADDRESS(SMALL((IF($M$2:$M$22&lt;&gt;"",ROW($M$2:$M$22),ROW()+ROWS($M$2:$M$22))),ROW()-ROW($N$2:$N$22)+1),COLUMN($M$2:$M$22),4)))</f>
        <v>-----</v>
      </c>
    </row>
    <row r="21" spans="1:25" ht="61.5" customHeight="1">
      <c r="A21" s="335" t="str">
        <f>IF('Indicators Sheet_(IS)'!R69=0,"",'Indicators Sheet_(IS)'!R69)</f>
        <v>Incomplete</v>
      </c>
      <c r="C21" s="201">
        <f>IF($A21="I.O.","",'Indicators Sheet_(IS)'!B69)</f>
        <v>17</v>
      </c>
      <c r="D21" s="355" t="str">
        <f>IF($A21="I.O.","",'Indicators Sheet_(IS)'!E69)</f>
        <v>Melanoma: Mutation analysis for BRAF</v>
      </c>
      <c r="E21" s="364" t="str">
        <f>IF(AND('Indicators Sheet_(IS)'!L69="",$A21&lt;&gt;"I.O."),"-----",IF($A21="I.O.","",'Indicators Sheet_(IS)'!L69))</f>
        <v>&lt; 80%</v>
      </c>
      <c r="F21" s="364" t="str">
        <f>IF($A21="I.O.","",'Indicators Sheet_(IS)'!M69)</f>
        <v>No target value</v>
      </c>
      <c r="G21" s="364" t="str">
        <f>IF(AND('Indicators Sheet_(IS)'!O69="",$A21&lt;&gt;"I.O."),"-----",IF($A21="I.O.","",'Indicators Sheet_(IS)'!O69))</f>
        <v>-----</v>
      </c>
      <c r="H21" s="107" t="str">
        <f>IF($A21="I.O.","",IF('Indicators Sheet_(IS)'!Q69="","-----",'Indicators Sheet_(IS)'!Q69))</f>
        <v>-----</v>
      </c>
      <c r="I21" s="107">
        <f>IF($A21="I.O.","",IF('Indicators Sheet_(IS)'!Q70="","-----",'Indicators Sheet_(IS)'!Q70))</f>
        <v>0</v>
      </c>
      <c r="J21" s="356" t="str">
        <f>IF($A21="I.O.","",IF('Indicators Sheet_(IS)'!Q71="",0,'Indicators Sheet_(IS)'!Q71))</f>
        <v>n.d.</v>
      </c>
      <c r="K21" s="357" t="str">
        <f>IF($A21="I.O.","",'Indicators Sheet_(IS)'!R69)</f>
        <v>Incomplete</v>
      </c>
      <c r="L21" s="352" t="str">
        <f>IF(AND('Indicators Sheet_(IS)'!S69="",$A21&lt;&gt;"I.O."),"-----",IF($A21="I.O.","",'Indicators Sheet_(IS)'!S69))</f>
        <v>-----</v>
      </c>
      <c r="M21" s="352" t="str">
        <f>IF(AND('Indicators Sheet_(IS)'!T69="",$A21&lt;&gt;"I.O."),"-----",IF($A21="I.O.","",'Indicators Sheet_(IS)'!T69))</f>
        <v>-----</v>
      </c>
      <c r="O21" s="251">
        <f t="array" aca="1" ref="O21" ca="1">IF(ROW()-ROW($D$2:$D$22)+1&gt;ROWS($C$2:$C$22)-COUNTBLANK($C$2:$C$22),"",INDIRECT(ADDRESS(SMALL((IF($C$2:$C$22&lt;&gt;"",ROW($C$2:$C$22),ROW()+ROWS($C$2:$C$22))),ROW()-ROW($D$2:$D$22)+1),COLUMN($C$2:$C$22),4)))</f>
        <v>17</v>
      </c>
      <c r="P21" s="365" t="str">
        <f t="array" aca="1" ref="P21" ca="1">IF(ROW()-ROW($E$2:$E$22)+1&gt;ROWS($D$2:$D$22)-COUNTBLANK($D$2:$D$22),"",INDIRECT(ADDRESS(SMALL((IF($D$2:$D$22&gt;"",ROW($D$2:$D$22),ROW()+ROWS($D$2:$D$22))),ROW()-ROW($E$2:$E$22)+1),COLUMN($D$2:$D$22),4)))</f>
        <v>Melanoma: Mutation analysis for BRAF</v>
      </c>
      <c r="Q21" s="362" t="str">
        <f t="array" aca="1" ref="Q21" ca="1">IF(ROW()-ROW($F$2:$F$22)+1&gt;ROWS($E$2:$E$22)-COUNTBLANK($E$2:$E$22),"",INDIRECT(ADDRESS(SMALL((IF($E$2:$E$22&gt;"",ROW($E$2:$E$22),ROW()+ROWS($E$2:$E$22))),ROW()-ROW($F$2:$F$22)+1),COLUMN($E$2:$E$22),4)))</f>
        <v>&lt; 80%</v>
      </c>
      <c r="R21" s="362" t="str">
        <f t="array" aca="1" ref="R21" ca="1">IF(ROW()-ROW($G$2:$G$22)+1&gt;ROWS($F$2:$F$22)-COUNTBLANK($F$2:$F$22),"",INDIRECT(ADDRESS(SMALL((IF($F$2:$F$22&gt;"",ROW($F$2:$F$22),ROW()+ROWS($F$2:$F$22))),ROW()-ROW($G$2:$G$22)+1),COLUMN($F$2:$F$22),4)))</f>
        <v>No target value</v>
      </c>
      <c r="S21" s="362" t="str">
        <f t="array" aca="1" ref="S21" ca="1">IF(ROW()-ROW($H$2:$H$22)+1&gt;ROWS($G$2:$G$22)-COUNTBLANK($G$2:$G$22),"",INDIRECT(ADDRESS(SMALL((IF($G$2:$G$22&lt;&gt;"",ROW($G$2:$G$22),ROW()+ROWS($G$2:$G$22))),ROW()-ROW($H$2:$H$22)+1),COLUMN($G$2:$G$22),4)))</f>
        <v>-----</v>
      </c>
      <c r="T21" s="251" t="str">
        <f t="array" aca="1" ref="T21" ca="1">IF(ROW()-ROW($I$2:$I$22)+1&gt;ROWS($H$2:$H$22)-COUNTBLANK($H$2:$H$22),"",INDIRECT(ADDRESS(SMALL((IF($H$2:$H$22&lt;&gt;"",ROW($H$2:$H$22),ROW()+ROWS($H$2:$H$22))),ROW()-ROW($I$2:$I$22)+1),COLUMN($H$2:$H$22),4)))</f>
        <v>-----</v>
      </c>
      <c r="U21" s="251">
        <f t="array" aca="1" ref="U21" ca="1">IF(ROW()-ROW($J$2:$J$22)+1&gt;ROWS($I$2:$I$22)-COUNTBLANK($I$2:$I$22),"",INDIRECT(ADDRESS(SMALL((IF($I$2:$I$22&lt;&gt;"",ROW($I$2:$I$22),ROW()+ROWS($I$2:$I$22))),ROW()-ROW($J$2:$J$22)+1),COLUMN($I$2:$I$22),4)))</f>
        <v>0</v>
      </c>
      <c r="V21" s="361" t="str">
        <f t="array" aca="1" ref="V21" ca="1">IF(ROW()-ROW($K$2:$K$22)+1&gt;ROWS($J$2:$J$22)-COUNTBLANK($J$2:$J$22),"",INDIRECT(ADDRESS(SMALL((IF($J$2:$J$22&lt;&gt;"",ROW($J$2:$J$22),ROW()+ROWS($J$2:$J$22))),ROW()-ROW($K$2:$K$22)+1),COLUMN($J$2:$J$22),4)))</f>
        <v>n.d.</v>
      </c>
      <c r="W21" s="251" t="str">
        <f t="array" aca="1" ref="W21" ca="1">IF(ROW()-ROW($L$2:$L$22)+1&gt;ROWS($K$2:$K$22)-COUNTBLANK($K$2:$K$22),"",INDIRECT(ADDRESS(SMALL((IF($K$2:$K$22&lt;&gt;"",ROW($K$2:$K$22),ROW()+ROWS($K$2:$K$22))),ROW()-ROW($L$2:$L$22)+1),COLUMN($K$2:$K$22),4)))</f>
        <v>Incomplete</v>
      </c>
      <c r="X21" s="335" t="str">
        <f t="array" aca="1" ref="X21" ca="1">IF(ROW()-ROW($M$2:$M$22)+1&gt;ROWS($L$2:$L$22)-COUNTBLANK($L$2:$L$22),"",INDIRECT(ADDRESS(SMALL((IF($L$2:$L$22&lt;&gt;"",ROW($L$2:$L$22),ROW()+ROWS($L$2:$L$22))),ROW()-ROW($M$2:$M$22)+1),COLUMN($L$2:$L$22),4)))</f>
        <v>-----</v>
      </c>
      <c r="Y21" s="335" t="str">
        <f t="array" aca="1" ref="Y21" ca="1">IF(ROW()-ROW($N$2:$N$22)+1&gt;ROWS($M$2:$M$22)-COUNTBLANK($M$2:$M$22),"",INDIRECT(ADDRESS(SMALL((IF($M$2:$M$22&lt;&gt;"",ROW($M$2:$M$22),ROW()+ROWS($M$2:$M$22))),ROW()-ROW($N$2:$N$22)+1),COLUMN($M$2:$M$22),4)))</f>
        <v>-----</v>
      </c>
    </row>
    <row r="22" spans="1:25" ht="61.5" customHeight="1">
      <c r="A22" s="335" t="str">
        <f>IF('Indicators Sheet_(IS)'!R72=0,"",'Indicators Sheet_(IS)'!R72)</f>
        <v>Incomplete</v>
      </c>
      <c r="C22" s="201">
        <f>IF($A22="I.O.","",'Indicators Sheet_(IS)'!B72)</f>
        <v>18</v>
      </c>
      <c r="D22" s="355" t="str">
        <f>IF($A22="I.O.","",'Indicators Sheet_(IS)'!E72)</f>
        <v>Melanoma: LDH determination</v>
      </c>
      <c r="E22" s="364" t="str">
        <f>IF(AND('Indicators Sheet_(IS)'!L72="",$A22&lt;&gt;"I.O."),"-----",IF($A22="I.O.","",'Indicators Sheet_(IS)'!L72))</f>
        <v>&lt; 80%</v>
      </c>
      <c r="F22" s="364" t="str">
        <f>IF($A22="I.O.","",'Indicators Sheet_(IS)'!M72)</f>
        <v>No target value</v>
      </c>
      <c r="G22" s="364" t="str">
        <f>IF(AND('Indicators Sheet_(IS)'!O72="",$A22&lt;&gt;"I.O."),"-----",IF($A22="I.O.","",'Indicators Sheet_(IS)'!O72))</f>
        <v>-----</v>
      </c>
      <c r="H22" s="107" t="str">
        <f>IF($A22="I.O.","",IF('Indicators Sheet_(IS)'!Q72="","-----",'Indicators Sheet_(IS)'!Q72))</f>
        <v>-----</v>
      </c>
      <c r="I22" s="107">
        <f>IF($A22="I.O.","",IF('Indicators Sheet_(IS)'!Q73="","-----",'Indicators Sheet_(IS)'!Q73))</f>
        <v>0</v>
      </c>
      <c r="J22" s="356" t="str">
        <f>IF($A22="I.O.","",IF('Indicators Sheet_(IS)'!Q74="",0,'Indicators Sheet_(IS)'!Q74))</f>
        <v>n.d.</v>
      </c>
      <c r="K22" s="357" t="str">
        <f>IF($A22="I.O.","",'Indicators Sheet_(IS)'!R72)</f>
        <v>Incomplete</v>
      </c>
      <c r="L22" s="352" t="str">
        <f>IF(AND('Indicators Sheet_(IS)'!S72="",$A22&lt;&gt;"I.O."),"-----",IF($A22="I.O.","",'Indicators Sheet_(IS)'!S72))</f>
        <v>-----</v>
      </c>
      <c r="M22" s="352" t="str">
        <f>IF(AND('Indicators Sheet_(IS)'!T72="",$A22&lt;&gt;"I.O."),"-----",IF($A22="I.O.","",'Indicators Sheet_(IS)'!T72))</f>
        <v>-----</v>
      </c>
      <c r="O22" s="251">
        <f t="array" aca="1" ref="O22" ca="1">IF(ROW()-ROW($D$2:$D$22)+1&gt;ROWS($C$2:$C$22)-COUNTBLANK($C$2:$C$22),"",INDIRECT(ADDRESS(SMALL((IF($C$2:$C$22&lt;&gt;"",ROW($C$2:$C$22),ROW()+ROWS($C$2:$C$22))),ROW()-ROW($D$2:$D$22)+1),COLUMN($C$2:$C$22),4)))</f>
        <v>18</v>
      </c>
      <c r="P22" s="365" t="str">
        <f t="array" aca="1" ref="P22" ca="1">IF(ROW()-ROW($E$2:$E$22)+1&gt;ROWS($D$2:$D$22)-COUNTBLANK($D$2:$D$22),"",INDIRECT(ADDRESS(SMALL((IF($D$2:$D$22&gt;"",ROW($D$2:$D$22),ROW()+ROWS($D$2:$D$22))),ROW()-ROW($E$2:$E$22)+1),COLUMN($D$2:$D$22),4)))</f>
        <v>Melanoma: LDH determination</v>
      </c>
      <c r="Q22" s="362" t="str">
        <f t="array" aca="1" ref="Q22" ca="1">IF(ROW()-ROW($F$2:$F$22)+1&gt;ROWS($E$2:$E$22)-COUNTBLANK($E$2:$E$22),"",INDIRECT(ADDRESS(SMALL((IF($E$2:$E$22&gt;"",ROW($E$2:$E$22),ROW()+ROWS($E$2:$E$22))),ROW()-ROW($F$2:$F$22)+1),COLUMN($E$2:$E$22),4)))</f>
        <v>&lt; 80%</v>
      </c>
      <c r="R22" s="362" t="str">
        <f t="array" aca="1" ref="R22" ca="1">IF(ROW()-ROW($G$2:$G$22)+1&gt;ROWS($F$2:$F$22)-COUNTBLANK($F$2:$F$22),"",INDIRECT(ADDRESS(SMALL((IF($F$2:$F$22&gt;"",ROW($F$2:$F$22),ROW()+ROWS($F$2:$F$22))),ROW()-ROW($G$2:$G$22)+1),COLUMN($F$2:$F$22),4)))</f>
        <v>No target value</v>
      </c>
      <c r="S22" s="362" t="str">
        <f t="array" aca="1" ref="S22" ca="1">IF(ROW()-ROW($H$2:$H$22)+1&gt;ROWS($G$2:$G$22)-COUNTBLANK($G$2:$G$22),"",INDIRECT(ADDRESS(SMALL((IF($G$2:$G$22&lt;&gt;"",ROW($G$2:$G$22),ROW()+ROWS($G$2:$G$22))),ROW()-ROW($H$2:$H$22)+1),COLUMN($G$2:$G$22),4)))</f>
        <v>-----</v>
      </c>
      <c r="T22" s="251" t="str">
        <f t="array" aca="1" ref="T22" ca="1">IF(ROW()-ROW($I$2:$I$22)+1&gt;ROWS($H$2:$H$22)-COUNTBLANK($H$2:$H$22),"",INDIRECT(ADDRESS(SMALL((IF($H$2:$H$22&lt;&gt;"",ROW($H$2:$H$22),ROW()+ROWS($H$2:$H$22))),ROW()-ROW($I$2:$I$22)+1),COLUMN($H$2:$H$22),4)))</f>
        <v>-----</v>
      </c>
      <c r="U22" s="251">
        <f t="array" aca="1" ref="U22" ca="1">IF(ROW()-ROW($J$2:$J$22)+1&gt;ROWS($I$2:$I$22)-COUNTBLANK($I$2:$I$22),"",INDIRECT(ADDRESS(SMALL((IF($I$2:$I$22&lt;&gt;"",ROW($I$2:$I$22),ROW()+ROWS($I$2:$I$22))),ROW()-ROW($J$2:$J$22)+1),COLUMN($I$2:$I$22),4)))</f>
        <v>0</v>
      </c>
      <c r="V22" s="361" t="str">
        <f t="array" aca="1" ref="V22" ca="1">IF(ROW()-ROW($K$2:$K$22)+1&gt;ROWS($J$2:$J$22)-COUNTBLANK($J$2:$J$22),"",INDIRECT(ADDRESS(SMALL((IF($J$2:$J$22&lt;&gt;"",ROW($J$2:$J$22),ROW()+ROWS($J$2:$J$22))),ROW()-ROW($K$2:$K$22)+1),COLUMN($J$2:$J$22),4)))</f>
        <v>n.d.</v>
      </c>
      <c r="W22" s="251" t="str">
        <f t="array" aca="1" ref="W22" ca="1">IF(ROW()-ROW($L$2:$L$22)+1&gt;ROWS($K$2:$K$22)-COUNTBLANK($K$2:$K$22),"",INDIRECT(ADDRESS(SMALL((IF($K$2:$K$22&lt;&gt;"",ROW($K$2:$K$22),ROW()+ROWS($K$2:$K$22))),ROW()-ROW($L$2:$L$22)+1),COLUMN($K$2:$K$22),4)))</f>
        <v>Incomplete</v>
      </c>
      <c r="X22" s="335" t="str">
        <f t="array" aca="1" ref="X22" ca="1">IF(ROW()-ROW($M$2:$M$22)+1&gt;ROWS($L$2:$L$22)-COUNTBLANK($L$2:$L$22),"",INDIRECT(ADDRESS(SMALL((IF($L$2:$L$22&lt;&gt;"",ROW($L$2:$L$22),ROW()+ROWS($L$2:$L$22))),ROW()-ROW($M$2:$M$22)+1),COLUMN($L$2:$L$22),4)))</f>
        <v>-----</v>
      </c>
      <c r="Y22" s="335" t="str">
        <f t="array" aca="1" ref="Y22" ca="1">IF(ROW()-ROW($N$2:$N$22)+1&gt;ROWS($M$2:$M$22)-COUNTBLANK($M$2:$M$22),"",INDIRECT(ADDRESS(SMALL((IF($M$2:$M$22&lt;&gt;"",ROW($M$2:$M$22),ROW()+ROWS($M$2:$M$22))),ROW()-ROW($N$2:$N$22)+1),COLUMN($M$2:$M$22),4)))</f>
        <v>-----</v>
      </c>
    </row>
  </sheetData>
  <sheetProtection formatColumns="0" formatRows="0" selectLockedCells="1" sort="0"/>
  <phoneticPr fontId="41" type="noConversion"/>
  <conditionalFormatting sqref="K2:K16">
    <cfRule type="expression" dxfId="174" priority="6" stopIfTrue="1">
      <formula>OR(K2="Unvollständig",K2="Inkorrekt")</formula>
    </cfRule>
    <cfRule type="cellIs" dxfId="173" priority="25" stopIfTrue="1" operator="equal">
      <formula>"Ausnahme (Plausibilität unklar)"</formula>
    </cfRule>
    <cfRule type="cellIs" dxfId="172" priority="40" stopIfTrue="1" operator="equal">
      <formula>"I.O. (Plausibilität unklar)"</formula>
    </cfRule>
    <cfRule type="cellIs" dxfId="171" priority="56" stopIfTrue="1" operator="equal">
      <formula>"Sollvorgabe nicht erfüllt"</formula>
    </cfRule>
    <cfRule type="cellIs" dxfId="170" priority="72" stopIfTrue="1" operator="equal">
      <formula>"I.O."</formula>
    </cfRule>
  </conditionalFormatting>
  <conditionalFormatting sqref="K17:K22">
    <cfRule type="expression" dxfId="169" priority="1" stopIfTrue="1">
      <formula>OR(K17="Unvollständig",K17="Inkorrekt")</formula>
    </cfRule>
    <cfRule type="cellIs" dxfId="168" priority="2" stopIfTrue="1" operator="equal">
      <formula>"Ausnahme (Plausibilität unklar)"</formula>
    </cfRule>
    <cfRule type="cellIs" dxfId="167" priority="3" stopIfTrue="1" operator="equal">
      <formula>"I.O. (Plausibilität unklar)"</formula>
    </cfRule>
    <cfRule type="cellIs" dxfId="166" priority="4" stopIfTrue="1" operator="equal">
      <formula>"Sollvorgabe nicht erfüllt"</formula>
    </cfRule>
    <cfRule type="cellIs" dxfId="165" priority="5" stopIfTrue="1" operator="equal">
      <formula>"I.O."</formula>
    </cfRule>
  </conditionalFormatting>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1"/>
  <dimension ref="B1:AX83"/>
  <sheetViews>
    <sheetView showGridLines="0" zoomScaleNormal="100" workbookViewId="0">
      <selection activeCell="E19" sqref="E19"/>
    </sheetView>
  </sheetViews>
  <sheetFormatPr baseColWidth="10" defaultColWidth="9" defaultRowHeight="13.5"/>
  <cols>
    <col min="1" max="1" width="1.73046875" style="1" customWidth="1"/>
    <col min="2" max="2" width="16" style="1" customWidth="1"/>
    <col min="3" max="3" width="9.73046875" style="1" customWidth="1"/>
    <col min="4" max="4" width="8.86328125" style="1" customWidth="1"/>
    <col min="5" max="16" width="4.1328125" style="1" customWidth="1"/>
    <col min="17" max="17" width="4.73046875" style="1" customWidth="1"/>
    <col min="18" max="18" width="4.1328125" style="1" customWidth="1"/>
    <col min="19" max="19" width="0.59765625" style="1" customWidth="1"/>
    <col min="20" max="20" width="8.73046875" style="1" customWidth="1"/>
    <col min="21" max="21" width="9.59765625" style="1" customWidth="1"/>
    <col min="22" max="22" width="8.86328125" style="1" customWidth="1"/>
    <col min="23" max="23" width="0.59765625" style="1" customWidth="1"/>
    <col min="24" max="24" width="7.86328125" style="1" customWidth="1"/>
    <col min="25" max="25" width="8.265625" style="1" customWidth="1"/>
    <col min="26" max="26" width="0.59765625" style="1" customWidth="1"/>
    <col min="27" max="27" width="17.73046875" style="1" customWidth="1"/>
    <col min="28" max="28" width="4.73046875" style="1" customWidth="1"/>
    <col min="29" max="29" width="5.3984375" style="1" customWidth="1"/>
    <col min="30" max="32" width="4.86328125" style="1" customWidth="1"/>
    <col min="33" max="34" width="0.3984375" style="1" customWidth="1"/>
    <col min="35" max="35" width="4.86328125" style="1" customWidth="1"/>
    <col min="36" max="36" width="4.59765625" style="1" customWidth="1"/>
    <col min="37" max="38" width="4.3984375" style="1" customWidth="1"/>
    <col min="39" max="39" width="4.86328125" style="1" customWidth="1"/>
    <col min="40" max="40" width="4.3984375" style="1" customWidth="1"/>
    <col min="41" max="42" width="4.86328125" style="1" customWidth="1"/>
    <col min="43" max="43" width="0.59765625" style="1" customWidth="1"/>
    <col min="44" max="44" width="6" style="1" customWidth="1"/>
    <col min="45" max="45" width="6.3984375" style="12" customWidth="1"/>
    <col min="46" max="239" width="11.3984375" style="1" customWidth="1"/>
    <col min="240" max="16384" width="9" style="1"/>
  </cols>
  <sheetData>
    <row r="1" spans="2:50" ht="9.9499999999999993" customHeight="1">
      <c r="D1" s="25"/>
      <c r="E1" s="25"/>
      <c r="F1" s="25"/>
      <c r="G1" s="25"/>
      <c r="H1" s="25"/>
      <c r="I1" s="25"/>
      <c r="J1" s="25"/>
      <c r="K1" s="25"/>
      <c r="L1" s="25"/>
      <c r="M1" s="25"/>
      <c r="N1" s="25"/>
      <c r="O1" s="25"/>
      <c r="P1" s="25"/>
      <c r="Q1" s="25"/>
      <c r="R1" s="25"/>
      <c r="AD1" s="16"/>
      <c r="AE1" s="16"/>
      <c r="AF1" s="16"/>
      <c r="AG1" s="16"/>
      <c r="AH1" s="16"/>
      <c r="AI1" s="16"/>
      <c r="AJ1" s="16"/>
      <c r="AK1" s="16"/>
    </row>
    <row r="2" spans="2:50" ht="12.95" customHeight="1">
      <c r="B2" s="396" t="str">
        <f>'Basic Data'!B2</f>
        <v>Annex CR Version J2.1  (Audit year 2023 / Indicator year 2022)</v>
      </c>
      <c r="AD2" s="16"/>
      <c r="AE2" s="16"/>
      <c r="AF2" s="16"/>
      <c r="AG2" s="16"/>
      <c r="AH2" s="16"/>
      <c r="AI2" s="16"/>
      <c r="AJ2" s="16"/>
      <c r="AK2" s="16"/>
    </row>
    <row r="3" spans="2:50" ht="19.5" customHeight="1">
      <c r="B3" s="40" t="s">
        <v>249</v>
      </c>
      <c r="AD3" s="16"/>
      <c r="AE3" s="16"/>
      <c r="AF3" s="16"/>
      <c r="AG3" s="16"/>
      <c r="AH3" s="16"/>
      <c r="AI3" s="16"/>
      <c r="AK3" s="17"/>
      <c r="AL3" s="17"/>
      <c r="AM3" s="17"/>
      <c r="AN3" s="17"/>
    </row>
    <row r="4" spans="2:50" ht="12" customHeight="1">
      <c r="B4" s="20"/>
      <c r="AD4" s="16"/>
      <c r="AE4" s="16"/>
      <c r="AF4" s="16"/>
      <c r="AG4" s="16"/>
      <c r="AH4" s="16"/>
      <c r="AI4" s="16"/>
      <c r="AK4" s="17"/>
      <c r="AL4" s="17"/>
      <c r="AM4" s="17"/>
      <c r="AN4" s="17"/>
    </row>
    <row r="5" spans="2:50" ht="15" customHeight="1">
      <c r="AI5" s="16"/>
    </row>
    <row r="6" spans="2:50" s="22" customFormat="1" ht="15" customHeight="1">
      <c r="B6" s="382" t="s">
        <v>119</v>
      </c>
      <c r="C6" s="764" t="str">
        <f>IF('Basic Data'!C8=0,"",'Basic Data'!C8)</f>
        <v/>
      </c>
      <c r="D6" s="765"/>
      <c r="E6" s="765"/>
      <c r="F6" s="765"/>
      <c r="G6" s="765"/>
      <c r="H6" s="765"/>
      <c r="I6" s="765"/>
      <c r="J6" s="765"/>
      <c r="K6" s="765"/>
      <c r="L6" s="765"/>
      <c r="M6" s="765"/>
      <c r="N6" s="765"/>
      <c r="O6" s="765"/>
      <c r="P6" s="765"/>
      <c r="Q6" s="765"/>
      <c r="R6" s="765"/>
      <c r="S6" s="765"/>
      <c r="T6" s="765"/>
      <c r="U6" s="765"/>
      <c r="V6" s="765"/>
      <c r="W6" s="765"/>
      <c r="X6" s="765"/>
      <c r="Y6" s="765"/>
      <c r="Z6" s="766"/>
      <c r="AD6" s="11"/>
    </row>
    <row r="7" spans="2:50" s="22" customFormat="1" ht="6.95" customHeight="1">
      <c r="B7" s="23"/>
      <c r="C7" s="4"/>
      <c r="D7" s="8"/>
      <c r="E7" s="8"/>
      <c r="F7" s="8"/>
      <c r="G7" s="8"/>
      <c r="H7" s="8"/>
      <c r="I7" s="8"/>
      <c r="J7" s="8"/>
      <c r="K7" s="8"/>
      <c r="L7" s="8"/>
      <c r="M7" s="8"/>
      <c r="N7" s="8"/>
      <c r="O7" s="8"/>
      <c r="P7" s="8"/>
      <c r="Q7" s="8"/>
      <c r="R7" s="8"/>
      <c r="S7" s="8"/>
      <c r="T7" s="8"/>
      <c r="U7" s="8"/>
      <c r="V7" s="8"/>
      <c r="W7" s="8"/>
      <c r="X7" s="8"/>
      <c r="Y7" s="8"/>
      <c r="Z7" s="8"/>
      <c r="AE7" s="11"/>
    </row>
    <row r="8" spans="2:50" s="22" customFormat="1" ht="15" customHeight="1">
      <c r="B8" s="383" t="s">
        <v>77</v>
      </c>
      <c r="C8" s="785" t="str">
        <f>IF('Basic Data'!C6=0,"",'Basic Data'!C6)</f>
        <v>Not listed</v>
      </c>
      <c r="D8" s="786"/>
      <c r="E8" s="787"/>
      <c r="F8" s="398"/>
      <c r="G8" s="398"/>
      <c r="H8" s="398"/>
      <c r="I8" s="398"/>
      <c r="J8" s="398"/>
      <c r="K8" s="398"/>
      <c r="L8" s="398"/>
      <c r="M8" s="398"/>
      <c r="N8" s="398"/>
      <c r="O8" s="398"/>
      <c r="P8" s="398"/>
      <c r="Q8" s="398"/>
      <c r="R8" s="200"/>
      <c r="S8" s="200"/>
      <c r="T8" s="828" t="s">
        <v>353</v>
      </c>
      <c r="U8" s="828"/>
      <c r="V8" s="828"/>
      <c r="W8" s="829"/>
      <c r="X8" s="769" t="str">
        <f>IF('Basic Data'!O12=0,"",'Basic Data'!O12)</f>
        <v/>
      </c>
      <c r="Y8" s="770"/>
      <c r="Z8" s="771"/>
      <c r="AD8" s="11"/>
    </row>
    <row r="9" spans="2:50" s="22" customFormat="1" ht="9.75" customHeight="1">
      <c r="C9" s="109"/>
      <c r="D9" s="23"/>
      <c r="E9" s="23"/>
      <c r="F9" s="23"/>
      <c r="G9" s="23"/>
      <c r="H9" s="23"/>
      <c r="I9" s="23"/>
      <c r="J9" s="23"/>
      <c r="K9" s="23"/>
      <c r="L9" s="23"/>
      <c r="M9" s="23"/>
      <c r="N9" s="23"/>
      <c r="O9" s="23"/>
      <c r="P9" s="23"/>
      <c r="Q9" s="23"/>
      <c r="R9" s="23"/>
      <c r="S9" s="1"/>
      <c r="AE9" s="11"/>
    </row>
    <row r="10" spans="2:50" s="22" customFormat="1" ht="11.25" customHeight="1">
      <c r="B10" s="834"/>
      <c r="C10" s="835"/>
      <c r="D10" s="835"/>
      <c r="E10" s="835"/>
      <c r="F10" s="835"/>
      <c r="G10" s="835"/>
      <c r="H10" s="835"/>
      <c r="I10" s="835"/>
      <c r="J10" s="835"/>
      <c r="K10" s="835"/>
      <c r="L10" s="835"/>
      <c r="M10" s="835"/>
      <c r="N10" s="835"/>
      <c r="O10" s="835"/>
      <c r="P10" s="835"/>
      <c r="Q10" s="835"/>
      <c r="R10" s="835"/>
      <c r="S10" s="835"/>
      <c r="T10" s="835"/>
      <c r="U10" s="835"/>
      <c r="V10" s="835"/>
      <c r="W10" s="835"/>
      <c r="X10" s="835"/>
      <c r="Y10" s="835"/>
      <c r="Z10" s="835"/>
      <c r="AA10" s="835"/>
      <c r="AE10" s="11"/>
    </row>
    <row r="11" spans="2:50" ht="21" customHeight="1">
      <c r="B11" s="40" t="s">
        <v>247</v>
      </c>
      <c r="C11" s="35"/>
      <c r="D11" s="10"/>
      <c r="E11" s="10"/>
      <c r="F11" s="10"/>
      <c r="G11" s="10"/>
      <c r="H11" s="10"/>
      <c r="I11" s="10"/>
      <c r="J11" s="10"/>
      <c r="K11" s="10"/>
      <c r="L11" s="10"/>
      <c r="M11" s="10"/>
      <c r="N11" s="10"/>
      <c r="O11" s="10"/>
      <c r="P11" s="10"/>
      <c r="Q11" s="10"/>
      <c r="R11" s="10"/>
      <c r="S11" s="115"/>
      <c r="T11" s="10"/>
      <c r="U11" s="10"/>
      <c r="V11" s="10"/>
      <c r="W11" s="116"/>
      <c r="X11" s="35"/>
      <c r="Y11" s="35"/>
      <c r="Z11" s="35"/>
      <c r="AA11" s="35"/>
      <c r="AB11" s="35"/>
      <c r="AC11" s="35"/>
      <c r="AD11" s="10"/>
      <c r="AE11" s="10"/>
      <c r="AF11" s="10"/>
      <c r="AG11" s="35"/>
      <c r="AH11" s="35"/>
      <c r="AI11" s="10"/>
      <c r="AJ11" s="10"/>
      <c r="AK11" s="10"/>
      <c r="AL11" s="10"/>
      <c r="AM11" s="10"/>
      <c r="AN11" s="35"/>
      <c r="AO11" s="10"/>
      <c r="AP11" s="10"/>
      <c r="AQ11" s="10"/>
      <c r="AR11" s="10"/>
      <c r="AS11" s="10"/>
    </row>
    <row r="12" spans="2:50" ht="13.5" customHeight="1">
      <c r="B12" s="836" t="str">
        <f>IF(OR(B13="",B13="Matrix kann eingereicht werden"),"In Ordnung",IF(B13="die inkorrekten und unvollständigen Einträge beheben","Nicht in Ordnung"))</f>
        <v>In Ordnung</v>
      </c>
      <c r="C12" s="837"/>
      <c r="D12" s="838"/>
      <c r="E12" s="830" t="s">
        <v>76</v>
      </c>
      <c r="F12" s="831"/>
      <c r="G12" s="831"/>
      <c r="H12" s="831"/>
      <c r="I12" s="831"/>
      <c r="J12" s="831"/>
      <c r="K12" s="831"/>
      <c r="L12" s="831"/>
      <c r="M12" s="831"/>
      <c r="N12" s="831"/>
      <c r="O12" s="831"/>
      <c r="P12" s="831"/>
      <c r="Q12" s="831"/>
      <c r="R12" s="831"/>
      <c r="S12" s="832"/>
      <c r="T12" s="774" t="s">
        <v>11</v>
      </c>
      <c r="U12" s="775"/>
      <c r="V12" s="776"/>
      <c r="W12" s="777" t="s">
        <v>86</v>
      </c>
      <c r="X12" s="833"/>
      <c r="Y12" s="778"/>
      <c r="Z12" s="777" t="s">
        <v>327</v>
      </c>
      <c r="AA12" s="778"/>
      <c r="AB12" s="22"/>
      <c r="AC12" s="22"/>
      <c r="AD12" s="22"/>
      <c r="AE12" s="22"/>
      <c r="AF12" s="35"/>
      <c r="AG12" s="35"/>
      <c r="AH12" s="35"/>
      <c r="AI12" s="35"/>
      <c r="AJ12" s="35"/>
      <c r="AK12" s="35"/>
      <c r="AL12" s="35"/>
      <c r="AM12" s="35"/>
      <c r="AN12" s="35"/>
      <c r="AO12" s="35"/>
      <c r="AP12" s="35"/>
      <c r="AQ12" s="35"/>
      <c r="AR12" s="35"/>
      <c r="AS12" s="35"/>
      <c r="AT12" s="35"/>
      <c r="AU12" s="35"/>
      <c r="AV12" s="35"/>
      <c r="AW12" s="35"/>
      <c r="AX12" s="35"/>
    </row>
    <row r="13" spans="2:50" s="22" customFormat="1" ht="18.75" customHeight="1">
      <c r="B13" s="788" t="str">
        <f>Berechnung2!B6</f>
        <v/>
      </c>
      <c r="C13" s="789"/>
      <c r="D13" s="789"/>
      <c r="E13" s="844">
        <f>Berechnung2!C6</f>
        <v>0</v>
      </c>
      <c r="F13" s="845"/>
      <c r="G13" s="845"/>
      <c r="H13" s="845"/>
      <c r="I13" s="845"/>
      <c r="J13" s="845"/>
      <c r="K13" s="845"/>
      <c r="L13" s="845"/>
      <c r="M13" s="845"/>
      <c r="N13" s="845"/>
      <c r="O13" s="845"/>
      <c r="P13" s="845"/>
      <c r="Q13" s="845"/>
      <c r="R13" s="845"/>
      <c r="S13" s="846"/>
      <c r="T13" s="839">
        <f>Berechnung2!D6</f>
        <v>0</v>
      </c>
      <c r="U13" s="840"/>
      <c r="V13" s="841"/>
      <c r="W13" s="781">
        <f>Berechnung2!E6</f>
        <v>0</v>
      </c>
      <c r="X13" s="852"/>
      <c r="Y13" s="782"/>
      <c r="Z13" s="781">
        <f>Berechnung2!F6</f>
        <v>0</v>
      </c>
      <c r="AA13" s="782"/>
      <c r="AB13" s="1"/>
      <c r="AC13" s="1"/>
      <c r="AD13" s="1"/>
      <c r="AE13" s="1"/>
      <c r="AX13" s="11"/>
    </row>
    <row r="14" spans="2:50" s="22" customFormat="1" ht="14.25" customHeight="1" thickBot="1">
      <c r="C14" s="4"/>
      <c r="D14" s="10"/>
      <c r="E14" s="10"/>
      <c r="F14" s="10"/>
      <c r="G14" s="10"/>
      <c r="H14" s="10"/>
      <c r="I14" s="10"/>
      <c r="J14" s="10"/>
      <c r="K14" s="10"/>
      <c r="L14" s="10"/>
      <c r="M14" s="10"/>
      <c r="N14" s="10"/>
      <c r="O14" s="10"/>
      <c r="P14" s="10"/>
      <c r="Q14" s="10"/>
      <c r="R14" s="10"/>
      <c r="S14" s="10"/>
      <c r="T14" s="10"/>
      <c r="U14" s="10"/>
      <c r="V14" s="10"/>
      <c r="W14" s="10"/>
      <c r="X14" s="10"/>
      <c r="Y14" s="20"/>
      <c r="Z14" s="114"/>
      <c r="AA14" s="20"/>
      <c r="AC14" s="1"/>
      <c r="AD14" s="1"/>
      <c r="AE14" s="1"/>
      <c r="AF14" s="1"/>
      <c r="AG14" s="1"/>
      <c r="AH14" s="1"/>
      <c r="AI14" s="1"/>
      <c r="AJ14" s="1"/>
      <c r="AS14" s="11"/>
    </row>
    <row r="15" spans="2:50" ht="21.75" customHeight="1" thickTop="1" thickBot="1">
      <c r="B15" s="209"/>
      <c r="C15" s="210"/>
      <c r="D15" s="853" t="s">
        <v>386</v>
      </c>
      <c r="E15" s="853"/>
      <c r="F15" s="853"/>
      <c r="G15" s="853"/>
      <c r="H15" s="853"/>
      <c r="I15" s="853"/>
      <c r="J15" s="853"/>
      <c r="K15" s="853"/>
      <c r="L15" s="853"/>
      <c r="M15" s="853"/>
      <c r="N15" s="853"/>
      <c r="O15" s="853"/>
      <c r="P15" s="853"/>
      <c r="Q15" s="853"/>
      <c r="R15" s="854"/>
      <c r="S15" s="783"/>
      <c r="T15" s="809" t="s">
        <v>81</v>
      </c>
      <c r="U15" s="810"/>
      <c r="V15" s="810"/>
      <c r="W15" s="810"/>
      <c r="X15" s="810"/>
      <c r="Y15" s="811"/>
      <c r="Z15" s="783"/>
      <c r="AA15" s="211" t="s">
        <v>387</v>
      </c>
      <c r="AS15" s="1"/>
    </row>
    <row r="16" spans="2:50" ht="16.5" customHeight="1" thickBot="1">
      <c r="B16" s="212" t="s">
        <v>150</v>
      </c>
      <c r="C16" s="117" t="s">
        <v>152</v>
      </c>
      <c r="D16" s="118" t="s">
        <v>147</v>
      </c>
      <c r="E16" s="117" t="s">
        <v>161</v>
      </c>
      <c r="F16" s="117" t="s">
        <v>12</v>
      </c>
      <c r="G16" s="117" t="s">
        <v>345</v>
      </c>
      <c r="H16" s="117" t="s">
        <v>162</v>
      </c>
      <c r="I16" s="117" t="s">
        <v>13</v>
      </c>
      <c r="J16" s="117" t="s">
        <v>148</v>
      </c>
      <c r="K16" s="117" t="s">
        <v>346</v>
      </c>
      <c r="L16" s="117" t="s">
        <v>80</v>
      </c>
      <c r="M16" s="117" t="s">
        <v>149</v>
      </c>
      <c r="N16" s="117" t="s">
        <v>347</v>
      </c>
      <c r="O16" s="117" t="s">
        <v>165</v>
      </c>
      <c r="P16" s="117" t="s">
        <v>348</v>
      </c>
      <c r="Q16" s="117" t="s">
        <v>349</v>
      </c>
      <c r="R16" s="117" t="s">
        <v>423</v>
      </c>
      <c r="S16" s="784"/>
      <c r="T16" s="117" t="s">
        <v>350</v>
      </c>
      <c r="U16" s="117" t="s">
        <v>351</v>
      </c>
      <c r="V16" s="469" t="s">
        <v>424</v>
      </c>
      <c r="W16" s="821"/>
      <c r="X16" s="469" t="s">
        <v>352</v>
      </c>
      <c r="Y16" s="117" t="s">
        <v>425</v>
      </c>
      <c r="Z16" s="784"/>
      <c r="AA16" s="213" t="s">
        <v>426</v>
      </c>
      <c r="AE16" s="2"/>
      <c r="AS16" s="1"/>
    </row>
    <row r="17" spans="2:45" ht="56.25" customHeight="1" thickBot="1">
      <c r="B17" s="842" t="s">
        <v>57</v>
      </c>
      <c r="C17" s="779" t="s">
        <v>14</v>
      </c>
      <c r="D17" s="817" t="s">
        <v>344</v>
      </c>
      <c r="E17" s="849" t="s">
        <v>394</v>
      </c>
      <c r="F17" s="850"/>
      <c r="G17" s="850"/>
      <c r="H17" s="850"/>
      <c r="I17" s="850"/>
      <c r="J17" s="850"/>
      <c r="K17" s="850"/>
      <c r="L17" s="850"/>
      <c r="M17" s="850"/>
      <c r="N17" s="851"/>
      <c r="O17" s="847" t="s">
        <v>395</v>
      </c>
      <c r="P17" s="848"/>
      <c r="Q17" s="772" t="s">
        <v>417</v>
      </c>
      <c r="R17" s="772" t="s">
        <v>396</v>
      </c>
      <c r="S17" s="784"/>
      <c r="T17" s="772" t="s">
        <v>388</v>
      </c>
      <c r="U17" s="772" t="s">
        <v>163</v>
      </c>
      <c r="V17" s="767" t="s">
        <v>462</v>
      </c>
      <c r="W17" s="822"/>
      <c r="X17" s="817" t="s">
        <v>389</v>
      </c>
      <c r="Y17" s="772" t="s">
        <v>390</v>
      </c>
      <c r="Z17" s="784"/>
      <c r="AA17" s="819" t="s">
        <v>164</v>
      </c>
      <c r="AS17" s="1"/>
    </row>
    <row r="18" spans="2:45" ht="84" customHeight="1" thickBot="1">
      <c r="B18" s="843"/>
      <c r="C18" s="780"/>
      <c r="D18" s="818"/>
      <c r="E18" s="463" t="s">
        <v>308</v>
      </c>
      <c r="F18" s="463" t="s">
        <v>309</v>
      </c>
      <c r="G18" s="463" t="s">
        <v>310</v>
      </c>
      <c r="H18" s="463" t="s">
        <v>311</v>
      </c>
      <c r="I18" s="463" t="s">
        <v>312</v>
      </c>
      <c r="J18" s="463" t="s">
        <v>313</v>
      </c>
      <c r="K18" s="463" t="s">
        <v>314</v>
      </c>
      <c r="L18" s="463" t="s">
        <v>258</v>
      </c>
      <c r="M18" s="463" t="s">
        <v>420</v>
      </c>
      <c r="N18" s="452" t="s">
        <v>160</v>
      </c>
      <c r="O18" s="463" t="s">
        <v>397</v>
      </c>
      <c r="P18" s="463" t="s">
        <v>160</v>
      </c>
      <c r="Q18" s="773"/>
      <c r="R18" s="773"/>
      <c r="S18" s="784"/>
      <c r="T18" s="773"/>
      <c r="U18" s="773"/>
      <c r="V18" s="768"/>
      <c r="W18" s="822"/>
      <c r="X18" s="818"/>
      <c r="Y18" s="773"/>
      <c r="Z18" s="784"/>
      <c r="AA18" s="820"/>
      <c r="AS18" s="1"/>
    </row>
    <row r="19" spans="2:45" ht="24.95" customHeight="1" thickBot="1">
      <c r="B19" s="214" t="str">
        <f>IF(Berechnung2!$B$26&gt;6,IF(Berechnung2!$B$26=7,"EZ",IF(Berechnung2!$B$26&gt;7,"relevant","?")),"nicht relevant")</f>
        <v>nicht relevant</v>
      </c>
      <c r="C19" s="170">
        <v>2013</v>
      </c>
      <c r="D19" s="171">
        <f t="shared" ref="D19:D24" si="0">SUM(E19:R19)</f>
        <v>0</v>
      </c>
      <c r="E19" s="146"/>
      <c r="F19" s="146"/>
      <c r="G19" s="146"/>
      <c r="H19" s="146"/>
      <c r="I19" s="146"/>
      <c r="J19" s="146"/>
      <c r="K19" s="146"/>
      <c r="L19" s="146"/>
      <c r="M19" s="495"/>
      <c r="N19" s="146"/>
      <c r="O19" s="146"/>
      <c r="P19" s="146"/>
      <c r="Q19" s="146"/>
      <c r="R19" s="146"/>
      <c r="S19" s="784"/>
      <c r="T19" s="462"/>
      <c r="U19" s="146"/>
      <c r="V19" s="461" t="str">
        <f t="shared" ref="V19:V23" si="1">IF(AND(T19="",U19=""),"",IF(SUM(T19:U19)=0,"",T19/SUM(T19:U19)))</f>
        <v/>
      </c>
      <c r="W19" s="822"/>
      <c r="X19" s="146"/>
      <c r="Y19" s="460"/>
      <c r="Z19" s="784"/>
      <c r="AA19" s="223"/>
      <c r="AS19" s="1"/>
    </row>
    <row r="20" spans="2:45" ht="24.95" customHeight="1" thickBot="1">
      <c r="B20" s="214" t="str">
        <f>IF(Berechnung2!$B$26&gt;5,IF(Berechnung2!$B$26=6,"EZ",IF(Berechnung2!$B$26&gt;6,"relevant","?")),"nicht relevant")</f>
        <v>nicht relevant</v>
      </c>
      <c r="C20" s="170">
        <v>2014</v>
      </c>
      <c r="D20" s="171">
        <f t="shared" si="0"/>
        <v>0</v>
      </c>
      <c r="E20" s="146"/>
      <c r="F20" s="146"/>
      <c r="G20" s="146"/>
      <c r="H20" s="146"/>
      <c r="I20" s="146"/>
      <c r="J20" s="146"/>
      <c r="K20" s="146"/>
      <c r="L20" s="146"/>
      <c r="M20" s="495"/>
      <c r="N20" s="146"/>
      <c r="O20" s="146"/>
      <c r="P20" s="146"/>
      <c r="Q20" s="146"/>
      <c r="R20" s="146"/>
      <c r="S20" s="784"/>
      <c r="T20" s="462"/>
      <c r="U20" s="462"/>
      <c r="V20" s="461" t="str">
        <f t="shared" si="1"/>
        <v/>
      </c>
      <c r="W20" s="822"/>
      <c r="X20" s="462"/>
      <c r="Y20" s="460"/>
      <c r="Z20" s="784"/>
      <c r="AA20" s="223"/>
      <c r="AS20" s="1"/>
    </row>
    <row r="21" spans="2:45" s="10" customFormat="1" ht="24.95" customHeight="1" thickBot="1">
      <c r="B21" s="214" t="str">
        <f>IF(Berechnung2!$B$26&gt;4,IF(Berechnung2!$B$26=5,"EZ",IF(Berechnung2!$B$26&gt;5,"relevant","?")),"nicht relevant")</f>
        <v>nicht relevant</v>
      </c>
      <c r="C21" s="170">
        <v>2015</v>
      </c>
      <c r="D21" s="171">
        <f t="shared" si="0"/>
        <v>0</v>
      </c>
      <c r="E21" s="146"/>
      <c r="F21" s="146"/>
      <c r="G21" s="146"/>
      <c r="H21" s="146"/>
      <c r="I21" s="146"/>
      <c r="J21" s="146"/>
      <c r="K21" s="146"/>
      <c r="L21" s="146"/>
      <c r="M21" s="495"/>
      <c r="N21" s="146"/>
      <c r="O21" s="146"/>
      <c r="P21" s="146"/>
      <c r="Q21" s="146"/>
      <c r="R21" s="146"/>
      <c r="S21" s="784"/>
      <c r="T21" s="462"/>
      <c r="U21" s="462"/>
      <c r="V21" s="461" t="str">
        <f>IF(AND(T21="",U21=""),"",IF(SUM(T21:U21)=0,"",T21/SUM(T21:U21)))</f>
        <v/>
      </c>
      <c r="W21" s="822"/>
      <c r="X21" s="462"/>
      <c r="Y21" s="460"/>
      <c r="Z21" s="784"/>
      <c r="AA21" s="223"/>
      <c r="AI21" s="439"/>
    </row>
    <row r="22" spans="2:45" s="10" customFormat="1" ht="24.95" customHeight="1" thickBot="1">
      <c r="B22" s="214" t="str">
        <f>IF(Berechnung2!$B$26&gt;3,IF(Berechnung2!$B$26=4,"EZ",IF(Berechnung2!$B$26&gt;4,"relevant","?")),"nicht relevant")</f>
        <v>nicht relevant</v>
      </c>
      <c r="C22" s="170">
        <v>2016</v>
      </c>
      <c r="D22" s="171">
        <f t="shared" si="0"/>
        <v>0</v>
      </c>
      <c r="E22" s="146"/>
      <c r="F22" s="146"/>
      <c r="G22" s="146"/>
      <c r="H22" s="146"/>
      <c r="I22" s="146"/>
      <c r="J22" s="146"/>
      <c r="K22" s="146"/>
      <c r="L22" s="146"/>
      <c r="M22" s="495"/>
      <c r="N22" s="146"/>
      <c r="O22" s="146"/>
      <c r="P22" s="146"/>
      <c r="Q22" s="146"/>
      <c r="R22" s="146"/>
      <c r="S22" s="784"/>
      <c r="T22" s="462"/>
      <c r="U22" s="462"/>
      <c r="V22" s="461" t="str">
        <f t="shared" si="1"/>
        <v/>
      </c>
      <c r="W22" s="822"/>
      <c r="X22" s="462"/>
      <c r="Y22" s="460"/>
      <c r="Z22" s="784"/>
      <c r="AA22" s="223"/>
      <c r="AC22" s="1"/>
      <c r="AD22" s="1"/>
      <c r="AE22" s="1"/>
      <c r="AF22" s="1"/>
      <c r="AG22" s="1"/>
      <c r="AH22" s="1"/>
      <c r="AI22" s="1"/>
      <c r="AJ22" s="1"/>
    </row>
    <row r="23" spans="2:45" s="10" customFormat="1" ht="24.95" customHeight="1" thickBot="1">
      <c r="B23" s="215" t="str">
        <f>IF(Berechnung2!$B$26&gt;2,IF(Berechnung2!$B$26=3,"EZ",IF(Berechnung2!$B$26&gt;3,"relevant","?")),"nicht relevant")</f>
        <v>nicht relevant</v>
      </c>
      <c r="C23" s="202">
        <v>2017</v>
      </c>
      <c r="D23" s="171">
        <f t="shared" si="0"/>
        <v>0</v>
      </c>
      <c r="E23" s="168"/>
      <c r="F23" s="169"/>
      <c r="G23" s="169"/>
      <c r="H23" s="169"/>
      <c r="I23" s="169"/>
      <c r="J23" s="169"/>
      <c r="K23" s="169"/>
      <c r="L23" s="169"/>
      <c r="M23" s="169"/>
      <c r="N23" s="169"/>
      <c r="O23" s="169"/>
      <c r="P23" s="169"/>
      <c r="Q23" s="169"/>
      <c r="R23" s="169"/>
      <c r="S23" s="784"/>
      <c r="T23" s="462"/>
      <c r="U23" s="462"/>
      <c r="V23" s="461" t="str">
        <f t="shared" si="1"/>
        <v/>
      </c>
      <c r="W23" s="822"/>
      <c r="X23" s="462"/>
      <c r="Y23" s="460"/>
      <c r="Z23" s="784"/>
      <c r="AA23" s="223"/>
      <c r="AC23" s="1"/>
      <c r="AD23" s="1"/>
      <c r="AE23" s="1"/>
      <c r="AF23" s="1"/>
      <c r="AG23" s="1"/>
      <c r="AH23" s="1"/>
      <c r="AI23" s="1"/>
      <c r="AJ23" s="1"/>
    </row>
    <row r="24" spans="2:45" s="10" customFormat="1" ht="24.95" customHeight="1" thickBot="1">
      <c r="B24" s="215" t="str">
        <f>IF(Berechnung2!$B$26&gt;1,IF(Berechnung2!$B$26=2,"EZ",IF(Berechnung2!$B$26&gt;2,"relevant","?")),"nicht relevant")</f>
        <v>nicht relevant</v>
      </c>
      <c r="C24" s="202" t="s">
        <v>421</v>
      </c>
      <c r="D24" s="480">
        <f t="shared" si="0"/>
        <v>0</v>
      </c>
      <c r="E24" s="168"/>
      <c r="F24" s="169"/>
      <c r="G24" s="169"/>
      <c r="H24" s="169"/>
      <c r="I24" s="169"/>
      <c r="J24" s="169"/>
      <c r="K24" s="169"/>
      <c r="L24" s="169"/>
      <c r="M24" s="169"/>
      <c r="N24" s="169"/>
      <c r="O24" s="169"/>
      <c r="P24" s="169"/>
      <c r="Q24" s="169"/>
      <c r="R24" s="169"/>
      <c r="S24" s="784"/>
      <c r="T24" s="799"/>
      <c r="U24" s="800"/>
      <c r="V24" s="801"/>
      <c r="W24" s="822"/>
      <c r="X24" s="805"/>
      <c r="Y24" s="806"/>
      <c r="Z24" s="784"/>
      <c r="AA24" s="496"/>
      <c r="AC24" s="1"/>
      <c r="AD24" s="1"/>
      <c r="AE24" s="1"/>
      <c r="AF24" s="1"/>
      <c r="AG24" s="1"/>
      <c r="AH24" s="1"/>
      <c r="AI24" s="1"/>
      <c r="AJ24" s="1"/>
    </row>
    <row r="25" spans="2:45" s="10" customFormat="1" ht="24.95" customHeight="1" thickBot="1">
      <c r="B25" s="216" t="str">
        <f>IF(Berechnung2!$B$26&gt;0,IF(Berechnung2!$B$26=1,"EZ",IF(Berechnung2!$B$26&gt;1,"relevant","?")),"nicht relevant")</f>
        <v>nicht relevant</v>
      </c>
      <c r="C25" s="217" t="s">
        <v>422</v>
      </c>
      <c r="D25" s="481">
        <f t="shared" ref="D25" si="2">SUM(E25:R25)</f>
        <v>0</v>
      </c>
      <c r="E25" s="217" t="str">
        <f>IF(AND('Basic Data'!D30="",'Basic Data'!D32=""),"",SUM('Basic Data'!D30,'Basic Data'!D32))</f>
        <v/>
      </c>
      <c r="F25" s="217" t="str">
        <f>IF(AND('Basic Data'!E30="",'Basic Data'!E32=""),"",SUM('Basic Data'!E30,'Basic Data'!E32))</f>
        <v/>
      </c>
      <c r="G25" s="217" t="str">
        <f>IF(AND('Basic Data'!F30="",'Basic Data'!F32=""),"",SUM('Basic Data'!F30,'Basic Data'!F32))</f>
        <v/>
      </c>
      <c r="H25" s="217" t="str">
        <f>IF(AND('Basic Data'!G30="",'Basic Data'!G32=""),"",SUM('Basic Data'!G30,'Basic Data'!G32))</f>
        <v/>
      </c>
      <c r="I25" s="217" t="str">
        <f>IF(AND('Basic Data'!H30="",'Basic Data'!H32=""),"",SUM('Basic Data'!H30,'Basic Data'!H32))</f>
        <v/>
      </c>
      <c r="J25" s="217" t="str">
        <f>IF(AND('Basic Data'!I30="",'Basic Data'!I32=""),"",SUM('Basic Data'!I30,'Basic Data'!I32))</f>
        <v/>
      </c>
      <c r="K25" s="217" t="str">
        <f>IF(AND('Basic Data'!J30="",'Basic Data'!J32=""),"",SUM('Basic Data'!J30,'Basic Data'!J32))</f>
        <v/>
      </c>
      <c r="L25" s="217" t="str">
        <f>IF(AND('Basic Data'!K30="",'Basic Data'!K32=""),"",SUM('Basic Data'!K30,'Basic Data'!K32))</f>
        <v/>
      </c>
      <c r="M25" s="217" t="str">
        <f>IF(AND('Basic Data'!L30="",'Basic Data'!L32=""),"",SUM('Basic Data'!L30,'Basic Data'!L32))</f>
        <v/>
      </c>
      <c r="N25" s="217" t="str">
        <f>IF(AND('Basic Data'!M30="",'Basic Data'!M32=""),"",SUM('Basic Data'!M30,'Basic Data'!M32))</f>
        <v/>
      </c>
      <c r="O25" s="217" t="str">
        <f>IF(AND('Basic Data'!N30="",'Basic Data'!N32=""),"",SUM('Basic Data'!N30,'Basic Data'!N32))</f>
        <v/>
      </c>
      <c r="P25" s="217" t="str">
        <f>IF(AND('Basic Data'!O30="",'Basic Data'!O32=""),"",SUM('Basic Data'!O30,'Basic Data'!O32))</f>
        <v/>
      </c>
      <c r="Q25" s="217" t="str">
        <f>IF(AND('Basic Data'!P30="",'Basic Data'!P32=""),"",SUM('Basic Data'!P30,'Basic Data'!P32))</f>
        <v/>
      </c>
      <c r="R25" s="217" t="str">
        <f>IF(AND('Basic Data'!Q30="",'Basic Data'!Q32=""),"",SUM('Basic Data'!Q30,'Basic Data'!Q32))</f>
        <v/>
      </c>
      <c r="S25" s="476"/>
      <c r="T25" s="802"/>
      <c r="U25" s="803"/>
      <c r="V25" s="804"/>
      <c r="W25" s="477"/>
      <c r="X25" s="807"/>
      <c r="Y25" s="808"/>
      <c r="Z25" s="476"/>
      <c r="AA25" s="497"/>
      <c r="AC25" s="1"/>
      <c r="AD25" s="1"/>
      <c r="AE25" s="1"/>
      <c r="AF25" s="1"/>
      <c r="AG25" s="1"/>
      <c r="AH25" s="1"/>
      <c r="AI25" s="1"/>
      <c r="AJ25" s="1"/>
    </row>
    <row r="26" spans="2:45" ht="3.75" customHeight="1" thickTop="1">
      <c r="S26" s="206"/>
      <c r="T26" s="205"/>
      <c r="U26" s="205"/>
      <c r="V26" s="205"/>
      <c r="W26" s="204"/>
      <c r="X26" s="205"/>
      <c r="Y26" s="205"/>
      <c r="Z26" s="203"/>
      <c r="AJ26" s="119"/>
    </row>
    <row r="27" spans="2:45" ht="3.75" customHeight="1" thickBot="1">
      <c r="S27" s="206"/>
      <c r="T27" s="205"/>
      <c r="U27" s="205"/>
      <c r="V27" s="205"/>
      <c r="W27" s="204"/>
      <c r="X27" s="205"/>
      <c r="Y27" s="205"/>
      <c r="Z27" s="203"/>
      <c r="AJ27" s="119"/>
    </row>
    <row r="28" spans="2:45" ht="24.95" customHeight="1" thickBot="1">
      <c r="B28" s="795"/>
      <c r="C28" s="795"/>
      <c r="D28" s="35"/>
      <c r="F28" s="341"/>
      <c r="G28" s="341"/>
      <c r="H28" s="341"/>
      <c r="I28" s="341"/>
      <c r="J28" s="341"/>
      <c r="K28" s="341"/>
      <c r="L28" s="341"/>
      <c r="M28" s="341"/>
      <c r="N28" s="341"/>
      <c r="O28" s="341" t="s">
        <v>432</v>
      </c>
      <c r="Q28" s="341"/>
      <c r="R28" s="341"/>
      <c r="S28" s="341"/>
      <c r="T28" s="341"/>
      <c r="U28" s="427"/>
      <c r="V28" s="378" t="str">
        <f>IF(B23="EZ","-----",IF(B23= "nicht relevant","-----",IF(COUNTBLANK(V21:V23)=3,"",SUMIF(B21:B23,"relevant",V21:V23)/COUNTIF(B21:B23,"relevant"))))</f>
        <v>-----</v>
      </c>
      <c r="W28" s="204"/>
      <c r="X28" s="35"/>
      <c r="Y28" s="35"/>
      <c r="Z28" s="203"/>
      <c r="AI28" s="119"/>
      <c r="AR28" s="12"/>
      <c r="AS28" s="1"/>
    </row>
    <row r="29" spans="2:45" ht="11.25" customHeight="1">
      <c r="AJ29" s="119"/>
    </row>
    <row r="30" spans="2:45" ht="20.25" hidden="1" customHeight="1">
      <c r="B30" s="7" t="s">
        <v>91</v>
      </c>
      <c r="T30" s="120"/>
      <c r="U30" s="120"/>
      <c r="V30" s="123" t="str">
        <f>IF(V23="EZ","---",IF(B23= "nicht relevant","---",IF(COUNTBLANK(V21:V23)=3,"",SUMIF(B21:B23,"relevant",V21:V23)/COUNTIF(B21:B23,"relevant"))))</f>
        <v>---</v>
      </c>
      <c r="Z30" s="6"/>
      <c r="AJ30" s="119"/>
    </row>
    <row r="31" spans="2:45" ht="83.25" customHeight="1">
      <c r="B31" s="796" t="s">
        <v>459</v>
      </c>
      <c r="C31" s="796"/>
      <c r="D31" s="796"/>
      <c r="E31" s="796"/>
      <c r="F31" s="796"/>
      <c r="G31" s="796"/>
      <c r="H31" s="796"/>
      <c r="I31" s="796"/>
      <c r="J31" s="796"/>
      <c r="K31" s="796"/>
      <c r="L31" s="796"/>
      <c r="M31" s="796"/>
      <c r="N31" s="796"/>
      <c r="O31" s="796"/>
      <c r="P31" s="796"/>
      <c r="Q31" s="796"/>
      <c r="R31" s="796"/>
      <c r="S31" s="796"/>
      <c r="T31" s="796"/>
      <c r="U31" s="796"/>
      <c r="V31" s="796"/>
      <c r="W31" s="796"/>
      <c r="X31" s="796"/>
      <c r="Y31" s="796"/>
      <c r="Z31" s="796"/>
      <c r="AA31" s="796"/>
      <c r="AB31" s="796"/>
      <c r="AC31" s="192"/>
      <c r="AD31"/>
      <c r="AE31"/>
    </row>
    <row r="32" spans="2:45" ht="191.25" customHeight="1">
      <c r="B32" s="790" t="s">
        <v>454</v>
      </c>
      <c r="C32" s="790"/>
      <c r="D32" s="790"/>
      <c r="E32" s="790"/>
      <c r="F32" s="790"/>
      <c r="G32" s="790"/>
      <c r="H32" s="790"/>
      <c r="I32" s="790"/>
      <c r="J32" s="790"/>
      <c r="K32" s="790"/>
      <c r="L32" s="790"/>
      <c r="M32" s="790"/>
      <c r="N32" s="790"/>
      <c r="O32" s="790"/>
      <c r="P32" s="790"/>
      <c r="Q32" s="790"/>
      <c r="R32" s="790"/>
      <c r="S32" s="790"/>
      <c r="T32" s="790"/>
      <c r="U32" s="790"/>
      <c r="V32" s="790"/>
      <c r="W32" s="790"/>
      <c r="X32" s="790"/>
      <c r="Y32" s="790"/>
      <c r="Z32" s="790"/>
      <c r="AA32" s="790"/>
      <c r="AB32" s="6"/>
      <c r="AC32" s="122"/>
      <c r="AD32" s="122"/>
      <c r="AE32" s="122"/>
      <c r="AF32" s="136"/>
      <c r="AG32" s="136"/>
      <c r="AH32" s="136"/>
      <c r="AI32" s="136"/>
      <c r="AJ32" s="135"/>
      <c r="AK32" s="2"/>
      <c r="AL32" s="2"/>
      <c r="AM32" s="2"/>
      <c r="AN32" s="2"/>
      <c r="AO32" s="2"/>
      <c r="AP32" s="2"/>
      <c r="AQ32" s="2"/>
      <c r="AR32" s="2"/>
      <c r="AS32" s="3"/>
    </row>
    <row r="33" spans="2:45" ht="3" customHeight="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2"/>
      <c r="AD33" s="122"/>
      <c r="AE33" s="122"/>
      <c r="AF33" s="136"/>
      <c r="AG33" s="136"/>
      <c r="AH33" s="136"/>
      <c r="AI33" s="136"/>
      <c r="AJ33" s="135"/>
      <c r="AK33" s="39"/>
      <c r="AL33" s="39"/>
      <c r="AM33" s="39"/>
      <c r="AN33" s="39"/>
      <c r="AO33" s="39"/>
      <c r="AP33" s="39"/>
      <c r="AQ33" s="39"/>
      <c r="AR33" s="39"/>
      <c r="AS33" s="39"/>
    </row>
    <row r="34" spans="2:45" s="2" customFormat="1" ht="15.75" customHeight="1">
      <c r="B34" s="389" t="s">
        <v>235</v>
      </c>
      <c r="C34" s="390"/>
      <c r="AC34" s="145"/>
      <c r="AD34"/>
      <c r="AE34"/>
      <c r="AF34"/>
      <c r="AG34"/>
      <c r="AH34"/>
      <c r="AI34"/>
      <c r="AJ34"/>
    </row>
    <row r="35" spans="2:45" s="2" customFormat="1" ht="4.5" customHeight="1">
      <c r="B35" s="7"/>
      <c r="AC35" s="145"/>
      <c r="AD35" s="141"/>
      <c r="AE35" s="141"/>
      <c r="AF35" s="141"/>
      <c r="AG35" s="141"/>
      <c r="AH35" s="141"/>
      <c r="AI35" s="141"/>
      <c r="AJ35" s="141"/>
    </row>
    <row r="36" spans="2:45" ht="14.25" customHeight="1">
      <c r="B36" s="71" t="s">
        <v>253</v>
      </c>
      <c r="C36" s="791" t="s">
        <v>116</v>
      </c>
      <c r="D36" s="792"/>
      <c r="E36" s="791" t="s">
        <v>59</v>
      </c>
      <c r="F36" s="815"/>
      <c r="G36" s="815"/>
      <c r="H36" s="815"/>
      <c r="I36" s="815"/>
      <c r="J36" s="815"/>
      <c r="K36" s="815"/>
      <c r="L36" s="815"/>
      <c r="M36" s="815"/>
      <c r="N36" s="815"/>
      <c r="O36" s="815"/>
      <c r="P36" s="815"/>
      <c r="Q36" s="815"/>
      <c r="R36" s="792"/>
      <c r="S36" s="797" t="s">
        <v>117</v>
      </c>
      <c r="T36" s="798"/>
      <c r="U36" s="798"/>
      <c r="V36" s="798"/>
      <c r="W36" s="798"/>
      <c r="X36" s="798"/>
      <c r="Y36" s="798"/>
      <c r="Z36" s="798"/>
      <c r="AA36" s="798"/>
      <c r="AB36" s="222"/>
      <c r="AC36" s="145"/>
      <c r="AD36" s="141"/>
      <c r="AE36" s="141"/>
      <c r="AF36" s="141"/>
      <c r="AS36" s="1"/>
    </row>
    <row r="37" spans="2:45" s="37" customFormat="1" ht="18" customHeight="1">
      <c r="B37" s="193" t="s">
        <v>100</v>
      </c>
      <c r="C37" s="759" t="s">
        <v>237</v>
      </c>
      <c r="D37" s="760"/>
      <c r="E37" s="794"/>
      <c r="F37" s="794"/>
      <c r="G37" s="794"/>
      <c r="H37" s="794"/>
      <c r="I37" s="794"/>
      <c r="J37" s="794"/>
      <c r="K37" s="794"/>
      <c r="L37" s="794"/>
      <c r="M37" s="794"/>
      <c r="N37" s="794"/>
      <c r="O37" s="794"/>
      <c r="P37" s="794"/>
      <c r="Q37" s="794"/>
      <c r="R37" s="794"/>
      <c r="S37" s="812" t="s">
        <v>131</v>
      </c>
      <c r="T37" s="813"/>
      <c r="U37" s="813"/>
      <c r="V37" s="813"/>
      <c r="W37" s="813"/>
      <c r="X37" s="813"/>
      <c r="Y37" s="813"/>
      <c r="Z37" s="813"/>
      <c r="AA37" s="814"/>
      <c r="AB37" s="221"/>
      <c r="AC37" s="145"/>
      <c r="AD37" s="145"/>
      <c r="AE37" s="145"/>
      <c r="AF37" s="145"/>
    </row>
    <row r="38" spans="2:45" s="37" customFormat="1" ht="18" customHeight="1">
      <c r="B38" s="193" t="s">
        <v>100</v>
      </c>
      <c r="C38" s="759" t="s">
        <v>118</v>
      </c>
      <c r="D38" s="760"/>
      <c r="E38" s="793"/>
      <c r="F38" s="793"/>
      <c r="G38" s="793"/>
      <c r="H38" s="793"/>
      <c r="I38" s="793"/>
      <c r="J38" s="793"/>
      <c r="K38" s="793"/>
      <c r="L38" s="793"/>
      <c r="M38" s="793"/>
      <c r="N38" s="793"/>
      <c r="O38" s="793"/>
      <c r="P38" s="793"/>
      <c r="Q38" s="793"/>
      <c r="R38" s="793"/>
      <c r="S38" s="816" t="s">
        <v>263</v>
      </c>
      <c r="T38" s="816"/>
      <c r="U38" s="816"/>
      <c r="V38" s="816"/>
      <c r="W38" s="816"/>
      <c r="X38" s="816"/>
      <c r="Y38" s="816"/>
      <c r="Z38" s="816"/>
      <c r="AA38" s="816"/>
      <c r="AB38" s="221"/>
      <c r="AC38" s="145"/>
      <c r="AD38" s="145"/>
      <c r="AE38" s="145"/>
      <c r="AF38" s="145"/>
    </row>
    <row r="39" spans="2:45" s="37" customFormat="1" ht="30" customHeight="1">
      <c r="B39" s="193" t="s">
        <v>150</v>
      </c>
      <c r="C39" s="855" t="s">
        <v>254</v>
      </c>
      <c r="D39" s="856"/>
      <c r="E39" s="857" t="s">
        <v>327</v>
      </c>
      <c r="F39" s="857"/>
      <c r="G39" s="857"/>
      <c r="H39" s="857"/>
      <c r="I39" s="857"/>
      <c r="J39" s="857"/>
      <c r="K39" s="857"/>
      <c r="L39" s="857"/>
      <c r="M39" s="857"/>
      <c r="N39" s="857"/>
      <c r="O39" s="857"/>
      <c r="P39" s="857"/>
      <c r="Q39" s="857"/>
      <c r="R39" s="857"/>
      <c r="S39" s="812" t="s">
        <v>264</v>
      </c>
      <c r="T39" s="813"/>
      <c r="U39" s="813"/>
      <c r="V39" s="813"/>
      <c r="W39" s="813"/>
      <c r="X39" s="813"/>
      <c r="Y39" s="813"/>
      <c r="Z39" s="813"/>
      <c r="AA39" s="814"/>
      <c r="AB39" s="220"/>
      <c r="AC39" s="145"/>
      <c r="AD39" s="145"/>
      <c r="AE39" s="145"/>
      <c r="AF39" s="145"/>
    </row>
    <row r="40" spans="2:45" s="37" customFormat="1" ht="31.5" customHeight="1">
      <c r="B40" s="208" t="s">
        <v>350</v>
      </c>
      <c r="C40" s="759" t="s">
        <v>259</v>
      </c>
      <c r="D40" s="760"/>
      <c r="E40" s="761" t="s">
        <v>86</v>
      </c>
      <c r="F40" s="762"/>
      <c r="G40" s="762"/>
      <c r="H40" s="762"/>
      <c r="I40" s="762"/>
      <c r="J40" s="762"/>
      <c r="K40" s="762"/>
      <c r="L40" s="762"/>
      <c r="M40" s="762"/>
      <c r="N40" s="762"/>
      <c r="O40" s="762"/>
      <c r="P40" s="762"/>
      <c r="Q40" s="762"/>
      <c r="R40" s="763"/>
      <c r="S40" s="823" t="s">
        <v>455</v>
      </c>
      <c r="T40" s="826"/>
      <c r="U40" s="826"/>
      <c r="V40" s="826"/>
      <c r="W40" s="826"/>
      <c r="X40" s="826"/>
      <c r="Y40" s="826"/>
      <c r="Z40" s="826"/>
      <c r="AA40" s="827"/>
      <c r="AB40" s="219"/>
      <c r="AC40" s="145"/>
      <c r="AD40" s="145"/>
      <c r="AE40" s="145"/>
      <c r="AF40" s="145"/>
    </row>
    <row r="41" spans="2:45" s="37" customFormat="1" ht="30" customHeight="1">
      <c r="B41" s="208" t="s">
        <v>351</v>
      </c>
      <c r="C41" s="759" t="s">
        <v>259</v>
      </c>
      <c r="D41" s="760"/>
      <c r="E41" s="761" t="s">
        <v>86</v>
      </c>
      <c r="F41" s="762"/>
      <c r="G41" s="762"/>
      <c r="H41" s="762"/>
      <c r="I41" s="762"/>
      <c r="J41" s="762"/>
      <c r="K41" s="762"/>
      <c r="L41" s="762"/>
      <c r="M41" s="762"/>
      <c r="N41" s="762"/>
      <c r="O41" s="762"/>
      <c r="P41" s="762"/>
      <c r="Q41" s="762"/>
      <c r="R41" s="763"/>
      <c r="S41" s="823" t="s">
        <v>456</v>
      </c>
      <c r="T41" s="826"/>
      <c r="U41" s="826"/>
      <c r="V41" s="826"/>
      <c r="W41" s="826"/>
      <c r="X41" s="826"/>
      <c r="Y41" s="826"/>
      <c r="Z41" s="826"/>
      <c r="AA41" s="827"/>
      <c r="AB41" s="218"/>
      <c r="AC41" s="134"/>
      <c r="AD41" s="145"/>
      <c r="AE41" s="145"/>
      <c r="AF41" s="145"/>
    </row>
    <row r="42" spans="2:45" s="37" customFormat="1" ht="30" customHeight="1">
      <c r="B42" s="208" t="s">
        <v>352</v>
      </c>
      <c r="C42" s="759" t="s">
        <v>355</v>
      </c>
      <c r="D42" s="760"/>
      <c r="E42" s="761" t="s">
        <v>86</v>
      </c>
      <c r="F42" s="762"/>
      <c r="G42" s="762"/>
      <c r="H42" s="762"/>
      <c r="I42" s="762"/>
      <c r="J42" s="762"/>
      <c r="K42" s="762"/>
      <c r="L42" s="762"/>
      <c r="M42" s="762"/>
      <c r="N42" s="762"/>
      <c r="O42" s="762"/>
      <c r="P42" s="762"/>
      <c r="Q42" s="762"/>
      <c r="R42" s="763"/>
      <c r="S42" s="823" t="s">
        <v>457</v>
      </c>
      <c r="T42" s="824"/>
      <c r="U42" s="824"/>
      <c r="V42" s="824"/>
      <c r="W42" s="824"/>
      <c r="X42" s="824"/>
      <c r="Y42" s="824"/>
      <c r="Z42" s="824"/>
      <c r="AA42" s="825"/>
      <c r="AB42" s="218"/>
      <c r="AC42" s="133"/>
      <c r="AD42" s="145"/>
      <c r="AE42" s="145"/>
      <c r="AF42" s="145"/>
    </row>
    <row r="43" spans="2:45" s="37" customFormat="1" ht="24" customHeight="1">
      <c r="B43" s="208" t="s">
        <v>425</v>
      </c>
      <c r="C43" s="759" t="s">
        <v>355</v>
      </c>
      <c r="D43" s="760"/>
      <c r="E43" s="761" t="s">
        <v>86</v>
      </c>
      <c r="F43" s="762"/>
      <c r="G43" s="762"/>
      <c r="H43" s="762"/>
      <c r="I43" s="762"/>
      <c r="J43" s="762"/>
      <c r="K43" s="762"/>
      <c r="L43" s="762"/>
      <c r="M43" s="762"/>
      <c r="N43" s="762"/>
      <c r="O43" s="762"/>
      <c r="P43" s="762"/>
      <c r="Q43" s="762"/>
      <c r="R43" s="763"/>
      <c r="S43" s="823" t="s">
        <v>458</v>
      </c>
      <c r="T43" s="824"/>
      <c r="U43" s="824"/>
      <c r="V43" s="824"/>
      <c r="W43" s="824"/>
      <c r="X43" s="824"/>
      <c r="Y43" s="824"/>
      <c r="Z43" s="824"/>
      <c r="AA43" s="825"/>
      <c r="AB43" s="218"/>
      <c r="AC43" s="145"/>
      <c r="AD43" s="145"/>
      <c r="AE43" s="145"/>
      <c r="AF43" s="145"/>
    </row>
    <row r="44" spans="2:45" s="37" customFormat="1" ht="18" customHeight="1">
      <c r="B44" s="208" t="s">
        <v>427</v>
      </c>
      <c r="C44" s="759" t="s">
        <v>429</v>
      </c>
      <c r="D44" s="760"/>
      <c r="E44" s="859" t="s">
        <v>11</v>
      </c>
      <c r="F44" s="859"/>
      <c r="G44" s="859"/>
      <c r="H44" s="859"/>
      <c r="I44" s="859"/>
      <c r="J44" s="859"/>
      <c r="K44" s="859"/>
      <c r="L44" s="859"/>
      <c r="M44" s="859"/>
      <c r="N44" s="859"/>
      <c r="O44" s="859"/>
      <c r="P44" s="859"/>
      <c r="Q44" s="859"/>
      <c r="R44" s="860"/>
      <c r="S44" s="823" t="s">
        <v>433</v>
      </c>
      <c r="T44" s="824"/>
      <c r="U44" s="824"/>
      <c r="V44" s="824"/>
      <c r="W44" s="824"/>
      <c r="X44" s="824"/>
      <c r="Y44" s="824"/>
      <c r="Z44" s="824"/>
      <c r="AA44" s="825"/>
      <c r="AB44" s="221"/>
      <c r="AC44" s="134"/>
      <c r="AD44" s="134"/>
      <c r="AE44" s="134"/>
      <c r="AF44" s="134"/>
    </row>
    <row r="45" spans="2:45" s="37" customFormat="1" ht="18" customHeight="1">
      <c r="B45" s="208" t="s">
        <v>147</v>
      </c>
      <c r="C45" s="866" t="s">
        <v>265</v>
      </c>
      <c r="D45" s="866"/>
      <c r="E45" s="861" t="s">
        <v>76</v>
      </c>
      <c r="F45" s="861"/>
      <c r="G45" s="861"/>
      <c r="H45" s="861"/>
      <c r="I45" s="861"/>
      <c r="J45" s="861"/>
      <c r="K45" s="861"/>
      <c r="L45" s="861"/>
      <c r="M45" s="861"/>
      <c r="N45" s="861"/>
      <c r="O45" s="861"/>
      <c r="P45" s="861"/>
      <c r="Q45" s="861"/>
      <c r="R45" s="862"/>
      <c r="S45" s="823" t="s">
        <v>238</v>
      </c>
      <c r="T45" s="824"/>
      <c r="U45" s="824"/>
      <c r="V45" s="824"/>
      <c r="W45" s="824"/>
      <c r="X45" s="824"/>
      <c r="Y45" s="824"/>
      <c r="Z45" s="824"/>
      <c r="AA45" s="825"/>
      <c r="AB45" s="221"/>
      <c r="AC45" s="134"/>
      <c r="AD45" s="133"/>
      <c r="AE45" s="133"/>
      <c r="AF45" s="133"/>
    </row>
    <row r="46" spans="2:45" s="37" customFormat="1" ht="18" customHeight="1">
      <c r="B46" s="208" t="s">
        <v>428</v>
      </c>
      <c r="C46" s="866" t="s">
        <v>430</v>
      </c>
      <c r="D46" s="866"/>
      <c r="E46" s="861" t="s">
        <v>76</v>
      </c>
      <c r="F46" s="861"/>
      <c r="G46" s="861"/>
      <c r="H46" s="861"/>
      <c r="I46" s="861"/>
      <c r="J46" s="861"/>
      <c r="K46" s="861"/>
      <c r="L46" s="861"/>
      <c r="M46" s="861"/>
      <c r="N46" s="861"/>
      <c r="O46" s="861"/>
      <c r="P46" s="861"/>
      <c r="Q46" s="861"/>
      <c r="R46" s="862"/>
      <c r="S46" s="823" t="s">
        <v>260</v>
      </c>
      <c r="T46" s="824"/>
      <c r="U46" s="824"/>
      <c r="V46" s="824"/>
      <c r="W46" s="824"/>
      <c r="X46" s="824"/>
      <c r="Y46" s="824"/>
      <c r="Z46" s="824"/>
      <c r="AA46" s="825"/>
      <c r="AB46" s="221"/>
      <c r="AC46" s="134"/>
      <c r="AD46" s="145"/>
      <c r="AE46" s="145"/>
      <c r="AF46" s="145"/>
    </row>
    <row r="47" spans="2:45" s="37" customFormat="1" ht="18" customHeight="1">
      <c r="B47" s="208" t="s">
        <v>427</v>
      </c>
      <c r="C47" s="866" t="s">
        <v>431</v>
      </c>
      <c r="D47" s="866"/>
      <c r="E47" s="861" t="s">
        <v>76</v>
      </c>
      <c r="F47" s="861"/>
      <c r="G47" s="861"/>
      <c r="H47" s="861"/>
      <c r="I47" s="861"/>
      <c r="J47" s="861"/>
      <c r="K47" s="861"/>
      <c r="L47" s="861"/>
      <c r="M47" s="861"/>
      <c r="N47" s="861"/>
      <c r="O47" s="861"/>
      <c r="P47" s="861"/>
      <c r="Q47" s="861"/>
      <c r="R47" s="862"/>
      <c r="S47" s="823" t="s">
        <v>434</v>
      </c>
      <c r="T47" s="824"/>
      <c r="U47" s="824"/>
      <c r="V47" s="824"/>
      <c r="W47" s="824"/>
      <c r="X47" s="824"/>
      <c r="Y47" s="824"/>
      <c r="Z47" s="824"/>
      <c r="AA47" s="825"/>
      <c r="AB47" s="221"/>
      <c r="AC47" s="1"/>
      <c r="AD47" s="134"/>
      <c r="AE47" s="134"/>
      <c r="AF47" s="134"/>
    </row>
    <row r="48" spans="2:45" s="37" customFormat="1" ht="24" customHeight="1">
      <c r="B48" s="208" t="s">
        <v>426</v>
      </c>
      <c r="C48" s="865" t="s">
        <v>251</v>
      </c>
      <c r="D48" s="866"/>
      <c r="E48" s="863"/>
      <c r="F48" s="863"/>
      <c r="G48" s="863"/>
      <c r="H48" s="863"/>
      <c r="I48" s="863"/>
      <c r="J48" s="863"/>
      <c r="K48" s="863"/>
      <c r="L48" s="863"/>
      <c r="M48" s="863"/>
      <c r="N48" s="863"/>
      <c r="O48" s="863"/>
      <c r="P48" s="863"/>
      <c r="Q48" s="863"/>
      <c r="R48" s="864"/>
      <c r="S48" s="823" t="s">
        <v>270</v>
      </c>
      <c r="T48" s="824"/>
      <c r="U48" s="824"/>
      <c r="V48" s="824"/>
      <c r="W48" s="824"/>
      <c r="X48" s="824"/>
      <c r="Y48" s="824"/>
      <c r="Z48" s="824"/>
      <c r="AA48" s="825"/>
      <c r="AB48" s="218"/>
      <c r="AC48"/>
      <c r="AD48" s="134"/>
      <c r="AE48" s="134"/>
      <c r="AF48" s="134"/>
    </row>
    <row r="49" spans="2:39" s="37" customFormat="1" ht="17.100000000000001" customHeight="1">
      <c r="B49" s="139"/>
      <c r="C49" s="143"/>
      <c r="D49" s="143"/>
      <c r="E49" s="143"/>
      <c r="F49" s="143"/>
      <c r="G49" s="143"/>
      <c r="H49" s="143"/>
      <c r="I49" s="143"/>
      <c r="J49" s="143"/>
      <c r="K49" s="143"/>
      <c r="L49" s="143"/>
      <c r="M49" s="143"/>
      <c r="N49" s="143"/>
      <c r="O49" s="143"/>
      <c r="P49" s="143"/>
      <c r="Q49" s="143"/>
      <c r="R49" s="143"/>
      <c r="S49" s="143"/>
      <c r="T49" s="142"/>
      <c r="U49" s="142"/>
      <c r="V49" s="142"/>
      <c r="W49" s="142"/>
      <c r="X49" s="142"/>
      <c r="Y49" s="142"/>
      <c r="Z49"/>
      <c r="AA49"/>
      <c r="AB49"/>
      <c r="AC49"/>
      <c r="AD49" s="145"/>
      <c r="AE49" s="145"/>
      <c r="AF49" s="145"/>
      <c r="AG49" s="145"/>
    </row>
    <row r="50" spans="2:39" ht="14.25">
      <c r="B50" s="138"/>
      <c r="C50" s="144"/>
      <c r="D50" s="144"/>
      <c r="E50" s="144"/>
      <c r="F50" s="144"/>
      <c r="G50" s="144"/>
      <c r="H50" s="144"/>
      <c r="I50" s="144"/>
      <c r="J50" s="144"/>
      <c r="K50" s="144"/>
      <c r="L50" s="144"/>
      <c r="M50" s="144"/>
      <c r="N50" s="144"/>
      <c r="O50" s="144"/>
      <c r="P50" s="144"/>
      <c r="Q50" s="144"/>
      <c r="R50" s="144"/>
      <c r="S50" s="144"/>
      <c r="T50" s="196"/>
      <c r="U50" s="142"/>
      <c r="V50" s="142"/>
      <c r="W50" s="142"/>
      <c r="X50" s="142"/>
      <c r="Y50" s="142"/>
      <c r="Z50" s="11"/>
      <c r="AA50" s="11"/>
      <c r="AB50" s="11"/>
      <c r="AC50"/>
    </row>
    <row r="51" spans="2:39" ht="14.25">
      <c r="B51" s="143"/>
      <c r="C51" s="143"/>
      <c r="D51" s="143"/>
      <c r="E51" s="143"/>
      <c r="F51" s="143"/>
      <c r="G51" s="143"/>
      <c r="H51" s="143"/>
      <c r="I51" s="143"/>
      <c r="J51" s="143"/>
      <c r="K51" s="143"/>
      <c r="L51" s="143"/>
      <c r="M51" s="143"/>
      <c r="N51" s="143"/>
      <c r="O51" s="143"/>
      <c r="P51" s="143"/>
      <c r="Q51" s="143"/>
      <c r="R51" s="143"/>
      <c r="S51" s="143"/>
      <c r="T51" s="142"/>
      <c r="U51" s="142"/>
      <c r="V51" s="142"/>
      <c r="W51" s="142"/>
      <c r="X51" s="142"/>
      <c r="Y51" s="142"/>
      <c r="Z51"/>
      <c r="AA51"/>
      <c r="AB51"/>
      <c r="AC51"/>
      <c r="AD51"/>
      <c r="AE51"/>
    </row>
    <row r="52" spans="2:39" ht="14.25">
      <c r="B52" s="139"/>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c r="AA52"/>
      <c r="AB52"/>
      <c r="AC52"/>
      <c r="AD52" s="11"/>
      <c r="AE52" s="11"/>
    </row>
    <row r="53" spans="2:39" ht="14.25">
      <c r="B53" s="858"/>
      <c r="C53" s="858"/>
      <c r="D53" s="858"/>
      <c r="E53" s="858"/>
      <c r="F53" s="858"/>
      <c r="G53" s="858"/>
      <c r="H53" s="858"/>
      <c r="I53" s="858"/>
      <c r="J53" s="858"/>
      <c r="K53" s="858"/>
      <c r="L53" s="858"/>
      <c r="M53" s="858"/>
      <c r="N53" s="858"/>
      <c r="O53" s="858"/>
      <c r="P53" s="858"/>
      <c r="Q53" s="858"/>
      <c r="R53" s="858"/>
      <c r="S53" s="858"/>
      <c r="T53" s="858"/>
      <c r="U53" s="858"/>
      <c r="V53" s="858"/>
      <c r="W53" s="858"/>
      <c r="X53" s="858"/>
      <c r="Y53" s="858"/>
      <c r="Z53"/>
      <c r="AA53"/>
      <c r="AB53"/>
      <c r="AD53"/>
      <c r="AE53"/>
    </row>
    <row r="54" spans="2:39" ht="14.25">
      <c r="B54" s="139"/>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c r="AA54"/>
      <c r="AB54"/>
      <c r="AD54"/>
      <c r="AE54"/>
    </row>
    <row r="55" spans="2:39" ht="14.25">
      <c r="B55" s="138"/>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c r="AA55"/>
      <c r="AB55"/>
      <c r="AD55"/>
      <c r="AE55"/>
    </row>
    <row r="56" spans="2:39" ht="14.25">
      <c r="AC56" s="52"/>
      <c r="AD56"/>
      <c r="AE56"/>
    </row>
    <row r="57" spans="2:39" ht="14.25">
      <c r="AD57"/>
      <c r="AE57"/>
    </row>
    <row r="58" spans="2:39" hidden="1"/>
    <row r="59" spans="2:39" hidden="1">
      <c r="B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148">
        <f>Berechnung2!P31</f>
        <v>0</v>
      </c>
    </row>
    <row r="60" spans="2:39" hidden="1">
      <c r="AC60" s="148">
        <f>Berechnung2!P32</f>
        <v>0</v>
      </c>
    </row>
    <row r="61" spans="2:39" ht="13.9" hidden="1">
      <c r="B61" s="20" t="s">
        <v>146</v>
      </c>
      <c r="AC61" s="148">
        <f>Berechnung2!P33</f>
        <v>0</v>
      </c>
      <c r="AD61" s="52"/>
      <c r="AE61" s="52"/>
      <c r="AF61" s="52"/>
      <c r="AG61" s="52"/>
    </row>
    <row r="62" spans="2:39" hidden="1">
      <c r="B62" s="147" t="str">
        <f>Berechnung2!B31</f>
        <v>ART</v>
      </c>
      <c r="C62" s="148">
        <f>Berechnung2!C31</f>
        <v>0</v>
      </c>
      <c r="D62" s="148">
        <f>Berechnung2!D31</f>
        <v>0</v>
      </c>
      <c r="E62" s="148"/>
      <c r="F62" s="148"/>
      <c r="G62" s="148"/>
      <c r="H62" s="148"/>
      <c r="I62" s="148"/>
      <c r="J62" s="148"/>
      <c r="K62" s="148"/>
      <c r="L62" s="148"/>
      <c r="M62" s="148"/>
      <c r="N62" s="148"/>
      <c r="O62" s="148"/>
      <c r="P62" s="148"/>
      <c r="Q62" s="148"/>
      <c r="R62" s="148"/>
      <c r="S62" s="148">
        <f>Berechnung2!F31</f>
        <v>0</v>
      </c>
      <c r="T62" s="148" t="str">
        <f>Berechnung2!G31</f>
        <v>Werte</v>
      </c>
      <c r="U62" s="148"/>
      <c r="V62" s="148">
        <f>Berechnung2!H31</f>
        <v>0</v>
      </c>
      <c r="W62" s="148">
        <f>Berechnung2!I31</f>
        <v>0</v>
      </c>
      <c r="X62" s="148">
        <f>Berechnung2!J31</f>
        <v>0</v>
      </c>
      <c r="Y62" s="148">
        <f>Berechnung2!K31</f>
        <v>0</v>
      </c>
      <c r="Z62" s="148">
        <f>Berechnung2!L31</f>
        <v>0</v>
      </c>
      <c r="AA62" s="148">
        <f>Berechnung2!N31</f>
        <v>0</v>
      </c>
      <c r="AB62" s="148">
        <f>Berechnung2!O31</f>
        <v>0</v>
      </c>
      <c r="AC62" s="148">
        <f>Berechnung2!P34</f>
        <v>0</v>
      </c>
      <c r="AD62" s="148" t="str">
        <f>Berechnung2!Q31</f>
        <v>Fehlermeldungen Matrix</v>
      </c>
    </row>
    <row r="63" spans="2:39" hidden="1">
      <c r="B63" s="149">
        <f>Berechnung2!B32</f>
        <v>0</v>
      </c>
      <c r="C63" s="148">
        <f>Berechnung2!C32</f>
        <v>0</v>
      </c>
      <c r="D63" s="148">
        <f>Berechnung2!D32</f>
        <v>0</v>
      </c>
      <c r="E63" s="148"/>
      <c r="F63" s="148"/>
      <c r="G63" s="148"/>
      <c r="H63" s="148"/>
      <c r="I63" s="148"/>
      <c r="J63" s="148"/>
      <c r="K63" s="148"/>
      <c r="L63" s="148"/>
      <c r="M63" s="148"/>
      <c r="N63" s="148"/>
      <c r="O63" s="148"/>
      <c r="P63" s="148"/>
      <c r="Q63" s="148"/>
      <c r="R63" s="148"/>
      <c r="S63" s="148">
        <f>Berechnung2!F32</f>
        <v>0</v>
      </c>
      <c r="T63" s="148">
        <f>Berechnung2!G32</f>
        <v>0</v>
      </c>
      <c r="U63" s="148"/>
      <c r="V63" s="148">
        <f>Berechnung2!H32</f>
        <v>0</v>
      </c>
      <c r="W63" s="148">
        <f>Berechnung2!I32</f>
        <v>0</v>
      </c>
      <c r="X63" s="148">
        <f>Berechnung2!J32</f>
        <v>0</v>
      </c>
      <c r="Y63" s="148">
        <f>Berechnung2!K32</f>
        <v>0</v>
      </c>
      <c r="Z63" s="148">
        <f>Berechnung2!L32</f>
        <v>0</v>
      </c>
      <c r="AA63" s="148">
        <f>Berechnung2!N32</f>
        <v>0</v>
      </c>
      <c r="AB63" s="148">
        <f>Berechnung2!O32</f>
        <v>0</v>
      </c>
      <c r="AC63" s="148">
        <f>Berechnung2!P35</f>
        <v>0</v>
      </c>
      <c r="AD63" s="148" t="str">
        <f>Berechnung2!Q32</f>
        <v>Ganze Zahl zwischen 0 und 5000 eingeben.</v>
      </c>
    </row>
    <row r="64" spans="2:39" hidden="1">
      <c r="B64" s="149">
        <f>Berechnung2!B33</f>
        <v>0</v>
      </c>
      <c r="C64" s="148">
        <f>Berechnung2!C33</f>
        <v>0</v>
      </c>
      <c r="D64" s="148" t="str">
        <f>Berechnung2!D33</f>
        <v>unvollständig</v>
      </c>
      <c r="E64" s="148"/>
      <c r="F64" s="148"/>
      <c r="G64" s="148"/>
      <c r="H64" s="148"/>
      <c r="I64" s="148"/>
      <c r="J64" s="148"/>
      <c r="K64" s="148"/>
      <c r="L64" s="148"/>
      <c r="M64" s="148"/>
      <c r="N64" s="148"/>
      <c r="O64" s="148"/>
      <c r="P64" s="148"/>
      <c r="Q64" s="148"/>
      <c r="R64" s="148"/>
      <c r="S64" s="148">
        <f>Berechnung2!F33</f>
        <v>0</v>
      </c>
      <c r="T64" s="148">
        <f>Berechnung2!G33</f>
        <v>0</v>
      </c>
      <c r="U64" s="148"/>
      <c r="V64" s="148">
        <f>Berechnung2!H33</f>
        <v>0</v>
      </c>
      <c r="W64" s="148">
        <f>Berechnung2!I33</f>
        <v>0</v>
      </c>
      <c r="X64" s="148">
        <f>Berechnung2!J33</f>
        <v>0</v>
      </c>
      <c r="Y64" s="148">
        <f>Berechnung2!K33</f>
        <v>0</v>
      </c>
      <c r="Z64" s="148">
        <f>Berechnung2!L33</f>
        <v>0</v>
      </c>
      <c r="AA64" s="148">
        <f>Berechnung2!N33</f>
        <v>0</v>
      </c>
      <c r="AB64" s="148">
        <f>Berechnung2!O33</f>
        <v>0</v>
      </c>
      <c r="AC64" s="148">
        <f>Berechnung2!P36</f>
        <v>0</v>
      </c>
      <c r="AD64" s="148">
        <f>Berechnung2!Q33</f>
        <v>0</v>
      </c>
      <c r="AE64" s="6"/>
      <c r="AF64" s="6"/>
      <c r="AG64" s="6"/>
      <c r="AH64" s="6"/>
      <c r="AI64" s="6"/>
      <c r="AJ64" s="6"/>
      <c r="AK64" s="6"/>
      <c r="AL64" s="6"/>
      <c r="AM64" s="6"/>
    </row>
    <row r="65" spans="2:39" hidden="1">
      <c r="B65" s="149" t="str">
        <f>Berechnung2!B34</f>
        <v>zu geringe Anzahl der Primärfälle</v>
      </c>
      <c r="C65" s="148">
        <f>Berechnung2!C34</f>
        <v>0</v>
      </c>
      <c r="D65" s="148" t="str">
        <f>Berechnung2!D34</f>
        <v>plausi</v>
      </c>
      <c r="E65" s="148"/>
      <c r="F65" s="148"/>
      <c r="G65" s="148"/>
      <c r="H65" s="148"/>
      <c r="I65" s="148"/>
      <c r="J65" s="148"/>
      <c r="K65" s="148"/>
      <c r="L65" s="148"/>
      <c r="M65" s="148"/>
      <c r="N65" s="148"/>
      <c r="O65" s="148"/>
      <c r="P65" s="148"/>
      <c r="Q65" s="148"/>
      <c r="R65" s="148"/>
      <c r="S65" s="148" t="str">
        <f>Berechnung2!F34</f>
        <v>&lt;</v>
      </c>
      <c r="T65" s="148">
        <f>Berechnung2!G34</f>
        <v>0</v>
      </c>
      <c r="U65" s="148"/>
      <c r="V65" s="150">
        <f>Berechnung2!H34</f>
        <v>5</v>
      </c>
      <c r="W65" s="148">
        <f>Berechnung2!I34</f>
        <v>0</v>
      </c>
      <c r="X65" s="148">
        <f>Berechnung2!J34</f>
        <v>0</v>
      </c>
      <c r="Y65" s="148">
        <f>Berechnung2!K34</f>
        <v>0</v>
      </c>
      <c r="Z65" s="148">
        <f>Berechnung2!L34</f>
        <v>0</v>
      </c>
      <c r="AA65" s="148">
        <f>Berechnung2!N34</f>
        <v>0</v>
      </c>
      <c r="AB65" s="148">
        <f>Berechnung2!O34</f>
        <v>0</v>
      </c>
      <c r="AC65" s="148">
        <f>Berechnung2!P37</f>
        <v>0</v>
      </c>
      <c r="AD65" s="148">
        <f>Berechnung2!Q34</f>
        <v>0</v>
      </c>
      <c r="AE65" s="6"/>
      <c r="AF65" s="6"/>
      <c r="AG65" s="6"/>
      <c r="AH65" s="6"/>
      <c r="AI65" s="6"/>
      <c r="AJ65" s="6"/>
      <c r="AK65" s="6"/>
      <c r="AL65" s="6"/>
      <c r="AM65" s="6"/>
    </row>
    <row r="66" spans="2:39" hidden="1">
      <c r="B66" s="149" t="str">
        <f>Berechnung2!B35</f>
        <v>geringe Follow-Up Quote</v>
      </c>
      <c r="C66" s="148">
        <f>Berechnung2!C35</f>
        <v>0</v>
      </c>
      <c r="D66" s="148" t="str">
        <f>Berechnung2!D35</f>
        <v>plausi</v>
      </c>
      <c r="E66" s="148"/>
      <c r="F66" s="148"/>
      <c r="G66" s="148"/>
      <c r="H66" s="148"/>
      <c r="I66" s="148"/>
      <c r="J66" s="148"/>
      <c r="K66" s="148"/>
      <c r="L66" s="148"/>
      <c r="M66" s="148"/>
      <c r="N66" s="148"/>
      <c r="O66" s="148"/>
      <c r="P66" s="148"/>
      <c r="Q66" s="148"/>
      <c r="R66" s="148"/>
      <c r="S66" s="148" t="str">
        <f>Berechnung2!F35</f>
        <v>&lt;</v>
      </c>
      <c r="T66" s="151">
        <f>Berechnung2!G35</f>
        <v>0</v>
      </c>
      <c r="U66" s="151"/>
      <c r="V66" s="152">
        <f>Berechnung2!H35</f>
        <v>0</v>
      </c>
      <c r="W66" s="152">
        <f>Berechnung2!I35</f>
        <v>0</v>
      </c>
      <c r="X66" s="152">
        <f>Berechnung2!J35</f>
        <v>0.49998999999999999</v>
      </c>
      <c r="Y66" s="152">
        <f>Berechnung2!K35</f>
        <v>0.49998999999999999</v>
      </c>
      <c r="Z66" s="148">
        <f>Berechnung2!L35</f>
        <v>0</v>
      </c>
      <c r="AA66" s="148">
        <f>Berechnung2!N35</f>
        <v>0</v>
      </c>
      <c r="AB66" s="148">
        <f>Berechnung2!O35</f>
        <v>0</v>
      </c>
      <c r="AC66" s="148">
        <f>Berechnung2!P39</f>
        <v>0</v>
      </c>
      <c r="AD66" s="148">
        <f>Berechnung2!Q35</f>
        <v>0</v>
      </c>
      <c r="AE66" s="6"/>
      <c r="AF66" s="6"/>
      <c r="AG66" s="6"/>
      <c r="AH66" s="6"/>
      <c r="AI66" s="6"/>
      <c r="AJ66" s="6"/>
      <c r="AK66" s="6"/>
      <c r="AL66" s="6"/>
      <c r="AM66" s="6"/>
    </row>
    <row r="67" spans="2:39" hidden="1">
      <c r="B67" s="149" t="str">
        <f>Berechnung2!B36</f>
        <v>geringe Follow-Up Quote der Jahre 2015-2017</v>
      </c>
      <c r="C67" s="148">
        <f>Berechnung2!C36</f>
        <v>0</v>
      </c>
      <c r="D67" s="148" t="str">
        <f>Berechnung2!D36</f>
        <v>sollvorgabe</v>
      </c>
      <c r="E67" s="148"/>
      <c r="F67" s="148"/>
      <c r="G67" s="148"/>
      <c r="H67" s="148"/>
      <c r="I67" s="148"/>
      <c r="J67" s="148"/>
      <c r="K67" s="148"/>
      <c r="L67" s="148"/>
      <c r="M67" s="148"/>
      <c r="N67" s="148"/>
      <c r="O67" s="148"/>
      <c r="P67" s="148"/>
      <c r="Q67" s="148"/>
      <c r="R67" s="148"/>
      <c r="S67" s="148" t="str">
        <f>Berechnung2!F36</f>
        <v>&lt;</v>
      </c>
      <c r="T67" s="151">
        <f>Berechnung2!G36</f>
        <v>0</v>
      </c>
      <c r="U67" s="151"/>
      <c r="V67" s="152">
        <f>Berechnung2!H36</f>
        <v>0</v>
      </c>
      <c r="W67" s="152">
        <f>Berechnung2!I36</f>
        <v>0</v>
      </c>
      <c r="X67" s="152">
        <f>Berechnung2!J36</f>
        <v>0.59999000000000002</v>
      </c>
      <c r="Y67" s="152">
        <f>Berechnung2!K36</f>
        <v>0.59999000000000002</v>
      </c>
      <c r="Z67" s="148">
        <f>Berechnung2!L36</f>
        <v>0</v>
      </c>
      <c r="AA67" s="148">
        <f>Berechnung2!N36</f>
        <v>0</v>
      </c>
      <c r="AB67" s="148">
        <f>Berechnung2!O36</f>
        <v>0</v>
      </c>
      <c r="AC67" s="148">
        <f>Berechnung2!P40</f>
        <v>0</v>
      </c>
      <c r="AD67" s="148">
        <f>Berechnung2!Q36</f>
        <v>0</v>
      </c>
      <c r="AE67" s="6"/>
      <c r="AF67" s="6"/>
      <c r="AG67" s="6"/>
      <c r="AH67" s="6"/>
      <c r="AI67" s="6"/>
      <c r="AJ67" s="6"/>
      <c r="AK67" s="6"/>
      <c r="AL67" s="6"/>
      <c r="AM67" s="6"/>
    </row>
    <row r="68" spans="2:39" hidden="1">
      <c r="B68" s="149" t="str">
        <f>Berechnung2!B37</f>
        <v>zu hohe Follow-Up Quote der Jahre 2015-2017</v>
      </c>
      <c r="C68" s="148">
        <f>Berechnung2!C37</f>
        <v>0</v>
      </c>
      <c r="D68" s="148" t="str">
        <f>Berechnung2!D37</f>
        <v>plausi</v>
      </c>
      <c r="E68" s="148"/>
      <c r="F68" s="148"/>
      <c r="G68" s="148"/>
      <c r="H68" s="148"/>
      <c r="I68" s="148"/>
      <c r="J68" s="148"/>
      <c r="K68" s="148"/>
      <c r="L68" s="148"/>
      <c r="M68" s="148"/>
      <c r="N68" s="148"/>
      <c r="O68" s="148"/>
      <c r="P68" s="148"/>
      <c r="Q68" s="148"/>
      <c r="R68" s="148"/>
      <c r="S68" s="148" t="str">
        <f>Berechnung2!F37</f>
        <v>&gt;</v>
      </c>
      <c r="T68" s="148">
        <f>Berechnung2!G37</f>
        <v>0</v>
      </c>
      <c r="U68" s="148"/>
      <c r="V68" s="152">
        <f>Berechnung2!H37</f>
        <v>0</v>
      </c>
      <c r="W68" s="152">
        <f>Berechnung2!I37</f>
        <v>0.95001000000000002</v>
      </c>
      <c r="X68" s="152">
        <f>Berechnung2!J37</f>
        <v>1</v>
      </c>
      <c r="Y68" s="152">
        <f>Berechnung2!K37</f>
        <v>0.95001000000000002</v>
      </c>
      <c r="Z68" s="148">
        <f>Berechnung2!L37</f>
        <v>0</v>
      </c>
      <c r="AA68" s="148">
        <f>Berechnung2!N37</f>
        <v>0</v>
      </c>
      <c r="AB68" s="148">
        <f>Berechnung2!O37</f>
        <v>0</v>
      </c>
      <c r="AC68" s="148">
        <f>Berechnung2!P41</f>
        <v>0</v>
      </c>
      <c r="AD68" s="148">
        <f>Berechnung2!Q37</f>
        <v>0</v>
      </c>
      <c r="AE68" s="6"/>
      <c r="AF68" s="6"/>
      <c r="AG68" s="6"/>
      <c r="AH68" s="6"/>
      <c r="AI68" s="6"/>
      <c r="AJ68" s="6"/>
      <c r="AK68" s="6"/>
      <c r="AL68" s="6"/>
      <c r="AM68" s="6"/>
    </row>
    <row r="69" spans="2:39" hidden="1">
      <c r="B69" s="149" t="str">
        <f>Berechnung2!B39</f>
        <v>zu viele Pat Keine Rückmeldungen</v>
      </c>
      <c r="C69" s="148">
        <f>Berechnung2!C39</f>
        <v>0</v>
      </c>
      <c r="D69" s="148" t="str">
        <f>Berechnung2!D39</f>
        <v>inkorrekt</v>
      </c>
      <c r="E69" s="148"/>
      <c r="F69" s="148"/>
      <c r="G69" s="148"/>
      <c r="H69" s="148"/>
      <c r="I69" s="148"/>
      <c r="J69" s="148"/>
      <c r="K69" s="148"/>
      <c r="L69" s="148"/>
      <c r="M69" s="148"/>
      <c r="N69" s="148"/>
      <c r="O69" s="148"/>
      <c r="P69" s="148"/>
      <c r="Q69" s="148"/>
      <c r="R69" s="148"/>
      <c r="S69" s="148">
        <f>Berechnung2!F39</f>
        <v>0</v>
      </c>
      <c r="T69" s="148">
        <f>Berechnung2!G39</f>
        <v>0</v>
      </c>
      <c r="U69" s="148"/>
      <c r="V69" s="148">
        <f>Berechnung2!H39</f>
        <v>0</v>
      </c>
      <c r="W69" s="148">
        <f>Berechnung2!I39</f>
        <v>0</v>
      </c>
      <c r="X69" s="148">
        <f>Berechnung2!J39</f>
        <v>0</v>
      </c>
      <c r="Y69" s="148">
        <f>Berechnung2!K39</f>
        <v>0</v>
      </c>
      <c r="Z69" s="148">
        <f>Berechnung2!L39</f>
        <v>0</v>
      </c>
      <c r="AA69" s="148">
        <f>Berechnung2!N39</f>
        <v>0</v>
      </c>
      <c r="AB69" s="148">
        <f>Berechnung2!O39</f>
        <v>0</v>
      </c>
      <c r="AC69" s="148">
        <f>Berechnung2!P42</f>
        <v>0</v>
      </c>
      <c r="AD69" s="148">
        <f>Berechnung2!Q39</f>
        <v>0</v>
      </c>
      <c r="AE69" s="6"/>
      <c r="AF69" s="6"/>
      <c r="AG69" s="6"/>
      <c r="AH69" s="6"/>
      <c r="AI69" s="6"/>
      <c r="AJ69" s="6"/>
      <c r="AK69" s="6"/>
      <c r="AL69" s="6"/>
      <c r="AM69" s="6"/>
    </row>
    <row r="70" spans="2:39" hidden="1">
      <c r="B70" s="149" t="str">
        <f>Berechnung2!B40</f>
        <v>zu viele Pat Tumorbedingt gestorben</v>
      </c>
      <c r="C70" s="148">
        <f>Berechnung2!C40</f>
        <v>0</v>
      </c>
      <c r="D70" s="148" t="str">
        <f>Berechnung2!D40</f>
        <v>inkorrekt</v>
      </c>
      <c r="E70" s="148"/>
      <c r="F70" s="148"/>
      <c r="G70" s="148"/>
      <c r="H70" s="148"/>
      <c r="I70" s="148"/>
      <c r="J70" s="148"/>
      <c r="K70" s="148"/>
      <c r="L70" s="148"/>
      <c r="M70" s="148"/>
      <c r="N70" s="148"/>
      <c r="O70" s="148"/>
      <c r="P70" s="148"/>
      <c r="Q70" s="148"/>
      <c r="R70" s="148"/>
      <c r="S70" s="148">
        <f>Berechnung2!F40</f>
        <v>0</v>
      </c>
      <c r="T70" s="148">
        <f>Berechnung2!G40</f>
        <v>0</v>
      </c>
      <c r="U70" s="148"/>
      <c r="V70" s="148">
        <f>Berechnung2!H40</f>
        <v>0</v>
      </c>
      <c r="W70" s="148">
        <f>Berechnung2!I40</f>
        <v>0</v>
      </c>
      <c r="X70" s="148">
        <f>Berechnung2!J40</f>
        <v>0</v>
      </c>
      <c r="Y70" s="148">
        <f>Berechnung2!K40</f>
        <v>0</v>
      </c>
      <c r="Z70" s="148">
        <f>Berechnung2!L40</f>
        <v>0</v>
      </c>
      <c r="AA70" s="148">
        <f>Berechnung2!N40</f>
        <v>0</v>
      </c>
      <c r="AB70" s="148">
        <f>Berechnung2!O40</f>
        <v>0</v>
      </c>
      <c r="AC70" s="148">
        <f>Berechnung2!P53</f>
        <v>0</v>
      </c>
      <c r="AD70" s="148">
        <f>Berechnung2!Q40</f>
        <v>0</v>
      </c>
      <c r="AE70" s="6"/>
      <c r="AF70" s="6"/>
      <c r="AG70" s="6"/>
      <c r="AH70" s="6"/>
      <c r="AI70" s="6"/>
      <c r="AJ70" s="6"/>
      <c r="AK70" s="6"/>
      <c r="AL70" s="6"/>
      <c r="AM70" s="6"/>
    </row>
    <row r="71" spans="2:39" hidden="1">
      <c r="B71" s="149" t="str">
        <f>Berechnung2!B41</f>
        <v>zu viele Pat Gestorben</v>
      </c>
      <c r="C71" s="148">
        <f>Berechnung2!C41</f>
        <v>0</v>
      </c>
      <c r="D71" s="148" t="str">
        <f>Berechnung2!D41</f>
        <v>inkorrekt</v>
      </c>
      <c r="E71" s="148"/>
      <c r="F71" s="148"/>
      <c r="G71" s="148"/>
      <c r="H71" s="148"/>
      <c r="I71" s="148"/>
      <c r="J71" s="148"/>
      <c r="K71" s="148"/>
      <c r="L71" s="148"/>
      <c r="M71" s="148"/>
      <c r="N71" s="148"/>
      <c r="O71" s="148"/>
      <c r="P71" s="148"/>
      <c r="Q71" s="148"/>
      <c r="R71" s="148"/>
      <c r="S71" s="148">
        <f>Berechnung2!F41</f>
        <v>0</v>
      </c>
      <c r="T71" s="148">
        <f>Berechnung2!G41</f>
        <v>0</v>
      </c>
      <c r="U71" s="148"/>
      <c r="V71" s="148">
        <f>Berechnung2!H41</f>
        <v>0</v>
      </c>
      <c r="W71" s="148">
        <f>Berechnung2!I41</f>
        <v>0</v>
      </c>
      <c r="X71" s="148">
        <f>Berechnung2!J41</f>
        <v>0</v>
      </c>
      <c r="Y71" s="148">
        <f>Berechnung2!K41</f>
        <v>0</v>
      </c>
      <c r="Z71" s="148">
        <f>Berechnung2!L41</f>
        <v>0</v>
      </c>
      <c r="AA71" s="148">
        <f>Berechnung2!N41</f>
        <v>0</v>
      </c>
      <c r="AB71" s="148">
        <f>Berechnung2!O41</f>
        <v>0</v>
      </c>
      <c r="AC71" s="148">
        <f>Berechnung2!P54</f>
        <v>0</v>
      </c>
      <c r="AD71" s="148">
        <f>Berechnung2!Q51</f>
        <v>0</v>
      </c>
      <c r="AE71" s="6"/>
      <c r="AF71" s="6"/>
      <c r="AG71" s="6"/>
      <c r="AH71" s="6"/>
      <c r="AI71" s="6"/>
      <c r="AJ71" s="6"/>
      <c r="AK71" s="6"/>
      <c r="AL71" s="6"/>
      <c r="AM71" s="6"/>
    </row>
    <row r="72" spans="2:39" hidden="1">
      <c r="B72" s="149">
        <f>Berechnung2!B42</f>
        <v>0</v>
      </c>
      <c r="C72" s="148">
        <f>Berechnung2!C42</f>
        <v>0</v>
      </c>
      <c r="D72" s="148">
        <f>Berechnung2!D42</f>
        <v>0</v>
      </c>
      <c r="E72" s="148"/>
      <c r="F72" s="148"/>
      <c r="G72" s="148"/>
      <c r="H72" s="148"/>
      <c r="I72" s="148"/>
      <c r="J72" s="148"/>
      <c r="K72" s="148"/>
      <c r="L72" s="148"/>
      <c r="M72" s="148"/>
      <c r="N72" s="148"/>
      <c r="O72" s="148"/>
      <c r="P72" s="148"/>
      <c r="Q72" s="148"/>
      <c r="R72" s="148"/>
      <c r="S72" s="148">
        <f>Berechnung2!F42</f>
        <v>0</v>
      </c>
      <c r="T72" s="148">
        <f>Berechnung2!G42</f>
        <v>0</v>
      </c>
      <c r="U72" s="148"/>
      <c r="V72" s="148">
        <f>Berechnung2!H42</f>
        <v>0</v>
      </c>
      <c r="W72" s="148">
        <f>Berechnung2!I42</f>
        <v>0</v>
      </c>
      <c r="X72" s="148">
        <f>Berechnung2!J42</f>
        <v>0</v>
      </c>
      <c r="Y72" s="148">
        <f>Berechnung2!K42</f>
        <v>0</v>
      </c>
      <c r="Z72" s="148">
        <f>Berechnung2!L42</f>
        <v>0</v>
      </c>
      <c r="AA72" s="148">
        <f>Berechnung2!N42</f>
        <v>0</v>
      </c>
      <c r="AB72" s="148">
        <f>Berechnung2!O42</f>
        <v>0</v>
      </c>
      <c r="AC72" s="148">
        <f>Berechnung2!P55</f>
        <v>0</v>
      </c>
      <c r="AD72" s="148">
        <f>Berechnung2!Q52</f>
        <v>0</v>
      </c>
      <c r="AE72" s="6"/>
      <c r="AF72" s="6"/>
      <c r="AG72" s="6"/>
      <c r="AH72" s="6"/>
      <c r="AI72" s="6"/>
      <c r="AJ72" s="6"/>
      <c r="AK72" s="6"/>
      <c r="AL72" s="6"/>
      <c r="AM72" s="6"/>
    </row>
    <row r="73" spans="2:39" hidden="1">
      <c r="B73" s="149" t="str">
        <f>Berechnung2!B53</f>
        <v>OAS</v>
      </c>
      <c r="C73" s="148">
        <f>Berechnung2!C43</f>
        <v>0</v>
      </c>
      <c r="D73" s="148">
        <f>Berechnung2!C53</f>
        <v>0</v>
      </c>
      <c r="E73" s="148"/>
      <c r="F73" s="148"/>
      <c r="G73" s="148"/>
      <c r="H73" s="148"/>
      <c r="I73" s="148"/>
      <c r="J73" s="148"/>
      <c r="K73" s="148"/>
      <c r="L73" s="148"/>
      <c r="M73" s="148"/>
      <c r="N73" s="148"/>
      <c r="O73" s="148"/>
      <c r="P73" s="148"/>
      <c r="Q73" s="148"/>
      <c r="R73" s="148"/>
      <c r="S73" s="148">
        <f>Berechnung2!F53</f>
        <v>0</v>
      </c>
      <c r="T73" s="148" t="str">
        <f>Berechnung2!G53</f>
        <v>untere Grenze</v>
      </c>
      <c r="U73" s="148"/>
      <c r="V73" s="148">
        <f>Berechnung2!H53</f>
        <v>0</v>
      </c>
      <c r="W73" s="148">
        <f>Berechnung2!I53</f>
        <v>0</v>
      </c>
      <c r="X73" s="148">
        <f>Berechnung2!J53</f>
        <v>0</v>
      </c>
      <c r="Y73" s="148" t="str">
        <f>Berechnung2!K53</f>
        <v>obere Grenze</v>
      </c>
      <c r="Z73" s="148">
        <f>Berechnung2!L53</f>
        <v>0</v>
      </c>
      <c r="AA73" s="148">
        <f>Berechnung2!N53</f>
        <v>0</v>
      </c>
      <c r="AB73" s="148" t="str">
        <f>Berechnung2!O53</f>
        <v>OAS auffällig niedrig oder hoch</v>
      </c>
      <c r="AC73" s="148">
        <f>Berechnung2!P56</f>
        <v>0</v>
      </c>
      <c r="AD73" s="148">
        <f>Berechnung2!Q53</f>
        <v>0</v>
      </c>
      <c r="AE73" s="6"/>
      <c r="AF73" s="6"/>
      <c r="AG73" s="6"/>
      <c r="AH73" s="6"/>
      <c r="AI73" s="6"/>
      <c r="AJ73" s="6"/>
      <c r="AK73" s="6"/>
      <c r="AL73" s="6"/>
      <c r="AM73" s="6"/>
    </row>
    <row r="74" spans="2:39" hidden="1">
      <c r="B74" s="149">
        <f>Berechnung2!B54</f>
        <v>0</v>
      </c>
      <c r="C74" s="148">
        <f>Berechnung2!C54</f>
        <v>1E-3</v>
      </c>
      <c r="D74" s="194">
        <f>Berechnung2!C54</f>
        <v>1E-3</v>
      </c>
      <c r="E74" s="194">
        <f>Berechnung2!F54</f>
        <v>0</v>
      </c>
      <c r="F74" s="194"/>
      <c r="G74" s="194"/>
      <c r="H74" s="194"/>
      <c r="I74" s="194"/>
      <c r="J74" s="194"/>
      <c r="K74" s="194"/>
      <c r="L74" s="194"/>
      <c r="M74" s="194"/>
      <c r="N74" s="194"/>
      <c r="O74" s="194"/>
      <c r="P74" s="194"/>
      <c r="Q74" s="194"/>
      <c r="R74" s="194"/>
      <c r="S74" s="194">
        <f>Berechnung2!F54</f>
        <v>0</v>
      </c>
      <c r="T74" s="152">
        <f>Berechnung2!G54</f>
        <v>0.59899999999999998</v>
      </c>
      <c r="U74" s="152"/>
      <c r="V74" s="152">
        <f>Berechnung2!H54</f>
        <v>0.6</v>
      </c>
      <c r="W74" s="152">
        <f>Berechnung2!I54</f>
        <v>0</v>
      </c>
      <c r="X74" s="152">
        <f>Berechnung2!J54</f>
        <v>0.94899999999999995</v>
      </c>
      <c r="Y74" s="152">
        <f>Berechnung2!K54</f>
        <v>0.95</v>
      </c>
      <c r="Z74" s="148">
        <f>Berechnung2!L54</f>
        <v>0</v>
      </c>
      <c r="AA74" s="148">
        <f>Berechnung2!N54</f>
        <v>0</v>
      </c>
      <c r="AB74" s="148" t="str">
        <f>Berechnung2!O54</f>
        <v>OAS auffällig niedrig oder hoch</v>
      </c>
      <c r="AC74" s="148">
        <f>Berechnung2!P57</f>
        <v>0</v>
      </c>
      <c r="AD74" s="148">
        <f>Berechnung2!Q54</f>
        <v>0</v>
      </c>
      <c r="AE74" s="6"/>
      <c r="AF74" s="6"/>
      <c r="AG74" s="6"/>
      <c r="AH74" s="6"/>
      <c r="AI74" s="6"/>
      <c r="AJ74" s="6"/>
      <c r="AK74" s="6"/>
      <c r="AL74" s="6"/>
      <c r="AM74" s="6"/>
    </row>
    <row r="75" spans="2:39" hidden="1">
      <c r="B75" s="149">
        <f>Berechnung2!B55</f>
        <v>0</v>
      </c>
      <c r="C75" s="148">
        <f>Berechnung2!C55</f>
        <v>1E-3</v>
      </c>
      <c r="D75" s="194">
        <f>Berechnung2!C55</f>
        <v>1E-3</v>
      </c>
      <c r="E75" s="194">
        <f>Berechnung2!F55</f>
        <v>0</v>
      </c>
      <c r="F75" s="194"/>
      <c r="G75" s="194"/>
      <c r="H75" s="194"/>
      <c r="I75" s="194"/>
      <c r="J75" s="194"/>
      <c r="K75" s="194"/>
      <c r="L75" s="194"/>
      <c r="M75" s="194"/>
      <c r="N75" s="194"/>
      <c r="O75" s="194"/>
      <c r="P75" s="194"/>
      <c r="Q75" s="194"/>
      <c r="R75" s="194"/>
      <c r="S75" s="194">
        <f>Berechnung2!F55</f>
        <v>0</v>
      </c>
      <c r="T75" s="152">
        <f>Berechnung2!G55</f>
        <v>0.59899999999999998</v>
      </c>
      <c r="U75" s="152"/>
      <c r="V75" s="152">
        <f>Berechnung2!H55</f>
        <v>0.6</v>
      </c>
      <c r="W75" s="152">
        <f>Berechnung2!I55</f>
        <v>0</v>
      </c>
      <c r="X75" s="152">
        <f>Berechnung2!J55</f>
        <v>0.94899999999999995</v>
      </c>
      <c r="Y75" s="152">
        <f>Berechnung2!K55</f>
        <v>0.95</v>
      </c>
      <c r="Z75" s="148">
        <f>Berechnung2!L55</f>
        <v>0</v>
      </c>
      <c r="AA75" s="148">
        <f>Berechnung2!N55</f>
        <v>0</v>
      </c>
      <c r="AB75" s="148" t="str">
        <f>Berechnung2!O55</f>
        <v>OAS auffällig niedrig oder hoch</v>
      </c>
      <c r="AC75" s="148">
        <f>Berechnung2!P58</f>
        <v>0</v>
      </c>
      <c r="AD75" s="148">
        <f>Berechnung2!Q55</f>
        <v>0</v>
      </c>
      <c r="AE75" s="6"/>
      <c r="AF75" s="6"/>
      <c r="AG75" s="6"/>
      <c r="AH75" s="6"/>
      <c r="AI75" s="6"/>
      <c r="AJ75" s="6"/>
      <c r="AK75" s="6"/>
      <c r="AL75" s="6"/>
      <c r="AM75" s="6"/>
    </row>
    <row r="76" spans="2:39" hidden="1">
      <c r="B76" s="149">
        <f>Berechnung2!B56</f>
        <v>0</v>
      </c>
      <c r="C76" s="148">
        <f>Berechnung2!C56</f>
        <v>1E-3</v>
      </c>
      <c r="D76" s="194">
        <f>Berechnung2!C56</f>
        <v>1E-3</v>
      </c>
      <c r="E76" s="194">
        <f>Berechnung2!F56</f>
        <v>0</v>
      </c>
      <c r="F76" s="194"/>
      <c r="G76" s="194"/>
      <c r="H76" s="194"/>
      <c r="I76" s="194"/>
      <c r="J76" s="194"/>
      <c r="K76" s="194"/>
      <c r="L76" s="194"/>
      <c r="M76" s="194"/>
      <c r="N76" s="194"/>
      <c r="O76" s="194"/>
      <c r="P76" s="194"/>
      <c r="Q76" s="194"/>
      <c r="R76" s="194"/>
      <c r="S76" s="194">
        <f>Berechnung2!F56</f>
        <v>0</v>
      </c>
      <c r="T76" s="152">
        <f>Berechnung2!G56</f>
        <v>0.59899999999999998</v>
      </c>
      <c r="U76" s="152"/>
      <c r="V76" s="152">
        <f>Berechnung2!H56</f>
        <v>0.6</v>
      </c>
      <c r="W76" s="152">
        <f>Berechnung2!I56</f>
        <v>0</v>
      </c>
      <c r="X76" s="152">
        <f>Berechnung2!J56</f>
        <v>0.94899999999999995</v>
      </c>
      <c r="Y76" s="152">
        <f>Berechnung2!K56</f>
        <v>0.95</v>
      </c>
      <c r="Z76" s="148">
        <f>Berechnung2!L56</f>
        <v>0</v>
      </c>
      <c r="AA76" s="148">
        <f>Berechnung2!N56</f>
        <v>0</v>
      </c>
      <c r="AB76" s="148" t="str">
        <f>Berechnung2!O56</f>
        <v>OAS auffällig niedrig oder hoch</v>
      </c>
      <c r="AC76" s="148">
        <f>Berechnung2!P59</f>
        <v>0</v>
      </c>
      <c r="AD76" s="148">
        <f>Berechnung2!Q56</f>
        <v>0</v>
      </c>
      <c r="AE76" s="6"/>
      <c r="AF76" s="6"/>
      <c r="AG76" s="6"/>
      <c r="AH76" s="6"/>
      <c r="AI76" s="6"/>
      <c r="AJ76" s="6"/>
      <c r="AK76" s="6"/>
      <c r="AL76" s="6"/>
      <c r="AM76" s="6"/>
    </row>
    <row r="77" spans="2:39" hidden="1">
      <c r="B77" s="149">
        <f>Berechnung2!B57</f>
        <v>0</v>
      </c>
      <c r="C77" s="148">
        <f>Berechnung2!C57</f>
        <v>1E-3</v>
      </c>
      <c r="D77" s="194">
        <f>Berechnung2!C57</f>
        <v>1E-3</v>
      </c>
      <c r="E77" s="194">
        <f>Berechnung2!F57</f>
        <v>0</v>
      </c>
      <c r="F77" s="194"/>
      <c r="G77" s="194"/>
      <c r="H77" s="194"/>
      <c r="I77" s="194"/>
      <c r="J77" s="194"/>
      <c r="K77" s="194"/>
      <c r="L77" s="194"/>
      <c r="M77" s="194"/>
      <c r="N77" s="194"/>
      <c r="O77" s="194"/>
      <c r="P77" s="194"/>
      <c r="Q77" s="194"/>
      <c r="R77" s="194"/>
      <c r="S77" s="194">
        <f>Berechnung2!F57</f>
        <v>0</v>
      </c>
      <c r="T77" s="152">
        <f>Berechnung2!G57</f>
        <v>0.84899999999999998</v>
      </c>
      <c r="U77" s="152"/>
      <c r="V77" s="152">
        <f>Berechnung2!H57</f>
        <v>0.85</v>
      </c>
      <c r="W77" s="152">
        <f>Berechnung2!I57</f>
        <v>0</v>
      </c>
      <c r="X77" s="152">
        <f>Berechnung2!J57</f>
        <v>0.98899999999999999</v>
      </c>
      <c r="Y77" s="152">
        <f>Berechnung2!K57</f>
        <v>0.99</v>
      </c>
      <c r="Z77" s="148">
        <f>Berechnung2!L57</f>
        <v>0</v>
      </c>
      <c r="AA77" s="148">
        <f>Berechnung2!N57</f>
        <v>0</v>
      </c>
      <c r="AB77" s="148" t="str">
        <f>Berechnung2!O57</f>
        <v>OAS auffällig niedrig oder hoch</v>
      </c>
      <c r="AC77" s="148">
        <f>Berechnung2!P60</f>
        <v>0</v>
      </c>
      <c r="AD77" s="148">
        <f>Berechnung2!Q57</f>
        <v>0</v>
      </c>
      <c r="AE77" s="6"/>
      <c r="AF77" s="6"/>
      <c r="AG77" s="6"/>
      <c r="AH77" s="6"/>
      <c r="AI77" s="6"/>
      <c r="AJ77" s="6"/>
      <c r="AK77" s="6"/>
      <c r="AL77" s="6"/>
      <c r="AM77" s="6"/>
    </row>
    <row r="78" spans="2:39" hidden="1">
      <c r="B78" s="149">
        <f>Berechnung2!B58</f>
        <v>0</v>
      </c>
      <c r="C78" s="148">
        <f>Berechnung2!C58</f>
        <v>1E-3</v>
      </c>
      <c r="D78" s="194">
        <f>Berechnung2!C58</f>
        <v>1E-3</v>
      </c>
      <c r="E78" s="194">
        <f>Berechnung2!F58</f>
        <v>0</v>
      </c>
      <c r="F78" s="194"/>
      <c r="G78" s="194"/>
      <c r="H78" s="194"/>
      <c r="I78" s="194"/>
      <c r="J78" s="194"/>
      <c r="K78" s="194"/>
      <c r="L78" s="194"/>
      <c r="M78" s="194"/>
      <c r="N78" s="194"/>
      <c r="O78" s="194"/>
      <c r="P78" s="194"/>
      <c r="Q78" s="194"/>
      <c r="R78" s="194"/>
      <c r="S78" s="194">
        <f>Berechnung2!F58</f>
        <v>0</v>
      </c>
      <c r="T78" s="152">
        <f>Berechnung2!G58</f>
        <v>0.94899999999999995</v>
      </c>
      <c r="U78" s="152"/>
      <c r="V78" s="152">
        <f>Berechnung2!H58</f>
        <v>0.95</v>
      </c>
      <c r="W78" s="152">
        <f>Berechnung2!I58</f>
        <v>0</v>
      </c>
      <c r="X78" s="152">
        <f>Berechnung2!J58</f>
        <v>0.98899999999999999</v>
      </c>
      <c r="Y78" s="152">
        <f>Berechnung2!K58</f>
        <v>0.99</v>
      </c>
      <c r="Z78" s="148">
        <f>Berechnung2!L58</f>
        <v>0</v>
      </c>
      <c r="AA78" s="148">
        <f>Berechnung2!N58</f>
        <v>0</v>
      </c>
      <c r="AB78" s="148" t="str">
        <f>Berechnung2!O58</f>
        <v>OAS auffällig niedrig oder hoch</v>
      </c>
      <c r="AC78" s="148">
        <f>Berechnung2!P61</f>
        <v>0</v>
      </c>
      <c r="AD78" s="148">
        <f>Berechnung2!Q58</f>
        <v>0</v>
      </c>
      <c r="AE78" s="6"/>
      <c r="AF78" s="6"/>
      <c r="AG78" s="6"/>
      <c r="AH78" s="6"/>
      <c r="AI78" s="6"/>
      <c r="AJ78" s="6"/>
      <c r="AK78" s="6"/>
      <c r="AL78" s="6"/>
      <c r="AM78" s="6"/>
    </row>
    <row r="79" spans="2:39" hidden="1">
      <c r="B79" s="149">
        <f>Berechnung2!B59</f>
        <v>0</v>
      </c>
      <c r="C79" s="148">
        <f>Berechnung2!C59</f>
        <v>0</v>
      </c>
      <c r="D79" s="194">
        <f>Berechnung2!D59</f>
        <v>0</v>
      </c>
      <c r="E79" s="194">
        <f>Berechnung2!F59</f>
        <v>0</v>
      </c>
      <c r="F79" s="194"/>
      <c r="G79" s="194"/>
      <c r="H79" s="194"/>
      <c r="I79" s="194"/>
      <c r="J79" s="194"/>
      <c r="K79" s="194"/>
      <c r="L79" s="194"/>
      <c r="M79" s="194"/>
      <c r="N79" s="194"/>
      <c r="O79" s="194"/>
      <c r="P79" s="194"/>
      <c r="Q79" s="194"/>
      <c r="R79" s="194"/>
      <c r="S79" s="194">
        <f>Berechnung2!F59</f>
        <v>0</v>
      </c>
      <c r="T79" s="152">
        <f>Berechnung2!G59</f>
        <v>0</v>
      </c>
      <c r="U79" s="152"/>
      <c r="V79" s="152">
        <f>Berechnung2!H59</f>
        <v>0</v>
      </c>
      <c r="W79" s="152">
        <f>Berechnung2!I59</f>
        <v>0</v>
      </c>
      <c r="X79" s="152">
        <f>Berechnung2!J59</f>
        <v>0</v>
      </c>
      <c r="Y79" s="152">
        <f>Berechnung2!K59</f>
        <v>0</v>
      </c>
      <c r="Z79" s="148">
        <f>Berechnung2!L59</f>
        <v>0</v>
      </c>
      <c r="AA79" s="148">
        <f>Berechnung2!N59</f>
        <v>0</v>
      </c>
      <c r="AB79" s="148">
        <f>Berechnung2!O59</f>
        <v>0</v>
      </c>
      <c r="AC79" s="115"/>
      <c r="AD79" s="148">
        <f>Berechnung2!Q59</f>
        <v>0</v>
      </c>
      <c r="AE79" s="6"/>
      <c r="AF79" s="6"/>
      <c r="AG79" s="6"/>
      <c r="AH79" s="6"/>
      <c r="AI79" s="6"/>
      <c r="AJ79" s="6"/>
      <c r="AK79" s="6"/>
      <c r="AL79" s="6"/>
      <c r="AM79" s="6"/>
    </row>
    <row r="80" spans="2:39" hidden="1">
      <c r="B80" s="149">
        <f>Berechnung2!B60</f>
        <v>0</v>
      </c>
      <c r="C80" s="148">
        <f>Berechnung2!C60</f>
        <v>0</v>
      </c>
      <c r="D80" s="194">
        <f>Berechnung2!D60</f>
        <v>0</v>
      </c>
      <c r="E80" s="194">
        <f>Berechnung2!F60</f>
        <v>0</v>
      </c>
      <c r="F80" s="194"/>
      <c r="G80" s="194"/>
      <c r="H80" s="194"/>
      <c r="I80" s="194"/>
      <c r="J80" s="194"/>
      <c r="K80" s="194"/>
      <c r="L80" s="194"/>
      <c r="M80" s="194"/>
      <c r="N80" s="194"/>
      <c r="O80" s="194"/>
      <c r="P80" s="194"/>
      <c r="Q80" s="194"/>
      <c r="R80" s="194"/>
      <c r="S80" s="194">
        <f>Berechnung2!F60</f>
        <v>0</v>
      </c>
      <c r="T80" s="152">
        <f>Berechnung2!G60</f>
        <v>0</v>
      </c>
      <c r="U80" s="152"/>
      <c r="V80" s="152">
        <f>Berechnung2!H60</f>
        <v>0</v>
      </c>
      <c r="W80" s="152">
        <f>Berechnung2!I60</f>
        <v>0</v>
      </c>
      <c r="X80" s="152">
        <f>Berechnung2!J60</f>
        <v>0</v>
      </c>
      <c r="Y80" s="152">
        <f>Berechnung2!K60</f>
        <v>0</v>
      </c>
      <c r="Z80" s="148">
        <f>Berechnung2!L60</f>
        <v>0</v>
      </c>
      <c r="AA80" s="148">
        <f>Berechnung2!N60</f>
        <v>0</v>
      </c>
      <c r="AB80" s="148">
        <f>Berechnung2!O60</f>
        <v>0</v>
      </c>
      <c r="AC80" s="115"/>
      <c r="AD80" s="148">
        <f>Berechnung2!Q60</f>
        <v>0</v>
      </c>
      <c r="AE80" s="6"/>
      <c r="AF80" s="6"/>
      <c r="AG80" s="6"/>
      <c r="AH80" s="6"/>
      <c r="AI80" s="6"/>
      <c r="AJ80" s="6"/>
      <c r="AK80" s="6"/>
      <c r="AL80" s="6"/>
      <c r="AM80" s="6"/>
    </row>
    <row r="81" spans="2:39" hidden="1">
      <c r="B81" s="149">
        <f>Berechnung2!B61</f>
        <v>0</v>
      </c>
      <c r="C81" s="148">
        <f>Berechnung2!C61</f>
        <v>0</v>
      </c>
      <c r="D81" s="194">
        <f>Berechnung2!D61</f>
        <v>0</v>
      </c>
      <c r="E81" s="194">
        <f>Berechnung2!F61</f>
        <v>0</v>
      </c>
      <c r="F81" s="194"/>
      <c r="G81" s="194"/>
      <c r="H81" s="194"/>
      <c r="I81" s="194"/>
      <c r="J81" s="194"/>
      <c r="K81" s="194"/>
      <c r="L81" s="194"/>
      <c r="M81" s="194"/>
      <c r="N81" s="194"/>
      <c r="O81" s="194"/>
      <c r="P81" s="194"/>
      <c r="Q81" s="194"/>
      <c r="R81" s="194"/>
      <c r="S81" s="194">
        <f>Berechnung2!F61</f>
        <v>0</v>
      </c>
      <c r="T81" s="152">
        <f>Berechnung2!G61</f>
        <v>0</v>
      </c>
      <c r="U81" s="152"/>
      <c r="V81" s="152">
        <f>Berechnung2!H61</f>
        <v>0</v>
      </c>
      <c r="W81" s="152">
        <f>Berechnung2!I61</f>
        <v>0</v>
      </c>
      <c r="X81" s="152">
        <f>Berechnung2!J61</f>
        <v>0</v>
      </c>
      <c r="Y81" s="152">
        <f>Berechnung2!K61</f>
        <v>0</v>
      </c>
      <c r="Z81" s="148">
        <f>Berechnung2!L61</f>
        <v>0</v>
      </c>
      <c r="AA81" s="148">
        <f>Berechnung2!N61</f>
        <v>0</v>
      </c>
      <c r="AB81" s="153" t="s">
        <v>145</v>
      </c>
      <c r="AD81" s="148">
        <f>Berechnung2!Q61</f>
        <v>0</v>
      </c>
      <c r="AE81" s="6"/>
      <c r="AF81" s="6"/>
      <c r="AG81" s="6"/>
      <c r="AH81" s="6"/>
      <c r="AI81" s="6"/>
      <c r="AJ81" s="6"/>
      <c r="AK81" s="6"/>
      <c r="AL81" s="6"/>
      <c r="AM81" s="6"/>
    </row>
    <row r="82" spans="2:39" hidden="1">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E82" s="6"/>
      <c r="AF82" s="6"/>
      <c r="AG82" s="6"/>
      <c r="AH82" s="6"/>
      <c r="AI82" s="6"/>
      <c r="AJ82" s="6"/>
      <c r="AK82" s="6"/>
      <c r="AL82" s="6"/>
      <c r="AM82" s="6"/>
    </row>
    <row r="83" spans="2:39">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E83" s="6"/>
      <c r="AF83" s="6"/>
      <c r="AG83" s="6"/>
      <c r="AH83" s="6"/>
      <c r="AI83" s="6"/>
      <c r="AJ83" s="6"/>
      <c r="AK83" s="6"/>
      <c r="AL83" s="6"/>
      <c r="AM83" s="6"/>
    </row>
  </sheetData>
  <sheetProtection algorithmName="SHA-512" hashValue="6WhYSO3yt9HJoqlTrROCSfvwZsOTIB4Z9bSGwXWC/dwedChxzKeYDPakchI8FaTXwaqXx/AUD7pwEc9vM5jPMA==" saltValue="FyfG8cknGDZgIeXWiLT/nA==" spinCount="100000" sheet="1" objects="1" scenarios="1" selectLockedCells="1"/>
  <dataConsolidate/>
  <customSheetViews>
    <customSheetView guid="{DAA0C1F4-4D8F-4BD8-91F9-40281B589772}" showGridLines="0">
      <selection activeCell="K19" sqref="K19"/>
      <pageMargins left="7.874015748031496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headerFooter>
    </customSheetView>
    <customSheetView guid="{AD479C9E-06F7-4C03-8179-295428B49475}" scale="106" showGridLines="0">
      <selection activeCell="E24" sqref="E24"/>
      <pageMargins left="7.874015748031496E-2" right="3.937007874015748E-2" top="0.27559055118110237" bottom="0.27559055118110237" header="0.11811023622047245" footer="0.11811023622047245"/>
      <pageSetup paperSize="9" orientation="landscape" r:id="rId2"/>
      <headerFooter>
        <oddFooter>&amp;L&amp;"Arial,Standard"&amp;7&amp;F&amp;C&amp;"Arial,Standard"&amp;7 © DKG  Alle Rechte vorbehalten&amp;R&amp;"Arial,Standard"&amp;7&amp;P</oddFooter>
      </headerFooter>
    </customSheetView>
  </customSheetViews>
  <mergeCells count="80">
    <mergeCell ref="B53:Y53"/>
    <mergeCell ref="E44:R44"/>
    <mergeCell ref="E45:R45"/>
    <mergeCell ref="E46:R46"/>
    <mergeCell ref="E47:R47"/>
    <mergeCell ref="S44:AA44"/>
    <mergeCell ref="E48:R48"/>
    <mergeCell ref="S47:AA47"/>
    <mergeCell ref="C48:D48"/>
    <mergeCell ref="S48:AA48"/>
    <mergeCell ref="S45:AA45"/>
    <mergeCell ref="C47:D47"/>
    <mergeCell ref="C45:D45"/>
    <mergeCell ref="C46:D46"/>
    <mergeCell ref="C44:D44"/>
    <mergeCell ref="C42:D42"/>
    <mergeCell ref="C41:D41"/>
    <mergeCell ref="E41:R41"/>
    <mergeCell ref="E42:R42"/>
    <mergeCell ref="C39:D39"/>
    <mergeCell ref="C40:D40"/>
    <mergeCell ref="E40:R40"/>
    <mergeCell ref="E39:R39"/>
    <mergeCell ref="S39:AA39"/>
    <mergeCell ref="T8:W8"/>
    <mergeCell ref="E12:S12"/>
    <mergeCell ref="W12:Y12"/>
    <mergeCell ref="Z15:Z24"/>
    <mergeCell ref="B10:AA10"/>
    <mergeCell ref="B12:D12"/>
    <mergeCell ref="T13:V13"/>
    <mergeCell ref="B17:B18"/>
    <mergeCell ref="E13:S13"/>
    <mergeCell ref="D17:D18"/>
    <mergeCell ref="O17:P17"/>
    <mergeCell ref="E17:N17"/>
    <mergeCell ref="U17:U18"/>
    <mergeCell ref="W13:Y13"/>
    <mergeCell ref="D15:R15"/>
    <mergeCell ref="S43:AA43"/>
    <mergeCell ref="S46:AA46"/>
    <mergeCell ref="S42:AA42"/>
    <mergeCell ref="S40:AA40"/>
    <mergeCell ref="S41:AA41"/>
    <mergeCell ref="T15:Y15"/>
    <mergeCell ref="S37:AA37"/>
    <mergeCell ref="E36:R36"/>
    <mergeCell ref="S38:AA38"/>
    <mergeCell ref="X17:X18"/>
    <mergeCell ref="AA17:AA18"/>
    <mergeCell ref="W16:W24"/>
    <mergeCell ref="C37:D37"/>
    <mergeCell ref="C38:D38"/>
    <mergeCell ref="E38:R38"/>
    <mergeCell ref="E37:R37"/>
    <mergeCell ref="Q17:Q18"/>
    <mergeCell ref="R17:R18"/>
    <mergeCell ref="B28:C28"/>
    <mergeCell ref="B31:AB31"/>
    <mergeCell ref="S36:AA36"/>
    <mergeCell ref="T24:V24"/>
    <mergeCell ref="T25:V25"/>
    <mergeCell ref="X24:Y24"/>
    <mergeCell ref="X25:Y25"/>
    <mergeCell ref="C43:D43"/>
    <mergeCell ref="E43:R43"/>
    <mergeCell ref="C6:Z6"/>
    <mergeCell ref="V17:V18"/>
    <mergeCell ref="X8:Z8"/>
    <mergeCell ref="Y17:Y18"/>
    <mergeCell ref="T17:T18"/>
    <mergeCell ref="T12:V12"/>
    <mergeCell ref="Z12:AA12"/>
    <mergeCell ref="C17:C18"/>
    <mergeCell ref="Z13:AA13"/>
    <mergeCell ref="S15:S24"/>
    <mergeCell ref="C8:E8"/>
    <mergeCell ref="B13:D13"/>
    <mergeCell ref="B32:AA32"/>
    <mergeCell ref="C36:D36"/>
  </mergeCells>
  <phoneticPr fontId="41" type="noConversion"/>
  <conditionalFormatting sqref="C19">
    <cfRule type="expression" dxfId="164" priority="341" stopIfTrue="1">
      <formula>OR($B19="nicht relevant",$B19="EZ")</formula>
    </cfRule>
  </conditionalFormatting>
  <conditionalFormatting sqref="V30">
    <cfRule type="cellIs" dxfId="163" priority="2703" stopIfTrue="1" operator="equal">
      <formula>"---"</formula>
    </cfRule>
  </conditionalFormatting>
  <conditionalFormatting sqref="X21">
    <cfRule type="expression" dxfId="162" priority="242" stopIfTrue="1">
      <formula>OR($B21="nicht relevant",$B21="EZ")</formula>
    </cfRule>
    <cfRule type="expression" dxfId="161" priority="247" stopIfTrue="1">
      <formula>LEN(TRIM(X21))=0</formula>
    </cfRule>
    <cfRule type="cellIs" dxfId="160" priority="252" stopIfTrue="1" operator="greaterThan">
      <formula>T21</formula>
    </cfRule>
  </conditionalFormatting>
  <conditionalFormatting sqref="X22">
    <cfRule type="expression" dxfId="159" priority="241" stopIfTrue="1">
      <formula>OR($B22="nicht relevant",$B22="EZ")</formula>
    </cfRule>
    <cfRule type="expression" dxfId="158" priority="246" stopIfTrue="1">
      <formula>LEN(TRIM(X22))=0</formula>
    </cfRule>
    <cfRule type="cellIs" dxfId="157" priority="251" stopIfTrue="1" operator="greaterThan">
      <formula>T22</formula>
    </cfRule>
  </conditionalFormatting>
  <conditionalFormatting sqref="Y21">
    <cfRule type="expression" dxfId="156" priority="185" stopIfTrue="1">
      <formula>OR($B21="nicht relevant",$B21="EZ")</formula>
    </cfRule>
    <cfRule type="expression" dxfId="155" priority="3156" stopIfTrue="1">
      <formula>LEN(TRIM(Y21))=0</formula>
    </cfRule>
    <cfRule type="cellIs" dxfId="154" priority="3157" stopIfTrue="1" operator="greaterThan">
      <formula>T21</formula>
    </cfRule>
  </conditionalFormatting>
  <conditionalFormatting sqref="Y22">
    <cfRule type="expression" dxfId="153" priority="184" stopIfTrue="1">
      <formula>OR($B22="nicht relevant",$B22="EZ")</formula>
    </cfRule>
    <cfRule type="expression" dxfId="152" priority="3159" stopIfTrue="1">
      <formula>LEN(TRIM(Y22))=0</formula>
    </cfRule>
    <cfRule type="cellIs" dxfId="151" priority="3160" stopIfTrue="1" operator="greaterThan">
      <formula>T22</formula>
    </cfRule>
  </conditionalFormatting>
  <conditionalFormatting sqref="E21:L21 N21:Q21">
    <cfRule type="expression" dxfId="150" priority="3144" stopIfTrue="1">
      <formula>OR($B21="nicht relevant",$B21="EZ")</formula>
    </cfRule>
    <cfRule type="expression" dxfId="149" priority="3145" stopIfTrue="1">
      <formula>LEN(TRIM(E21))=0</formula>
    </cfRule>
  </conditionalFormatting>
  <conditionalFormatting sqref="E22:L22 N22:R22">
    <cfRule type="expression" dxfId="148" priority="176" stopIfTrue="1">
      <formula>OR($B22="nicht relevant",$B22="EZ")</formula>
    </cfRule>
    <cfRule type="expression" dxfId="147" priority="3139" stopIfTrue="1">
      <formula>LEN(TRIM(E22))=0</formula>
    </cfRule>
  </conditionalFormatting>
  <conditionalFormatting sqref="R21">
    <cfRule type="expression" dxfId="146" priority="170" stopIfTrue="1">
      <formula>OR($B21="nicht relevant",$B21="EZ")</formula>
    </cfRule>
    <cfRule type="expression" dxfId="145" priority="173" stopIfTrue="1">
      <formula>LEN(TRIM(R21))=0</formula>
    </cfRule>
  </conditionalFormatting>
  <conditionalFormatting sqref="R22">
    <cfRule type="expression" dxfId="144" priority="169" stopIfTrue="1">
      <formula>OR($B22="nicht relevant",$B22="EZ")</formula>
    </cfRule>
    <cfRule type="expression" dxfId="143" priority="172" stopIfTrue="1">
      <formula>LEN(TRIM(R22))=0</formula>
    </cfRule>
  </conditionalFormatting>
  <conditionalFormatting sqref="T21">
    <cfRule type="expression" dxfId="142" priority="267" stopIfTrue="1">
      <formula>OR($B21="nicht relevant",$B21="EZ")</formula>
    </cfRule>
    <cfRule type="expression" dxfId="141" priority="272" stopIfTrue="1">
      <formula>LEN(TRIM(T21))=0</formula>
    </cfRule>
    <cfRule type="cellIs" dxfId="140" priority="277" stopIfTrue="1" operator="greaterThan">
      <formula>D21</formula>
    </cfRule>
  </conditionalFormatting>
  <conditionalFormatting sqref="T22:T23">
    <cfRule type="expression" dxfId="139" priority="266" stopIfTrue="1">
      <formula>OR($B22="nicht relevant",$B22="EZ")</formula>
    </cfRule>
    <cfRule type="expression" dxfId="138" priority="271" stopIfTrue="1">
      <formula>LEN(TRIM(T22))=0</formula>
    </cfRule>
    <cfRule type="cellIs" dxfId="137" priority="276" stopIfTrue="1" operator="greaterThan">
      <formula>D22</formula>
    </cfRule>
  </conditionalFormatting>
  <conditionalFormatting sqref="U21">
    <cfRule type="expression" dxfId="136" priority="161" stopIfTrue="1">
      <formula>OR($B21="nicht relevant",$B21="EZ")</formula>
    </cfRule>
    <cfRule type="expression" dxfId="135" priority="164" stopIfTrue="1">
      <formula>LEN(TRIM(U21))=0</formula>
    </cfRule>
    <cfRule type="cellIs" dxfId="134" priority="167" stopIfTrue="1" operator="greaterThan">
      <formula>$D$21</formula>
    </cfRule>
  </conditionalFormatting>
  <conditionalFormatting sqref="V28">
    <cfRule type="cellIs" dxfId="133" priority="150" stopIfTrue="1" operator="equal">
      <formula>"---"</formula>
    </cfRule>
    <cfRule type="cellIs" dxfId="132" priority="151" stopIfTrue="1" operator="between">
      <formula>$V$67</formula>
      <formula>$X$67</formula>
    </cfRule>
    <cfRule type="cellIs" dxfId="131" priority="152" stopIfTrue="1" operator="between">
      <formula>$W$68</formula>
      <formula>$X$68</formula>
    </cfRule>
  </conditionalFormatting>
  <conditionalFormatting sqref="E23:R23">
    <cfRule type="expression" dxfId="130" priority="174" stopIfTrue="1">
      <formula>OR($B23="nicht relevant",$B23="EZ")</formula>
    </cfRule>
    <cfRule type="expression" dxfId="129" priority="175" stopIfTrue="1">
      <formula>LEN(TRIM(E23))=0</formula>
    </cfRule>
  </conditionalFormatting>
  <conditionalFormatting sqref="R23">
    <cfRule type="expression" dxfId="128" priority="168" stopIfTrue="1">
      <formula>OR($B23="nicht relevant",$B23="EZ")</formula>
    </cfRule>
    <cfRule type="expression" dxfId="127" priority="171" stopIfTrue="1">
      <formula>LEN(TRIM(R23))=0</formula>
    </cfRule>
  </conditionalFormatting>
  <conditionalFormatting sqref="C20">
    <cfRule type="expression" dxfId="126" priority="139" stopIfTrue="1">
      <formula>OR($B20="nicht relevant",$B20="EZ")</formula>
    </cfRule>
  </conditionalFormatting>
  <conditionalFormatting sqref="C21">
    <cfRule type="expression" dxfId="125" priority="138" stopIfTrue="1">
      <formula>OR($B21="nicht relevant",$B21="EZ")</formula>
    </cfRule>
  </conditionalFormatting>
  <conditionalFormatting sqref="C22">
    <cfRule type="expression" dxfId="124" priority="137" stopIfTrue="1">
      <formula>OR($B22="nicht relevant",$B22="EZ")</formula>
    </cfRule>
  </conditionalFormatting>
  <conditionalFormatting sqref="C23">
    <cfRule type="expression" dxfId="123" priority="136" stopIfTrue="1">
      <formula>OR($B23="nicht relevant",$B23="EZ")</formula>
    </cfRule>
  </conditionalFormatting>
  <conditionalFormatting sqref="C24:C25">
    <cfRule type="expression" dxfId="122" priority="135" stopIfTrue="1">
      <formula>OR($B24="nicht relevant",$B24="EZ")</formula>
    </cfRule>
  </conditionalFormatting>
  <conditionalFormatting sqref="E19:L19 N19:R19">
    <cfRule type="expression" dxfId="121" priority="127" stopIfTrue="1">
      <formula>OR($B19="nicht relevant",$B19="EZ")</formula>
    </cfRule>
    <cfRule type="expression" dxfId="120" priority="128" stopIfTrue="1">
      <formula>LEN(TRIM(E19))=0</formula>
    </cfRule>
  </conditionalFormatting>
  <conditionalFormatting sqref="R19">
    <cfRule type="expression" dxfId="119" priority="125" stopIfTrue="1">
      <formula>OR($B19="nicht relevant",$B19="EZ")</formula>
    </cfRule>
    <cfRule type="expression" dxfId="118" priority="126" stopIfTrue="1">
      <formula>LEN(TRIM(R19))=0</formula>
    </cfRule>
  </conditionalFormatting>
  <conditionalFormatting sqref="E20:L20 N20:R20">
    <cfRule type="expression" dxfId="117" priority="123" stopIfTrue="1">
      <formula>OR($B20="nicht relevant",$B20="EZ")</formula>
    </cfRule>
    <cfRule type="expression" dxfId="116" priority="124" stopIfTrue="1">
      <formula>LEN(TRIM(E20))=0</formula>
    </cfRule>
  </conditionalFormatting>
  <conditionalFormatting sqref="R20">
    <cfRule type="expression" dxfId="115" priority="121" stopIfTrue="1">
      <formula>OR($B20="nicht relevant",$B20="EZ")</formula>
    </cfRule>
    <cfRule type="expression" dxfId="114" priority="122" stopIfTrue="1">
      <formula>LEN(TRIM(R20))=0</formula>
    </cfRule>
  </conditionalFormatting>
  <conditionalFormatting sqref="T20">
    <cfRule type="expression" dxfId="113" priority="116" stopIfTrue="1">
      <formula>OR($B20="nicht relevant",$B20="EZ")</formula>
    </cfRule>
    <cfRule type="expression" dxfId="112" priority="117" stopIfTrue="1">
      <formula>LEN(TRIM(T20))=0</formula>
    </cfRule>
    <cfRule type="cellIs" dxfId="111" priority="118" stopIfTrue="1" operator="greaterThan">
      <formula>D20</formula>
    </cfRule>
  </conditionalFormatting>
  <conditionalFormatting sqref="U20">
    <cfRule type="expression" dxfId="110" priority="113" stopIfTrue="1">
      <formula>OR($B20="nicht relevant",$B20="EZ")</formula>
    </cfRule>
    <cfRule type="expression" dxfId="109" priority="114" stopIfTrue="1">
      <formula>LEN(TRIM(U20))=0</formula>
    </cfRule>
    <cfRule type="cellIs" dxfId="108" priority="115" stopIfTrue="1" operator="greaterThan">
      <formula>$D$20</formula>
    </cfRule>
  </conditionalFormatting>
  <conditionalFormatting sqref="T19">
    <cfRule type="expression" dxfId="107" priority="108" stopIfTrue="1">
      <formula>OR($B19="nicht relevant",$B19="EZ")</formula>
    </cfRule>
    <cfRule type="expression" dxfId="106" priority="109" stopIfTrue="1">
      <formula>LEN(TRIM(T19))=0</formula>
    </cfRule>
    <cfRule type="cellIs" dxfId="105" priority="110" stopIfTrue="1" operator="greaterThan">
      <formula>D19</formula>
    </cfRule>
  </conditionalFormatting>
  <conditionalFormatting sqref="U19">
    <cfRule type="expression" dxfId="104" priority="105" stopIfTrue="1">
      <formula>OR($B19="nicht relevant",$B19="EZ")</formula>
    </cfRule>
    <cfRule type="expression" dxfId="103" priority="106" stopIfTrue="1">
      <formula>LEN(TRIM(U19))=0</formula>
    </cfRule>
    <cfRule type="cellIs" dxfId="102" priority="107" stopIfTrue="1" operator="greaterThan">
      <formula>$D$19</formula>
    </cfRule>
  </conditionalFormatting>
  <conditionalFormatting sqref="X20">
    <cfRule type="expression" dxfId="101" priority="100" stopIfTrue="1">
      <formula>OR($B20="nicht relevant",$B20="EZ")</formula>
    </cfRule>
    <cfRule type="expression" dxfId="100" priority="101" stopIfTrue="1">
      <formula>LEN(TRIM(X20))=0</formula>
    </cfRule>
    <cfRule type="cellIs" dxfId="99" priority="102" stopIfTrue="1" operator="greaterThan">
      <formula>T20</formula>
    </cfRule>
  </conditionalFormatting>
  <conditionalFormatting sqref="Y20">
    <cfRule type="expression" dxfId="98" priority="99" stopIfTrue="1">
      <formula>OR($B20="nicht relevant",$B20="EZ")</formula>
    </cfRule>
    <cfRule type="expression" dxfId="97" priority="103" stopIfTrue="1">
      <formula>LEN(TRIM(Y20))=0</formula>
    </cfRule>
    <cfRule type="cellIs" dxfId="96" priority="104" stopIfTrue="1" operator="greaterThan">
      <formula>T20</formula>
    </cfRule>
  </conditionalFormatting>
  <conditionalFormatting sqref="X19">
    <cfRule type="expression" dxfId="95" priority="94" stopIfTrue="1">
      <formula>OR($B19="nicht relevant",$B19="EZ")</formula>
    </cfRule>
    <cfRule type="expression" dxfId="94" priority="95" stopIfTrue="1">
      <formula>LEN(TRIM(X19))=0</formula>
    </cfRule>
    <cfRule type="cellIs" dxfId="93" priority="96" stopIfTrue="1" operator="greaterThan">
      <formula>T19</formula>
    </cfRule>
  </conditionalFormatting>
  <conditionalFormatting sqref="Y19">
    <cfRule type="expression" dxfId="92" priority="93" stopIfTrue="1">
      <formula>OR($B19="nicht relevant",$B19="EZ")</formula>
    </cfRule>
    <cfRule type="expression" dxfId="91" priority="97" stopIfTrue="1">
      <formula>LEN(TRIM(Y19))=0</formula>
    </cfRule>
    <cfRule type="cellIs" dxfId="90" priority="98" stopIfTrue="1" operator="greaterThan">
      <formula>T19</formula>
    </cfRule>
  </conditionalFormatting>
  <conditionalFormatting sqref="AA19">
    <cfRule type="expression" dxfId="89" priority="61" stopIfTrue="1">
      <formula>OR($B19="nicht relevant",$B19="EZ")</formula>
    </cfRule>
  </conditionalFormatting>
  <conditionalFormatting sqref="AA20">
    <cfRule type="expression" dxfId="88" priority="60" stopIfTrue="1">
      <formula>OR($B20="nicht relevant",$B20="EZ")</formula>
    </cfRule>
  </conditionalFormatting>
  <conditionalFormatting sqref="AA21">
    <cfRule type="expression" dxfId="87" priority="59" stopIfTrue="1">
      <formula>OR($B21="nicht relevant",$B21="EZ")</formula>
    </cfRule>
  </conditionalFormatting>
  <conditionalFormatting sqref="AA22">
    <cfRule type="expression" dxfId="86" priority="58" stopIfTrue="1">
      <formula>OR($B22="nicht relevant",$B22="EZ")</formula>
    </cfRule>
  </conditionalFormatting>
  <conditionalFormatting sqref="B13:D13">
    <cfRule type="expression" dxfId="85" priority="56" stopIfTrue="1">
      <formula>$B$13="die inkorrekten und unvollständigen Einträge beheben"</formula>
    </cfRule>
  </conditionalFormatting>
  <conditionalFormatting sqref="B12:D12">
    <cfRule type="expression" dxfId="84" priority="55" stopIfTrue="1">
      <formula>$B$12="Nicht in Ordnung"</formula>
    </cfRule>
  </conditionalFormatting>
  <conditionalFormatting sqref="V19:V20">
    <cfRule type="expression" dxfId="83" priority="3227" stopIfTrue="1">
      <formula>OR($B19="nicht relevant",$B19="EZ")</formula>
    </cfRule>
    <cfRule type="expression" dxfId="82" priority="3228" stopIfTrue="1">
      <formula>LEN(TRIM(V19))=0</formula>
    </cfRule>
  </conditionalFormatting>
  <conditionalFormatting sqref="AA23">
    <cfRule type="expression" dxfId="81" priority="38" stopIfTrue="1">
      <formula>OR($B23="nicht relevant",$B23="EZ")</formula>
    </cfRule>
  </conditionalFormatting>
  <conditionalFormatting sqref="X23">
    <cfRule type="expression" dxfId="80" priority="33" stopIfTrue="1">
      <formula>OR($B23="nicht relevant",$B23="EZ")</formula>
    </cfRule>
    <cfRule type="expression" dxfId="79" priority="34" stopIfTrue="1">
      <formula>LEN(TRIM(X23))=0</formula>
    </cfRule>
    <cfRule type="cellIs" dxfId="78" priority="35" stopIfTrue="1" operator="greaterThan">
      <formula>T23</formula>
    </cfRule>
  </conditionalFormatting>
  <conditionalFormatting sqref="Y23">
    <cfRule type="expression" dxfId="77" priority="32" stopIfTrue="1">
      <formula>OR($B23="nicht relevant",$B23="EZ")</formula>
    </cfRule>
    <cfRule type="expression" dxfId="76" priority="36" stopIfTrue="1">
      <formula>LEN(TRIM(Y23))=0</formula>
    </cfRule>
    <cfRule type="cellIs" dxfId="75" priority="37" stopIfTrue="1" operator="greaterThan">
      <formula>T23</formula>
    </cfRule>
  </conditionalFormatting>
  <conditionalFormatting sqref="U22">
    <cfRule type="expression" dxfId="74" priority="160" stopIfTrue="1">
      <formula>OR($B22="nicht relevant",$B22="EZ")</formula>
    </cfRule>
    <cfRule type="expression" dxfId="73" priority="163" stopIfTrue="1">
      <formula>LEN(TRIM(U22))=0</formula>
    </cfRule>
    <cfRule type="cellIs" dxfId="72" priority="166" stopIfTrue="1" operator="greaterThan">
      <formula>$D$22</formula>
    </cfRule>
  </conditionalFormatting>
  <conditionalFormatting sqref="U23">
    <cfRule type="expression" dxfId="71" priority="26" stopIfTrue="1">
      <formula>OR($B23="nicht relevant",$B23="EZ")</formula>
    </cfRule>
    <cfRule type="expression" dxfId="70" priority="27" stopIfTrue="1">
      <formula>LEN(TRIM(U23))=0</formula>
    </cfRule>
    <cfRule type="cellIs" dxfId="69" priority="28" stopIfTrue="1" operator="greaterThan">
      <formula>$D$23</formula>
    </cfRule>
  </conditionalFormatting>
  <conditionalFormatting sqref="E24:R24">
    <cfRule type="expression" dxfId="68" priority="7" stopIfTrue="1">
      <formula>OR($B24="nicht relevant",$B24="EZ")</formula>
    </cfRule>
    <cfRule type="expression" dxfId="67" priority="8" stopIfTrue="1">
      <formula>LEN(TRIM(E24))=0</formula>
    </cfRule>
  </conditionalFormatting>
  <conditionalFormatting sqref="R24">
    <cfRule type="expression" dxfId="66" priority="5" stopIfTrue="1">
      <formula>OR($B24="nicht relevant",$B24="EZ")</formula>
    </cfRule>
    <cfRule type="expression" dxfId="65" priority="6" stopIfTrue="1">
      <formula>LEN(TRIM(R24))=0</formula>
    </cfRule>
  </conditionalFormatting>
  <conditionalFormatting sqref="E25:R25">
    <cfRule type="expression" dxfId="64" priority="3" stopIfTrue="1">
      <formula>OR($B25="nicht relevant",$B25="EZ")</formula>
    </cfRule>
  </conditionalFormatting>
  <conditionalFormatting sqref="R25">
    <cfRule type="expression" dxfId="63" priority="1" stopIfTrue="1">
      <formula>OR($B25="nicht relevant",$B25="EZ")</formula>
    </cfRule>
  </conditionalFormatting>
  <conditionalFormatting sqref="D19:D25">
    <cfRule type="expression" dxfId="62" priority="3308" stopIfTrue="1">
      <formula>OR($B19="nicht relevant",$B19="EZ")</formula>
    </cfRule>
    <cfRule type="expression" dxfId="61" priority="3309" stopIfTrue="1">
      <formula>LEN(TRIM(D19))=0</formula>
    </cfRule>
    <cfRule type="cellIs" dxfId="60" priority="3310" stopIfTrue="1" operator="lessThan">
      <formula>$V$65</formula>
    </cfRule>
  </conditionalFormatting>
  <conditionalFormatting sqref="V21:V23">
    <cfRule type="expression" dxfId="59" priority="3311" stopIfTrue="1">
      <formula>OR($B21="nicht relevant",$B21="EZ")</formula>
    </cfRule>
    <cfRule type="expression" dxfId="58" priority="3312" stopIfTrue="1">
      <formula>LEN(TRIM(V21))=0</formula>
    </cfRule>
    <cfRule type="cellIs" dxfId="57" priority="3313" stopIfTrue="1" operator="between">
      <formula>$V$66</formula>
      <formula>$X$66</formula>
    </cfRule>
  </conditionalFormatting>
  <dataValidations count="8">
    <dataValidation type="whole" showInputMessage="1" showErrorMessage="1" errorTitle="Eingabefehler" error="Anzahl Pat. im Follow-Up zu hoch." sqref="T19:T23" xr:uid="{00000000-0002-0000-0900-000000000000}">
      <formula1>0</formula1>
      <formula2>D19-U19</formula2>
    </dataValidation>
    <dataValidation type="whole" allowBlank="1" showInputMessage="1" showErrorMessage="1" errorTitle="Eingabefehler" error="Ganze Zahl zwischen 0 und 5000 eingeben." sqref="E19:R24" xr:uid="{00000000-0002-0000-0900-000001000000}">
      <formula1>0</formula1>
      <formula2>5000</formula2>
    </dataValidation>
    <dataValidation type="decimal" allowBlank="1" showInputMessage="1" showErrorMessage="1" errorTitle="Aufüllhinweis" error="Nur Prozentwerte zwischen 0% und 100% können verwendet werden." sqref="AA19:AA25" xr:uid="{00000000-0002-0000-0900-000002000000}">
      <formula1>0</formula1>
      <formula2>1</formula2>
    </dataValidation>
    <dataValidation type="whole" operator="greaterThanOrEqual" allowBlank="1" showInputMessage="1" showErrorMessage="1" sqref="D19:D25" xr:uid="{00000000-0002-0000-0900-000003000000}">
      <formula1>0</formula1>
    </dataValidation>
    <dataValidation type="whole" showInputMessage="1" showErrorMessage="1" errorTitle="Eingabefehler" error="Anzahl Pat. im Follow-Up zu hoch." sqref="U19:U23" xr:uid="{00000000-0002-0000-0900-000004000000}">
      <formula1>0</formula1>
      <formula2>D19-T19</formula2>
    </dataValidation>
    <dataValidation type="whole" showInputMessage="1" showErrorMessage="1" errorTitle="Eingabefehler" error="Summe Spalten X+ Y (Gestorbene Patienten) darf nicht größer als Spalte T (Patientenrückmeldungen) sein." sqref="Y19:Y23" xr:uid="{00000000-0002-0000-0900-000005000000}">
      <formula1>0</formula1>
      <formula2>$T19-$X19</formula2>
    </dataValidation>
    <dataValidation type="whole" showInputMessage="1" showErrorMessage="1" errorTitle="Eingabefehler" error="Summe Spalten X+ Y (Gestorbene Patienten) darf nicht größer als Spalte T (Patientenrückmeldungen) sein." sqref="X19:X23" xr:uid="{00000000-0002-0000-0900-000006000000}">
      <formula1>0</formula1>
      <formula2>$T19-$Y19</formula2>
    </dataValidation>
    <dataValidation allowBlank="1" showInputMessage="1" showErrorMessage="1" errorTitle="Eingabefehler" error="Ganze Zahl zwischen 0 und 5000 eingeben." sqref="E25:R25" xr:uid="{00000000-0002-0000-0900-000007000000}"/>
  </dataValidations>
  <pageMargins left="0.39370078740157483" right="3.937007874015748E-2" top="0.59055118110236227" bottom="0.39370078740157483" header="0.11811023622047245" footer="0.11811023622047245"/>
  <pageSetup paperSize="9" scale="87" orientation="landscape" r:id="rId3"/>
  <headerFooter>
    <oddFooter>&amp;L&amp;"Arial,Standard"&amp;7&amp;F&amp;C&amp;"Arial,Standard"&amp;7 © DKG  Alle Rechte vorbehalten&amp;R&amp;"Arial,Standard"&amp;7&amp;P</oddFooter>
  </headerFooter>
  <ignoredErrors>
    <ignoredError sqref="E25:R25" unlockedFormula="1"/>
  </ignoredErrors>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dimension ref="A1:BK61"/>
  <sheetViews>
    <sheetView topLeftCell="A3" zoomScale="80" zoomScaleNormal="80" workbookViewId="0">
      <selection activeCell="B21" sqref="B21"/>
    </sheetView>
  </sheetViews>
  <sheetFormatPr baseColWidth="10" defaultColWidth="9" defaultRowHeight="13.5"/>
  <cols>
    <col min="1" max="1" width="20.73046875" style="1" customWidth="1"/>
    <col min="2" max="2" width="37.265625" style="1" customWidth="1"/>
    <col min="3" max="3" width="47.3984375" style="1" customWidth="1"/>
    <col min="4" max="4" width="33.1328125" style="1" customWidth="1"/>
    <col min="5" max="5" width="19.265625" style="1" customWidth="1"/>
    <col min="6" max="6" width="42" style="1" customWidth="1"/>
    <col min="7" max="7" width="46.86328125" style="1" customWidth="1"/>
    <col min="8" max="8" width="29.3984375" style="12" customWidth="1"/>
    <col min="9" max="9" width="39.59765625" style="19" customWidth="1"/>
    <col min="10" max="10" width="38.73046875" style="236" customWidth="1"/>
    <col min="11" max="11" width="39" style="234" customWidth="1"/>
    <col min="12" max="12" width="29.86328125" style="1" customWidth="1"/>
    <col min="13" max="13" width="32.86328125" style="1" customWidth="1"/>
    <col min="14" max="14" width="27.59765625" style="1" customWidth="1"/>
    <col min="15" max="15" width="24.3984375" style="1" customWidth="1"/>
    <col min="16" max="16" width="52.73046875" style="1" customWidth="1"/>
    <col min="17" max="17" width="42.86328125" style="1" customWidth="1"/>
    <col min="18" max="18" width="41.1328125" style="1" customWidth="1"/>
    <col min="19" max="19" width="27.59765625" style="1" customWidth="1"/>
    <col min="20" max="20" width="21.73046875" style="1" customWidth="1"/>
    <col min="21" max="21" width="19.73046875" style="1" customWidth="1"/>
    <col min="22" max="22" width="18.73046875" style="1" customWidth="1"/>
    <col min="23" max="161" width="11.3984375" style="1" customWidth="1"/>
    <col min="162" max="16384" width="9" style="1"/>
  </cols>
  <sheetData>
    <row r="1" spans="1:63">
      <c r="H1" s="1"/>
      <c r="I1" s="1"/>
      <c r="J1" s="234"/>
    </row>
    <row r="2" spans="1:63" s="22" customFormat="1" ht="20.25" customHeight="1">
      <c r="A2" s="15" t="s">
        <v>92</v>
      </c>
      <c r="J2" s="235"/>
      <c r="K2" s="235"/>
      <c r="AJ2" s="19"/>
      <c r="BJ2" s="1"/>
      <c r="BK2" s="12"/>
    </row>
    <row r="3" spans="1:63" ht="14.25" customHeight="1">
      <c r="AJ3" s="19"/>
      <c r="BK3" s="12"/>
    </row>
    <row r="4" spans="1:63">
      <c r="H4" s="1"/>
      <c r="I4" s="1"/>
      <c r="J4" s="234"/>
      <c r="AJ4" s="19"/>
      <c r="BK4" s="12"/>
    </row>
    <row r="5" spans="1:63" ht="15" customHeight="1">
      <c r="B5" s="54" t="s">
        <v>84</v>
      </c>
      <c r="C5" s="31" t="s">
        <v>76</v>
      </c>
      <c r="D5" s="30" t="s">
        <v>11</v>
      </c>
      <c r="E5" s="55" t="s">
        <v>86</v>
      </c>
      <c r="F5" s="56" t="s">
        <v>87</v>
      </c>
      <c r="H5" s="1"/>
      <c r="I5" s="234"/>
      <c r="J5" s="234"/>
      <c r="K5" s="1"/>
      <c r="AI5" s="28"/>
      <c r="BH5" s="22"/>
      <c r="BI5" s="10"/>
    </row>
    <row r="6" spans="1:63" ht="24.75" customHeight="1">
      <c r="B6" s="76" t="str">
        <f>IF(AND(E6=0,F6=0,Berechnung3!A7="relevant"),B8,IF(OR(Berechnung3!A7="nicht relevant",Berechnung3!A7="EZ"),"",B9))</f>
        <v/>
      </c>
      <c r="C6" s="75">
        <f>Berechnung3!J57</f>
        <v>0</v>
      </c>
      <c r="D6" s="50">
        <f>Berechnung3!J58</f>
        <v>0</v>
      </c>
      <c r="E6" s="77">
        <f>Berechnung3!J56</f>
        <v>0</v>
      </c>
      <c r="F6" s="78">
        <f>Berechnung3!J55</f>
        <v>0</v>
      </c>
      <c r="H6" s="1"/>
      <c r="I6" s="234"/>
      <c r="J6" s="234"/>
      <c r="K6" s="1"/>
      <c r="AI6" s="28"/>
    </row>
    <row r="7" spans="1:63">
      <c r="H7" s="1"/>
      <c r="I7" s="1"/>
      <c r="J7" s="234"/>
      <c r="AJ7" s="28"/>
    </row>
    <row r="8" spans="1:63" ht="13.9">
      <c r="A8" s="26" t="s">
        <v>106</v>
      </c>
      <c r="B8" s="1" t="s">
        <v>120</v>
      </c>
      <c r="H8" s="1"/>
      <c r="I8" s="1"/>
      <c r="J8" s="234"/>
      <c r="AJ8" s="19"/>
    </row>
    <row r="9" spans="1:63">
      <c r="B9" s="1" t="s">
        <v>130</v>
      </c>
      <c r="H9" s="1"/>
      <c r="I9" s="1"/>
      <c r="J9" s="234"/>
      <c r="AJ9" s="19"/>
    </row>
    <row r="10" spans="1:63">
      <c r="H10" s="1"/>
      <c r="I10" s="1"/>
      <c r="J10" s="234"/>
      <c r="AJ10" s="19"/>
    </row>
    <row r="11" spans="1:63" ht="15">
      <c r="A11" s="19"/>
      <c r="B11" s="15" t="s">
        <v>112</v>
      </c>
      <c r="H11" s="1"/>
      <c r="I11" s="1"/>
      <c r="J11" s="234"/>
      <c r="AJ11" s="19"/>
    </row>
    <row r="12" spans="1:63">
      <c r="A12" s="19"/>
      <c r="H12" s="1"/>
      <c r="I12" s="1"/>
      <c r="J12" s="234"/>
      <c r="AJ12" s="19"/>
    </row>
    <row r="13" spans="1:63" ht="15" customHeight="1">
      <c r="A13" s="19"/>
      <c r="B13" s="869" t="s">
        <v>101</v>
      </c>
      <c r="C13" s="871" t="s">
        <v>114</v>
      </c>
      <c r="D13" s="867" t="s">
        <v>59</v>
      </c>
      <c r="E13" s="873" t="s">
        <v>307</v>
      </c>
      <c r="H13" s="1"/>
      <c r="I13" s="1"/>
      <c r="J13" s="234"/>
      <c r="AJ13" s="19"/>
    </row>
    <row r="14" spans="1:63" ht="15" customHeight="1">
      <c r="A14" s="28"/>
      <c r="B14" s="870"/>
      <c r="C14" s="872"/>
      <c r="D14" s="868"/>
      <c r="E14" s="873"/>
      <c r="F14" s="22"/>
      <c r="G14" s="22"/>
      <c r="H14" s="22"/>
      <c r="I14" s="100" t="s">
        <v>307</v>
      </c>
      <c r="J14" s="297" t="s">
        <v>306</v>
      </c>
      <c r="AJ14" s="19"/>
    </row>
    <row r="15" spans="1:63" ht="66.95" customHeight="1">
      <c r="A15" s="121" t="s">
        <v>111</v>
      </c>
      <c r="B15" s="29" t="str">
        <f>CONCATENATE(IF(Berechnung3!$H$2=Berechnung2!$M$33,Berechnung3!$B$2,""),IF(Berechnung3!$H$3=Berechnung2!$M$33,Berechnung3!$B$3,""),IF(Berechnung3!$H$4=Berechnung2!$M$33,Berechnung3!$B$4,""),IF(Berechnung3!$H$5=Berechnung2!$M$33,Berechnung3!$B$5,""),IF(Berechnung3!$H$6=Berechnung2!$M$33,Berechnung3!$B$6,""),IF(Berechnung3!$H$7=Berechnung2!$M$33,Berechnung3!$B$7,""),IF(Berechnung3!$H$8=Berechnung2!$M$33,Berechnung3!$B$8,""))</f>
        <v/>
      </c>
      <c r="C15" s="29">
        <f t="shared" ref="C15:C20" si="0">IF(LEN(B15)&gt;0,"X",0)</f>
        <v>0</v>
      </c>
      <c r="D15" s="107" t="str">
        <f>IF(COUNTIF(Berechnung3!$H$2:$H$8,Berechnung2!$M$33)&gt;0,CONCATENATE("  ",Berechnung2!$F$5,"                                            ",Berechnung2!$M$33),"")</f>
        <v/>
      </c>
      <c r="E15" s="107" t="str">
        <f>IF(COUNTIF(Berechnung3!$H$2:$H$8,Berechnung2!$M$33)&gt;0,"a","")</f>
        <v/>
      </c>
      <c r="G15" s="38" t="e">
        <f t="array" ref="G15">INDEX(B:B,SMALL(IF($C$15:$C$23="X",ROW($15:$23)),1))</f>
        <v>#NUM!</v>
      </c>
      <c r="H15" s="38" t="e">
        <f t="array" ref="H15">INDEX(D:D,SMALL(IF($C$15:$C$23="X",ROW($15:$23)),1))</f>
        <v>#NUM!</v>
      </c>
      <c r="I15" s="193" t="e">
        <f t="array" ref="I15">INDEX(E:E,SMALL(IF($C$15:$C$23="X",ROW($15:$23)),1))</f>
        <v>#NUM!</v>
      </c>
      <c r="J15" s="299" t="e">
        <f>IF(AND(Datendefizite_Matrix!D17="",I15&lt;&gt;""),"Anmerkung OnkoZert : Keine Erläuterung vorhanden",Datendefizite_Matrix!D17)</f>
        <v>#NUM!</v>
      </c>
      <c r="AJ15" s="19"/>
    </row>
    <row r="16" spans="1:63" ht="66.95" customHeight="1">
      <c r="A16" s="133" t="s">
        <v>132</v>
      </c>
      <c r="B16" s="29" t="str">
        <f>CONCATENATE(IF(Berechnung3!$H$9=Berechnung2!$M$34,Berechnung3!$B$2,""),IF(Berechnung3!$H$10=Berechnung2!$M$34,Berechnung3!$B$3,""),IF(Berechnung3!$H$11=Berechnung2!$M$34,Berechnung3!$B$4,""),IF(Berechnung3!$H$12=Berechnung2!$M$34,Berechnung3!$B$5,""),IF(Berechnung3!$H$13=Berechnung2!$M$34,Berechnung3!$B$6,""),IF(Berechnung3!$H$14=Berechnung2!$M$34,Berechnung3!$B$7,""),IF(Berechnung3!$H$15=Berechnung2!$M$34,Berechnung3!$B$8,""))</f>
        <v/>
      </c>
      <c r="C16" s="29">
        <f t="shared" si="0"/>
        <v>0</v>
      </c>
      <c r="D16" s="107" t="str">
        <f>IF(COUNTIF(Berechnung3!$H$9:$H$15,Berechnung2!$M$34)&gt;0,CONCATENATE("",Berechnung2!$C$5,"                                                                ",Berechnung2!$M$34),"")</f>
        <v/>
      </c>
      <c r="E16" s="107" t="str">
        <f>IF(COUNTIF(Berechnung3!$H$9:$H$15,Berechnung2!$M$34)&gt;0,"b","")</f>
        <v/>
      </c>
      <c r="G16" s="38" t="e">
        <f t="array" ref="G16">INDEX(B:B,SMALL(IF($C$15:$C$23="X",ROW($15:$23)),2))</f>
        <v>#NUM!</v>
      </c>
      <c r="H16" s="38" t="e">
        <f t="array" ref="H16">INDEX(D:D,SMALL(IF($C$15:$C$23="X",ROW($15:$23)),2))</f>
        <v>#NUM!</v>
      </c>
      <c r="I16" s="193" t="e">
        <f t="array" ref="I16">INDEX(E:E,SMALL(IF($C$15:$C$23="X",ROW($15:$23)),2))</f>
        <v>#NUM!</v>
      </c>
      <c r="J16" s="299" t="e">
        <f>IF(AND(Datendefizite_Matrix!D18="",I16&lt;&gt;""),"Anmerkung OnkoZert : Keine Erläuterung vorhanden",Datendefizite_Matrix!D18)</f>
        <v>#NUM!</v>
      </c>
      <c r="AJ16" s="19"/>
      <c r="BK16" s="27"/>
    </row>
    <row r="17" spans="1:63" ht="66.95" customHeight="1">
      <c r="A17" s="166" t="s">
        <v>239</v>
      </c>
      <c r="B17" s="29" t="str">
        <f>CONCATENATE(IF(Berechnung3!$H$16=Berechnung2!$M$38,Berechnung3!$B$2,""),IF(Berechnung3!$H$17=Berechnung2!$M$38,Berechnung3!$B$3,""),IF(Berechnung3!$H$18=Berechnung2!$M$38,Berechnung3!$B$4,""),IF(Berechnung3!$H$19=Berechnung2!$M$38,Berechnung3!$B$5,""),IF(Berechnung3!$H$20=Berechnung2!$M$38,Berechnung3!$B$6,""),IF(Berechnung3!$H$21=Berechnung2!$M$38,Berechnung3!$B$7,""),IF(Berechnung3!$H$22=Berechnung2!$M$38,Berechnung3!$B$8,""))</f>
        <v/>
      </c>
      <c r="C17" s="29">
        <f t="shared" si="0"/>
        <v>0</v>
      </c>
      <c r="D17" s="107" t="str">
        <f>IF(COUNTIF(Berechnung3!$H$16:$H$22,Berechnung2!$M$38)&gt;0,CONCATENATE("  ",Berechnung2!$E$5,"- ",Berechnung2!$M$38),"")</f>
        <v/>
      </c>
      <c r="E17" s="107" t="str">
        <f>IF(COUNTIF(Berechnung3!$H$16:$H$22,Berechnung2!$M$38)&gt;0,"c","")</f>
        <v/>
      </c>
      <c r="G17" s="38" t="e">
        <f t="array" ref="G17">INDEX(B:B,SMALL(IF($C$15:$C$23="X",ROW($15:$23)),3))</f>
        <v>#NUM!</v>
      </c>
      <c r="H17" s="38" t="e">
        <f t="array" ref="H17">INDEX(D:D,SMALL(IF($C$15:$C$23="X",ROW($15:$23)),3))</f>
        <v>#NUM!</v>
      </c>
      <c r="I17" s="193" t="e">
        <f t="array" ref="I17">INDEX(E:E,SMALL(IF($C$15:$C$23="X",ROW($15:$23)),3))</f>
        <v>#NUM!</v>
      </c>
      <c r="J17" s="299" t="e">
        <f>IF(AND(Datendefizite_Matrix!D19="",I17&lt;&gt;""),"Anmerkung OnkoZert : Keine Erläuterung vorhanden",Datendefizite_Matrix!D19)</f>
        <v>#NUM!</v>
      </c>
      <c r="AJ17" s="19"/>
      <c r="BK17" s="27"/>
    </row>
    <row r="18" spans="1:63" ht="66.95" customHeight="1">
      <c r="A18" s="166" t="s">
        <v>240</v>
      </c>
      <c r="B18" s="29" t="str">
        <f>CONCATENATE(IF(Berechnung3!$H$23=Berechnung2!$M$39,Berechnung3!$B$2,""),IF(Berechnung3!$H$24=Berechnung2!$M$39,Berechnung3!$B$3,""),IF(Berechnung3!$H$25=Berechnung2!$M$39,Berechnung3!$B$4,""),IF(Berechnung3!$H$26=Berechnung2!$M$39,Berechnung3!$B$5,""),IF(Berechnung3!$H$27=Berechnung2!$M$39,Berechnung3!$B$6,""),IF(Berechnung3!$H$28=Berechnung2!$M$39,Berechnung3!$B$7,""),IF(Berechnung3!$H$29=Berechnung2!$M$39,Berechnung3!$B$8,""))</f>
        <v/>
      </c>
      <c r="C18" s="29">
        <f t="shared" si="0"/>
        <v>0</v>
      </c>
      <c r="D18" s="107" t="str">
        <f>IF(COUNTIF(Berechnung3!$H$23:$H$29,Berechnung2!$M$39)&gt;0,CONCATENATE(" ",Berechnung2!$E$5,"- ",Berechnung2!$M$39),"")</f>
        <v/>
      </c>
      <c r="E18" s="107" t="str">
        <f>IF(COUNTIF(Berechnung3!$H$23:$H$29,Berechnung2!$M$39)&gt;0,"d","")</f>
        <v/>
      </c>
      <c r="G18" s="38" t="e">
        <f t="array" ref="G18">INDEX(B:B,SMALL(IF($C$15:$C$23="X",ROW($15:$23)),4))</f>
        <v>#NUM!</v>
      </c>
      <c r="H18" s="38" t="e">
        <f t="array" ref="H18">INDEX(D:D,SMALL(IF($C$15:$C$23="X",ROW($15:$23)),4))</f>
        <v>#NUM!</v>
      </c>
      <c r="I18" s="193" t="e">
        <f t="array" ref="I18">INDEX(E:E,SMALL(IF($C$15:$C$23="X",ROW($15:$23)),4))</f>
        <v>#NUM!</v>
      </c>
      <c r="J18" s="299" t="e">
        <f>IF(AND(Datendefizite_Matrix!D20="",I18&lt;&gt;""),"Anmerkung OnkoZert : Keine Erläuterung vorhanden",Datendefizite_Matrix!D20)</f>
        <v>#NUM!</v>
      </c>
      <c r="AJ18" s="19"/>
      <c r="BK18" s="27"/>
    </row>
    <row r="19" spans="1:63" ht="66.95" customHeight="1">
      <c r="A19" s="166" t="s">
        <v>241</v>
      </c>
      <c r="B19" s="29" t="str">
        <f>CONCATENATE(IF(Berechnung3!$H$30=Berechnung2!$M$40,Berechnung3!$B$2,""),IF(Berechnung3!$H$31=Berechnung2!$M$40,Berechnung3!$B$3,""),IF(Berechnung3!$H$32=Berechnung2!$M$40,Berechnung3!$B$4,""),IF(Berechnung3!$H$33=Berechnung2!$M$40,Berechnung3!$B$5,""),IF(Berechnung3!$H$34=Berechnung2!$M$40,Berechnung3!$B$6,""),IF(Berechnung3!$H$35=Berechnung2!$M$40,Berechnung3!$B$7,""),IF(Berechnung3!$H$36=Berechnung2!$M$40,Berechnung3!$B$8,""))</f>
        <v/>
      </c>
      <c r="C19" s="29">
        <f t="shared" si="0"/>
        <v>0</v>
      </c>
      <c r="D19" s="107" t="str">
        <f>IF(COUNTIF(Berechnung3!$H$30:$H$36,Berechnung2!$M$40)&gt;0,CONCATENATE("",Berechnung2!$E$5,"- ",Berechnung2!$M$40),"")</f>
        <v/>
      </c>
      <c r="E19" s="107" t="str">
        <f>IF(COUNTIF(Berechnung3!$H$30:$H$36,Berechnung2!$M$40)&gt;0,"e","")</f>
        <v/>
      </c>
      <c r="G19" s="38" t="e">
        <f t="array" ref="G19">INDEX(B:B,SMALL(IF($C$15:$C$23="X",ROW($15:$23)),5))</f>
        <v>#NUM!</v>
      </c>
      <c r="H19" s="38" t="e">
        <f t="array" ref="H19">INDEX(D:D,SMALL(IF($C$15:$C$23="X",ROW($15:$23)),5))</f>
        <v>#NUM!</v>
      </c>
      <c r="I19" s="193" t="e">
        <f t="array" ref="I19">INDEX(E:E,SMALL(IF($C$15:$C$23="X",ROW($15:$23)),5))</f>
        <v>#NUM!</v>
      </c>
      <c r="J19" s="299" t="e">
        <f>IF(AND(Datendefizite_Matrix!D21="",I19&lt;&gt;""),"Anmerkung OnkoZert : Keine Erläuterung vorhanden",Datendefizite_Matrix!D21)</f>
        <v>#NUM!</v>
      </c>
      <c r="AJ19" s="19"/>
      <c r="BK19" s="27"/>
    </row>
    <row r="20" spans="1:63" ht="66.95" customHeight="1">
      <c r="A20" s="166" t="s">
        <v>242</v>
      </c>
      <c r="B20" s="29" t="str">
        <f>CONCATENATE(IF(Berechnung3!$H$37=Berechnung2!$M$41,Berechnung3!$B$2,""),IF(Berechnung3!$H$38=Berechnung2!$M$41,Berechnung3!$B$3,""),IF(Berechnung3!$H$39=Berechnung2!$M$41,Berechnung3!$B$4,""),IF(Berechnung3!$H$40=Berechnung2!$M$41,Berechnung3!$B$5,""),IF(Berechnung3!$H$41=Berechnung2!$M$41,Berechnung3!$B$6,""),IF(Berechnung3!$H$42=Berechnung2!$M$41,Berechnung3!$B$7,""),IF(Berechnung3!$H$43=Berechnung2!$M$41,Berechnung3!$B$7,""))</f>
        <v/>
      </c>
      <c r="C20" s="29">
        <f t="shared" si="0"/>
        <v>0</v>
      </c>
      <c r="D20" s="107" t="str">
        <f>IF(COUNTIF(Berechnung3!$H$37:$H$43,Berechnung2!$M$41)&gt;0,CONCATENATE("",Berechnung2!$E$5,"- ",Berechnung2!$M$41),"")</f>
        <v/>
      </c>
      <c r="E20" s="107" t="str">
        <f>IF(COUNTIF(Berechnung3!$H$37:$H$43,Berechnung2!$M$41)&gt;0,"f","")</f>
        <v/>
      </c>
      <c r="G20" s="38" t="e">
        <f t="array" ref="G20">INDEX(B:B,SMALL(IF($C$15:$C$23="X",ROW($15:$23)),6))</f>
        <v>#NUM!</v>
      </c>
      <c r="H20" s="38" t="e">
        <f t="array" ref="H20">INDEX(D:D,SMALL(IF($C$15:$C$23="X",ROW($15:$23)),6))</f>
        <v>#NUM!</v>
      </c>
      <c r="I20" s="193" t="e">
        <f t="array" ref="I20">INDEX(E:E,SMALL(IF($C$15:$C$23="X",ROW($15:$23)),6))</f>
        <v>#NUM!</v>
      </c>
      <c r="J20" s="299" t="e">
        <f>IF(AND(Datendefizite_Matrix!D22="",I20&lt;&gt;""),"Anmerkung OnkoZert : Keine Erläuterung vorhanden",Datendefizite_Matrix!D22)</f>
        <v>#NUM!</v>
      </c>
      <c r="AJ20" s="19"/>
      <c r="BK20" s="27"/>
    </row>
    <row r="21" spans="1:63" ht="66.95" customHeight="1">
      <c r="A21" s="121" t="s">
        <v>6</v>
      </c>
      <c r="B21" s="29" t="str">
        <f>Berechnung3!E44</f>
        <v/>
      </c>
      <c r="C21" s="29">
        <f>IF(LEN(D21)&gt;0,"X",0)</f>
        <v>0</v>
      </c>
      <c r="D21" s="107" t="str">
        <f t="array" ref="D21">IF(COUNTIF(Berechnung3!$H$44,Berechnung2!$M$36)&gt;0,CONCATENATE("",Berechnung1!$E$5,"                         ",Berechnung2!$M$36),"")</f>
        <v/>
      </c>
      <c r="E21" s="107" t="str">
        <f>IF(COUNTIF(Berechnung3!$H$44,Berechnung2!$M$36)&gt;0,"g","")</f>
        <v/>
      </c>
      <c r="G21" s="38" t="e">
        <f t="array" ref="G21">INDEX(B:B,SMALL(IF($C$15:$C$23="X",ROW($15:$23)),7))</f>
        <v>#NUM!</v>
      </c>
      <c r="H21" s="38" t="e">
        <f t="array" ref="H21">INDEX(D:D,SMALL(IF($C$15:$C$23="X",ROW($15:$23)),7))</f>
        <v>#NUM!</v>
      </c>
      <c r="I21" s="193" t="e">
        <f t="array" ref="I21">INDEX(E:E,SMALL(IF($C$15:$C$23="X",ROW($15:$23)),7))</f>
        <v>#NUM!</v>
      </c>
      <c r="J21" s="299" t="e">
        <f>IF(AND(Datendefizite_Matrix!D23="",I21&lt;&gt;""),"Anmerkung OnkoZert : Keine Erläuterung vorhanden",Datendefizite_Matrix!D23)</f>
        <v>#NUM!</v>
      </c>
      <c r="AJ21" s="19"/>
    </row>
    <row r="22" spans="1:63" ht="66.95" customHeight="1">
      <c r="A22" s="121"/>
      <c r="B22" s="29" t="str">
        <f>Berechnung3!E45</f>
        <v/>
      </c>
      <c r="C22" s="29">
        <f>IF(LEN(D22)&gt;0,"X",0)</f>
        <v>0</v>
      </c>
      <c r="D22" s="107" t="str">
        <f t="array" ref="D22">IF(COUNTIF(Berechnung3!$H$45,Berechnung2!$M$37),CONCATENATE(" ",Berechnung2!$C$5,"                                  ",Berechnung2!$M$37),"")</f>
        <v/>
      </c>
      <c r="E22" s="107" t="str">
        <f>IF(COUNTIF(Berechnung3!$H$45,Berechnung2!$M$37),"h","")</f>
        <v/>
      </c>
      <c r="G22" s="38" t="e">
        <f t="array" ref="G22">INDEX(B:B,SMALL(IF($C$15:$C$23="X",ROW($15:$23)),8))</f>
        <v>#NUM!</v>
      </c>
      <c r="H22" s="167" t="e">
        <f t="array" ref="H22">INDEX(D:D,SMALL(IF($C$15:$C$23="X",ROW($15:$23)),8))</f>
        <v>#NUM!</v>
      </c>
      <c r="I22" s="193" t="e">
        <f t="array" ref="I22">INDEX(E:E,SMALL(IF($C$15:$C$23="X",ROW($15:$23)),8))</f>
        <v>#NUM!</v>
      </c>
      <c r="J22" s="299" t="e">
        <f>IF(AND(Datendefizite_Matrix!D24="",I22&lt;&gt;""),"Anmerkung OnkoZert : Keine Erläuterung vorhanden",Datendefizite_Matrix!D24)</f>
        <v>#NUM!</v>
      </c>
      <c r="AJ22" s="19"/>
    </row>
    <row r="23" spans="1:63" ht="66.95" customHeight="1">
      <c r="A23" s="121" t="s">
        <v>133</v>
      </c>
      <c r="B23" s="29" t="str">
        <f>CONCATENATE(IF(Berechnung3!$H$46=Berechnung2!M35,Berechnung3!$B$2,""),IF(Berechnung3!$H$47=Berechnung2!M35,Berechnung3!$B$3,""),IF(Berechnung3!$H$48=Berechnung2!M35,Berechnung3!$B$4,""),IF(Berechnung3!$H$49=Berechnung2!M35,Berechnung3!$B$5,""),IF(Berechnung3!$H$50=Berechnung2!M35,Berechnung3!$B$6,""),IF(Berechnung3!$H$51=Berechnung2!M35,Berechnung3!$B$7,""),IF(Berechnung3!$H$52=Berechnung2!M35,Berechnung3!$B$8,""))</f>
        <v/>
      </c>
      <c r="C23" s="29">
        <f>IF(LEN(B23)&gt;0,"X",0)</f>
        <v>0</v>
      </c>
      <c r="D23" s="107" t="str">
        <f>IF(COUNTIF(Berechnung3!H46:H52,Berechnung2!$M$35)&gt;0,CONCATENATE(" ",Berechnung1!$D$4,"                                              ",Berechnung2!$M$35),"")</f>
        <v/>
      </c>
      <c r="E23" s="107" t="str">
        <f>IF(COUNTIF(Berechnung3!H46:H52,Berechnung2!$M$35)&gt;0,"i","")</f>
        <v/>
      </c>
      <c r="G23" s="38" t="e">
        <f t="array" ref="G23">INDEX(B:B,SMALL(IF($C$15:$C$23="X",ROW($15:$23)),9))</f>
        <v>#NUM!</v>
      </c>
      <c r="H23" s="167" t="e">
        <f t="array" ref="H23">INDEX(D:D,SMALL(IF($C$15:$C$23="X",ROW($15:$23)),9))</f>
        <v>#NUM!</v>
      </c>
      <c r="I23" s="193" t="e">
        <f t="array" ref="I23">INDEX(E:E,SMALL(IF($C$15:$C$23="X",ROW($15:$23)),9))</f>
        <v>#NUM!</v>
      </c>
      <c r="J23" s="299" t="e">
        <f>IF(AND(Datendefizite_Matrix!D25="",I23&lt;&gt;""),"Anmerkung OnkoZert : Keine Erläuterung vorhanden",Datendefizite_Matrix!D25)</f>
        <v>#NUM!</v>
      </c>
      <c r="AJ23" s="19"/>
      <c r="BK23" s="12"/>
    </row>
    <row r="26" spans="1:63">
      <c r="A26" s="60" t="str">
        <f>'Basic Data'!O14</f>
        <v>-----</v>
      </c>
      <c r="B26" s="61">
        <f>IF(A26&gt;A27,0,DATEDIF(A26,A27,"y"))</f>
        <v>0</v>
      </c>
      <c r="C26" s="62"/>
    </row>
    <row r="27" spans="1:63">
      <c r="A27" s="60">
        <v>44196</v>
      </c>
      <c r="B27" s="61"/>
    </row>
    <row r="29" spans="1:63" ht="21">
      <c r="A29" s="53"/>
    </row>
    <row r="31" spans="1:63" customFormat="1" ht="21">
      <c r="A31" s="53" t="s">
        <v>100</v>
      </c>
      <c r="B31" s="80" t="s">
        <v>108</v>
      </c>
      <c r="C31" s="81"/>
      <c r="D31" s="81"/>
      <c r="E31" s="81"/>
      <c r="F31" s="82"/>
      <c r="G31" s="83" t="s">
        <v>105</v>
      </c>
      <c r="H31" s="84"/>
      <c r="I31" s="84"/>
      <c r="J31" s="237"/>
      <c r="K31" s="238"/>
      <c r="L31" s="82"/>
      <c r="M31" s="80" t="s">
        <v>141</v>
      </c>
      <c r="N31" s="81"/>
      <c r="O31" s="81"/>
      <c r="P31" s="81"/>
      <c r="Q31" s="84" t="s">
        <v>142</v>
      </c>
    </row>
    <row r="32" spans="1:63" customFormat="1" ht="14.25">
      <c r="B32" s="80"/>
      <c r="C32" s="81"/>
      <c r="D32" s="81"/>
      <c r="E32" s="81"/>
      <c r="F32" s="82"/>
      <c r="G32" s="83"/>
      <c r="H32" s="86"/>
      <c r="I32" s="86"/>
      <c r="J32" s="237"/>
      <c r="K32" s="238"/>
      <c r="L32" s="82"/>
      <c r="M32" s="85"/>
      <c r="N32" s="81"/>
      <c r="O32" s="81"/>
      <c r="P32" s="81"/>
      <c r="Q32" s="100" t="s">
        <v>143</v>
      </c>
    </row>
    <row r="33" spans="2:18" customFormat="1" ht="14.25">
      <c r="B33" s="87"/>
      <c r="C33" s="79"/>
      <c r="D33" s="88" t="s">
        <v>111</v>
      </c>
      <c r="E33" s="249"/>
      <c r="F33" s="90"/>
      <c r="G33" s="94"/>
      <c r="H33" s="91"/>
      <c r="I33" s="91"/>
      <c r="J33" s="239"/>
      <c r="K33" s="240"/>
      <c r="L33" s="90"/>
      <c r="M33" s="228" t="s">
        <v>289</v>
      </c>
      <c r="N33" s="79"/>
      <c r="O33" s="79"/>
      <c r="P33" s="79"/>
      <c r="Q33" s="89"/>
    </row>
    <row r="34" spans="2:18" customFormat="1" ht="14.25">
      <c r="B34" s="87" t="s">
        <v>102</v>
      </c>
      <c r="C34" s="79"/>
      <c r="D34" s="89" t="s">
        <v>109</v>
      </c>
      <c r="E34" s="250"/>
      <c r="F34" s="90" t="s">
        <v>97</v>
      </c>
      <c r="G34" s="91"/>
      <c r="H34" s="91">
        <v>5</v>
      </c>
      <c r="I34" s="95"/>
      <c r="J34" s="239"/>
      <c r="K34" s="240"/>
      <c r="L34" s="90"/>
      <c r="M34" s="79" t="s">
        <v>144</v>
      </c>
      <c r="N34" s="79"/>
      <c r="O34" s="79"/>
      <c r="P34" s="79"/>
      <c r="Q34" s="89"/>
    </row>
    <row r="35" spans="2:18" customFormat="1" ht="14.25">
      <c r="B35" s="87" t="s">
        <v>266</v>
      </c>
      <c r="C35" s="79"/>
      <c r="D35" s="89" t="s">
        <v>109</v>
      </c>
      <c r="E35" s="250"/>
      <c r="F35" s="90" t="s">
        <v>97</v>
      </c>
      <c r="G35" s="386">
        <v>0</v>
      </c>
      <c r="H35" s="92">
        <v>0</v>
      </c>
      <c r="I35" s="96"/>
      <c r="J35" s="240">
        <v>0.49998999999999999</v>
      </c>
      <c r="K35" s="240">
        <v>0.49998999999999999</v>
      </c>
      <c r="L35" s="90"/>
      <c r="M35" s="79" t="s">
        <v>261</v>
      </c>
      <c r="N35" s="79"/>
      <c r="O35" s="79"/>
      <c r="P35" s="79"/>
      <c r="Q35" s="89"/>
    </row>
    <row r="36" spans="2:18" customFormat="1" ht="14.25">
      <c r="B36" s="425" t="s">
        <v>435</v>
      </c>
      <c r="C36" s="79"/>
      <c r="D36" s="89" t="s">
        <v>110</v>
      </c>
      <c r="E36" s="250"/>
      <c r="F36" s="90" t="s">
        <v>97</v>
      </c>
      <c r="G36" s="387">
        <v>0</v>
      </c>
      <c r="H36" s="92">
        <v>0</v>
      </c>
      <c r="I36" s="94"/>
      <c r="J36" s="240">
        <v>0.59999000000000002</v>
      </c>
      <c r="K36" s="241">
        <v>0.59999000000000002</v>
      </c>
      <c r="L36" s="90"/>
      <c r="M36" s="79" t="s">
        <v>267</v>
      </c>
      <c r="N36" s="79"/>
      <c r="O36" s="79"/>
      <c r="P36" s="79"/>
      <c r="Q36" s="89"/>
    </row>
    <row r="37" spans="2:18" customFormat="1" ht="14.25">
      <c r="B37" s="425" t="s">
        <v>436</v>
      </c>
      <c r="C37" s="79"/>
      <c r="D37" s="89" t="s">
        <v>109</v>
      </c>
      <c r="E37" s="250"/>
      <c r="F37" s="90" t="s">
        <v>96</v>
      </c>
      <c r="G37" s="91"/>
      <c r="H37" s="92">
        <v>0</v>
      </c>
      <c r="I37" s="385">
        <v>0.95001000000000002</v>
      </c>
      <c r="J37" s="240">
        <v>1</v>
      </c>
      <c r="K37" s="240">
        <v>0.95001000000000002</v>
      </c>
      <c r="L37" s="90"/>
      <c r="M37" s="79" t="s">
        <v>268</v>
      </c>
      <c r="N37" s="79"/>
      <c r="O37" s="79"/>
      <c r="P37" s="79"/>
      <c r="Q37" s="89"/>
    </row>
    <row r="38" spans="2:18" customFormat="1" ht="14.25">
      <c r="B38" s="87" t="s">
        <v>239</v>
      </c>
      <c r="C38" s="79"/>
      <c r="D38" s="89" t="s">
        <v>236</v>
      </c>
      <c r="E38" s="250"/>
      <c r="F38" s="90"/>
      <c r="G38" s="91"/>
      <c r="H38" s="97"/>
      <c r="I38" s="91"/>
      <c r="J38" s="242"/>
      <c r="K38" s="243"/>
      <c r="L38" s="90"/>
      <c r="M38" s="409" t="s">
        <v>356</v>
      </c>
      <c r="N38" s="410"/>
      <c r="O38" s="410"/>
      <c r="P38" s="79"/>
      <c r="Q38" s="89"/>
    </row>
    <row r="39" spans="2:18" customFormat="1" ht="14.25">
      <c r="B39" s="87" t="s">
        <v>240</v>
      </c>
      <c r="C39" s="79"/>
      <c r="D39" s="89" t="s">
        <v>236</v>
      </c>
      <c r="E39" s="250"/>
      <c r="F39" s="90"/>
      <c r="G39" s="91"/>
      <c r="H39" s="91"/>
      <c r="I39" s="91"/>
      <c r="J39" s="239"/>
      <c r="K39" s="240"/>
      <c r="L39" s="90"/>
      <c r="M39" s="411" t="s">
        <v>357</v>
      </c>
      <c r="N39" s="412"/>
      <c r="O39" s="412"/>
      <c r="P39" s="132"/>
      <c r="Q39" s="165"/>
    </row>
    <row r="40" spans="2:18" customFormat="1" ht="14.25">
      <c r="B40" s="87" t="s">
        <v>241</v>
      </c>
      <c r="C40" s="79"/>
      <c r="D40" s="89" t="s">
        <v>236</v>
      </c>
      <c r="E40" s="250"/>
      <c r="F40" s="90"/>
      <c r="G40" s="91"/>
      <c r="H40" s="91"/>
      <c r="I40" s="91"/>
      <c r="J40" s="239"/>
      <c r="K40" s="240"/>
      <c r="L40" s="90"/>
      <c r="M40" s="411" t="s">
        <v>358</v>
      </c>
      <c r="N40" s="412"/>
      <c r="O40" s="412"/>
      <c r="P40" s="132"/>
      <c r="Q40" s="165"/>
    </row>
    <row r="41" spans="2:18" customFormat="1" ht="14.25">
      <c r="B41" s="87" t="s">
        <v>242</v>
      </c>
      <c r="C41" s="79"/>
      <c r="D41" s="89" t="s">
        <v>236</v>
      </c>
      <c r="E41" s="250"/>
      <c r="F41" s="90"/>
      <c r="G41" s="91"/>
      <c r="H41" s="91"/>
      <c r="I41" s="91"/>
      <c r="J41" s="239"/>
      <c r="K41" s="240"/>
      <c r="L41" s="90"/>
      <c r="M41" s="411" t="s">
        <v>359</v>
      </c>
      <c r="N41" s="412"/>
      <c r="O41" s="412"/>
      <c r="P41" s="412"/>
      <c r="Q41" s="165"/>
    </row>
    <row r="42" spans="2:18" customFormat="1" ht="14.25">
      <c r="B42" s="85"/>
      <c r="C42" s="85"/>
      <c r="D42" s="85"/>
      <c r="E42" s="85"/>
      <c r="F42" s="85"/>
      <c r="G42" s="85"/>
      <c r="H42" s="85"/>
      <c r="I42" s="85"/>
      <c r="J42" s="244"/>
      <c r="K42" s="244"/>
      <c r="L42" s="85"/>
      <c r="M42" s="85"/>
      <c r="N42" s="85"/>
      <c r="O42" s="85"/>
      <c r="P42" s="85"/>
      <c r="Q42" s="89"/>
    </row>
    <row r="43" spans="2:18" customFormat="1" ht="14.25">
      <c r="B43" s="154" t="s">
        <v>90</v>
      </c>
      <c r="C43" s="155"/>
      <c r="D43" s="156"/>
      <c r="E43" s="156"/>
      <c r="F43" s="157" t="s">
        <v>107</v>
      </c>
      <c r="G43" s="157" t="s">
        <v>103</v>
      </c>
      <c r="H43" s="157"/>
      <c r="I43" s="157"/>
      <c r="J43" s="245"/>
      <c r="K43" s="245" t="s">
        <v>104</v>
      </c>
      <c r="L43" s="158"/>
      <c r="M43" s="159" t="s">
        <v>256</v>
      </c>
      <c r="N43" s="159"/>
      <c r="O43" s="159" t="s">
        <v>256</v>
      </c>
      <c r="P43" s="159"/>
      <c r="Q43" s="160"/>
    </row>
    <row r="44" spans="2:18" customFormat="1" ht="14.25">
      <c r="B44" s="154"/>
      <c r="C44" s="161">
        <v>1E-3</v>
      </c>
      <c r="D44" s="154"/>
      <c r="E44" s="154"/>
      <c r="F44" s="162">
        <v>0</v>
      </c>
      <c r="G44" s="163">
        <f t="shared" ref="G44:G51" si="1">H44-$C$44</f>
        <v>0.59899999999999998</v>
      </c>
      <c r="H44" s="164">
        <v>0.6</v>
      </c>
      <c r="I44" s="163"/>
      <c r="J44" s="246">
        <f t="shared" ref="J44:J51" si="2">K44-$C$44</f>
        <v>0.98899999999999999</v>
      </c>
      <c r="K44" s="440">
        <v>0.99</v>
      </c>
      <c r="L44" s="158"/>
      <c r="M44" s="159" t="s">
        <v>256</v>
      </c>
      <c r="N44" s="159"/>
      <c r="O44" s="159" t="s">
        <v>256</v>
      </c>
      <c r="P44" s="159"/>
      <c r="Q44" s="160"/>
    </row>
    <row r="45" spans="2:18" customFormat="1" ht="14.25">
      <c r="B45" s="154"/>
      <c r="C45" s="161">
        <v>1E-3</v>
      </c>
      <c r="D45" s="154"/>
      <c r="E45" s="154"/>
      <c r="F45" s="162">
        <v>0</v>
      </c>
      <c r="G45" s="163">
        <f t="shared" si="1"/>
        <v>0.59899999999999998</v>
      </c>
      <c r="H45" s="164">
        <v>0.6</v>
      </c>
      <c r="I45" s="163"/>
      <c r="J45" s="246">
        <f t="shared" si="2"/>
        <v>0.98899999999999999</v>
      </c>
      <c r="K45" s="440">
        <v>0.99</v>
      </c>
      <c r="L45" s="158"/>
      <c r="M45" s="159" t="s">
        <v>256</v>
      </c>
      <c r="N45" s="159"/>
      <c r="O45" s="159" t="s">
        <v>256</v>
      </c>
      <c r="P45" s="159"/>
      <c r="Q45" s="160"/>
      <c r="R45" s="85"/>
    </row>
    <row r="46" spans="2:18" customFormat="1" ht="14.25">
      <c r="B46" s="154"/>
      <c r="C46" s="161">
        <v>1E-3</v>
      </c>
      <c r="D46" s="154"/>
      <c r="E46" s="154"/>
      <c r="F46" s="162">
        <v>0</v>
      </c>
      <c r="G46" s="163">
        <f t="shared" si="1"/>
        <v>0.59899999999999998</v>
      </c>
      <c r="H46" s="164">
        <v>0.6</v>
      </c>
      <c r="I46" s="163"/>
      <c r="J46" s="246">
        <f t="shared" si="2"/>
        <v>0.98899999999999999</v>
      </c>
      <c r="K46" s="440">
        <v>0.99</v>
      </c>
      <c r="L46" s="158"/>
      <c r="M46" s="159" t="s">
        <v>256</v>
      </c>
      <c r="N46" s="159"/>
      <c r="O46" s="159" t="s">
        <v>256</v>
      </c>
      <c r="P46" s="159"/>
      <c r="Q46" s="160"/>
      <c r="R46" s="85"/>
    </row>
    <row r="47" spans="2:18" customFormat="1" ht="14.25">
      <c r="B47" s="154"/>
      <c r="C47" s="161">
        <v>1E-3</v>
      </c>
      <c r="D47" s="154"/>
      <c r="E47" s="154"/>
      <c r="F47" s="162">
        <v>0</v>
      </c>
      <c r="G47" s="163">
        <f t="shared" si="1"/>
        <v>0.59899999999999998</v>
      </c>
      <c r="H47" s="164">
        <v>0.6</v>
      </c>
      <c r="I47" s="163"/>
      <c r="J47" s="246">
        <f t="shared" si="2"/>
        <v>0.98899999999999999</v>
      </c>
      <c r="K47" s="440">
        <v>0.99</v>
      </c>
      <c r="L47" s="158"/>
      <c r="M47" s="159" t="s">
        <v>256</v>
      </c>
      <c r="N47" s="159"/>
      <c r="O47" s="159" t="s">
        <v>256</v>
      </c>
      <c r="P47" s="159"/>
      <c r="Q47" s="160"/>
      <c r="R47" s="85"/>
    </row>
    <row r="48" spans="2:18" customFormat="1" ht="14.25">
      <c r="B48" s="154"/>
      <c r="C48" s="161">
        <v>1E-3</v>
      </c>
      <c r="D48" s="154"/>
      <c r="E48" s="154"/>
      <c r="F48" s="162">
        <v>0</v>
      </c>
      <c r="G48" s="163">
        <f t="shared" si="1"/>
        <v>0.59899999999999998</v>
      </c>
      <c r="H48" s="164">
        <v>0.6</v>
      </c>
      <c r="I48" s="163"/>
      <c r="J48" s="246">
        <f t="shared" si="2"/>
        <v>0.98899999999999999</v>
      </c>
      <c r="K48" s="440">
        <v>0.99</v>
      </c>
      <c r="L48" s="158"/>
      <c r="M48" s="159" t="s">
        <v>256</v>
      </c>
      <c r="N48" s="159"/>
      <c r="O48" s="159" t="s">
        <v>256</v>
      </c>
      <c r="P48" s="159"/>
      <c r="Q48" s="160"/>
      <c r="R48" s="85"/>
    </row>
    <row r="49" spans="2:18" customFormat="1" ht="14.25">
      <c r="B49" s="154"/>
      <c r="C49" s="161">
        <v>1E-3</v>
      </c>
      <c r="D49" s="154"/>
      <c r="E49" s="154"/>
      <c r="F49" s="162">
        <v>0</v>
      </c>
      <c r="G49" s="163">
        <f t="shared" si="1"/>
        <v>0.59899999999999998</v>
      </c>
      <c r="H49" s="164">
        <v>0.6</v>
      </c>
      <c r="I49" s="163"/>
      <c r="J49" s="246">
        <f t="shared" si="2"/>
        <v>0.98899999999999999</v>
      </c>
      <c r="K49" s="440">
        <v>0.99</v>
      </c>
      <c r="L49" s="158"/>
      <c r="M49" s="159" t="s">
        <v>256</v>
      </c>
      <c r="N49" s="159"/>
      <c r="O49" s="159" t="s">
        <v>256</v>
      </c>
      <c r="P49" s="159"/>
      <c r="Q49" s="160"/>
      <c r="R49" s="85"/>
    </row>
    <row r="50" spans="2:18" customFormat="1" ht="14.25">
      <c r="B50" s="154"/>
      <c r="C50" s="161">
        <v>1E-3</v>
      </c>
      <c r="D50" s="154"/>
      <c r="E50" s="154"/>
      <c r="F50" s="162">
        <v>0</v>
      </c>
      <c r="G50" s="163">
        <f t="shared" si="1"/>
        <v>0.59899999999999998</v>
      </c>
      <c r="H50" s="164">
        <v>0.6</v>
      </c>
      <c r="I50" s="163"/>
      <c r="J50" s="246">
        <f t="shared" si="2"/>
        <v>0.98899999999999999</v>
      </c>
      <c r="K50" s="440">
        <v>0.99</v>
      </c>
      <c r="L50" s="158"/>
      <c r="M50" s="159" t="s">
        <v>256</v>
      </c>
      <c r="N50" s="159"/>
      <c r="O50" s="159" t="s">
        <v>256</v>
      </c>
      <c r="P50" s="159"/>
      <c r="Q50" s="160"/>
      <c r="R50" s="85"/>
    </row>
    <row r="51" spans="2:18" customFormat="1" ht="14.25">
      <c r="B51" s="154"/>
      <c r="C51" s="161">
        <v>1E-3</v>
      </c>
      <c r="D51" s="154"/>
      <c r="E51" s="154"/>
      <c r="F51" s="162">
        <v>0</v>
      </c>
      <c r="G51" s="163">
        <f t="shared" si="1"/>
        <v>0.59899999999999998</v>
      </c>
      <c r="H51" s="164">
        <v>0.6</v>
      </c>
      <c r="I51" s="163"/>
      <c r="J51" s="246">
        <f t="shared" si="2"/>
        <v>0.98899999999999999</v>
      </c>
      <c r="K51" s="440">
        <v>0.99</v>
      </c>
      <c r="L51" s="158"/>
      <c r="M51" s="159" t="s">
        <v>256</v>
      </c>
      <c r="N51" s="159"/>
      <c r="O51" s="159" t="s">
        <v>256</v>
      </c>
      <c r="P51" s="159"/>
      <c r="Q51" s="160"/>
      <c r="R51" s="85"/>
    </row>
    <row r="52" spans="2:18" customFormat="1" ht="14.25">
      <c r="B52" s="85"/>
      <c r="C52" s="98"/>
      <c r="F52" s="98"/>
      <c r="G52" s="98"/>
      <c r="H52" s="98"/>
      <c r="I52" s="98"/>
      <c r="J52" s="248"/>
      <c r="K52" s="441"/>
      <c r="L52" s="93"/>
      <c r="M52" s="99"/>
      <c r="N52" s="99"/>
      <c r="O52" s="99"/>
      <c r="P52" s="99"/>
      <c r="Q52" s="89"/>
      <c r="R52" s="85"/>
    </row>
    <row r="53" spans="2:18" customFormat="1" ht="14.25">
      <c r="B53" s="154" t="s">
        <v>58</v>
      </c>
      <c r="C53" s="156"/>
      <c r="D53" s="156"/>
      <c r="E53" s="156"/>
      <c r="F53" s="157"/>
      <c r="G53" s="157" t="s">
        <v>103</v>
      </c>
      <c r="H53" s="157"/>
      <c r="I53" s="157"/>
      <c r="J53" s="245"/>
      <c r="K53" s="246" t="s">
        <v>104</v>
      </c>
      <c r="L53" s="158"/>
      <c r="M53" s="159" t="s">
        <v>255</v>
      </c>
      <c r="N53" s="159"/>
      <c r="O53" s="159" t="s">
        <v>255</v>
      </c>
      <c r="P53" s="159"/>
      <c r="Q53" s="160"/>
      <c r="R53" s="85"/>
    </row>
    <row r="54" spans="2:18" customFormat="1" ht="14.25">
      <c r="B54" s="154"/>
      <c r="C54" s="161">
        <v>1E-3</v>
      </c>
      <c r="D54" s="161">
        <v>-1.0000000000000001E-5</v>
      </c>
      <c r="E54" s="161"/>
      <c r="F54" s="162">
        <v>0</v>
      </c>
      <c r="G54" s="163">
        <v>0.59899999999999998</v>
      </c>
      <c r="H54" s="164">
        <v>0.6</v>
      </c>
      <c r="I54" s="163"/>
      <c r="J54" s="246">
        <f>K54-$C$44</f>
        <v>0.94899999999999995</v>
      </c>
      <c r="K54" s="440">
        <v>0.95</v>
      </c>
      <c r="L54" s="158"/>
      <c r="M54" s="159" t="s">
        <v>255</v>
      </c>
      <c r="N54" s="159"/>
      <c r="O54" s="159" t="s">
        <v>255</v>
      </c>
      <c r="P54" s="159"/>
      <c r="Q54" s="160"/>
      <c r="R54" s="85"/>
    </row>
    <row r="55" spans="2:18" customFormat="1" ht="14.25">
      <c r="B55" s="154"/>
      <c r="C55" s="161">
        <v>1E-3</v>
      </c>
      <c r="D55" s="161">
        <v>-1.0000000000000001E-5</v>
      </c>
      <c r="E55" s="161"/>
      <c r="F55" s="162">
        <v>0</v>
      </c>
      <c r="G55" s="163">
        <v>0.59899999999999998</v>
      </c>
      <c r="H55" s="164">
        <v>0.6</v>
      </c>
      <c r="I55" s="163"/>
      <c r="J55" s="246">
        <f>K55-$C$44</f>
        <v>0.94899999999999995</v>
      </c>
      <c r="K55" s="440">
        <v>0.95</v>
      </c>
      <c r="L55" s="158"/>
      <c r="M55" s="159" t="s">
        <v>255</v>
      </c>
      <c r="N55" s="159"/>
      <c r="O55" s="159" t="s">
        <v>255</v>
      </c>
      <c r="P55" s="159"/>
      <c r="Q55" s="160"/>
      <c r="R55" s="85"/>
    </row>
    <row r="56" spans="2:18" customFormat="1" ht="14.25">
      <c r="B56" s="154"/>
      <c r="C56" s="161">
        <v>1E-3</v>
      </c>
      <c r="D56" s="161">
        <v>-1.0000000000000001E-5</v>
      </c>
      <c r="E56" s="161"/>
      <c r="F56" s="162">
        <v>0</v>
      </c>
      <c r="G56" s="163">
        <v>0.59899999999999998</v>
      </c>
      <c r="H56" s="164">
        <v>0.6</v>
      </c>
      <c r="I56" s="163"/>
      <c r="J56" s="246">
        <f>K56-$C$44</f>
        <v>0.94899999999999995</v>
      </c>
      <c r="K56" s="440">
        <v>0.95</v>
      </c>
      <c r="L56" s="158"/>
      <c r="M56" s="159" t="s">
        <v>255</v>
      </c>
      <c r="N56" s="159"/>
      <c r="O56" s="159" t="s">
        <v>255</v>
      </c>
      <c r="P56" s="159"/>
      <c r="Q56" s="160"/>
      <c r="R56" s="85"/>
    </row>
    <row r="57" spans="2:18" customFormat="1" ht="14.25">
      <c r="B57" s="154"/>
      <c r="C57" s="161">
        <v>1E-3</v>
      </c>
      <c r="D57" s="161">
        <v>-1.0000000000000001E-5</v>
      </c>
      <c r="E57" s="161"/>
      <c r="F57" s="162">
        <v>0</v>
      </c>
      <c r="G57" s="163">
        <v>0.84899999999999998</v>
      </c>
      <c r="H57" s="164">
        <v>0.85</v>
      </c>
      <c r="I57" s="163"/>
      <c r="J57" s="246">
        <f>K57-$C$44</f>
        <v>0.98899999999999999</v>
      </c>
      <c r="K57" s="440">
        <v>0.99</v>
      </c>
      <c r="L57" s="158"/>
      <c r="M57" s="159" t="s">
        <v>255</v>
      </c>
      <c r="N57" s="159"/>
      <c r="O57" s="159" t="s">
        <v>255</v>
      </c>
      <c r="P57" s="159"/>
      <c r="Q57" s="160"/>
      <c r="R57" s="85"/>
    </row>
    <row r="58" spans="2:18" customFormat="1" ht="14.25">
      <c r="B58" s="154"/>
      <c r="C58" s="161">
        <v>1E-3</v>
      </c>
      <c r="D58" s="161">
        <v>-1.0000000000000001E-5</v>
      </c>
      <c r="E58" s="161"/>
      <c r="F58" s="162">
        <v>0</v>
      </c>
      <c r="G58" s="163">
        <v>0.94899999999999995</v>
      </c>
      <c r="H58" s="164">
        <v>0.95</v>
      </c>
      <c r="I58" s="163"/>
      <c r="J58" s="246">
        <f>K58-$C$44</f>
        <v>0.98899999999999999</v>
      </c>
      <c r="K58" s="440">
        <v>0.99</v>
      </c>
      <c r="L58" s="158"/>
      <c r="M58" s="159" t="s">
        <v>255</v>
      </c>
      <c r="N58" s="159"/>
      <c r="O58" s="159" t="s">
        <v>255</v>
      </c>
      <c r="P58" s="159"/>
      <c r="Q58" s="160"/>
      <c r="R58" s="85"/>
    </row>
    <row r="59" spans="2:18" customFormat="1" ht="14.25">
      <c r="B59" s="154"/>
      <c r="C59" s="155"/>
      <c r="D59" s="161"/>
      <c r="E59" s="161"/>
      <c r="F59" s="162"/>
      <c r="G59" s="163"/>
      <c r="H59" s="164"/>
      <c r="I59" s="163"/>
      <c r="J59" s="246"/>
      <c r="K59" s="247"/>
      <c r="L59" s="158"/>
      <c r="M59" s="159"/>
      <c r="N59" s="159"/>
      <c r="O59" s="159"/>
      <c r="P59" s="159"/>
      <c r="Q59" s="160"/>
      <c r="R59" s="85"/>
    </row>
    <row r="60" spans="2:18" customFormat="1" ht="14.25">
      <c r="B60" s="154"/>
      <c r="C60" s="155"/>
      <c r="D60" s="161"/>
      <c r="E60" s="161"/>
      <c r="F60" s="162"/>
      <c r="G60" s="163"/>
      <c r="H60" s="164"/>
      <c r="I60" s="163"/>
      <c r="J60" s="246"/>
      <c r="K60" s="247"/>
      <c r="L60" s="158"/>
      <c r="M60" s="159"/>
      <c r="N60" s="159"/>
      <c r="O60" s="159"/>
      <c r="P60" s="159"/>
      <c r="Q60" s="160"/>
      <c r="R60" s="85"/>
    </row>
    <row r="61" spans="2:18" customFormat="1" ht="14.25">
      <c r="B61" s="154"/>
      <c r="C61" s="155"/>
      <c r="D61" s="161"/>
      <c r="E61" s="161"/>
      <c r="F61" s="162"/>
      <c r="G61" s="163"/>
      <c r="H61" s="164"/>
      <c r="I61" s="163"/>
      <c r="J61" s="246"/>
      <c r="K61" s="247"/>
      <c r="L61" s="158"/>
      <c r="M61" s="159"/>
      <c r="N61" s="159"/>
      <c r="O61" s="159"/>
      <c r="P61" s="159"/>
      <c r="Q61" s="160"/>
      <c r="R61" s="85"/>
    </row>
  </sheetData>
  <customSheetViews>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1"/>
    </customSheetView>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2"/>
    </customSheetView>
  </customSheetViews>
  <mergeCells count="4">
    <mergeCell ref="D13:D14"/>
    <mergeCell ref="B13:B14"/>
    <mergeCell ref="C13:C14"/>
    <mergeCell ref="E13:E14"/>
  </mergeCells>
  <phoneticPr fontId="41" type="noConversion"/>
  <conditionalFormatting sqref="BI7">
    <cfRule type="expression" dxfId="56" priority="2160">
      <formula>$BI7="EZ"</formula>
    </cfRule>
    <cfRule type="expression" dxfId="55" priority="2161">
      <formula>$BI7="nicht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dimension ref="A1:P80"/>
  <sheetViews>
    <sheetView showGridLines="0" topLeftCell="A34" zoomScaleNormal="100" workbookViewId="0">
      <selection activeCell="E46" sqref="E46"/>
    </sheetView>
  </sheetViews>
  <sheetFormatPr baseColWidth="10" defaultColWidth="11.3984375" defaultRowHeight="14.25"/>
  <cols>
    <col min="1" max="1" width="15" customWidth="1"/>
    <col min="2" max="2" width="11.59765625" customWidth="1"/>
    <col min="3" max="3" width="4.1328125" customWidth="1"/>
    <col min="4" max="4" width="24.1328125" customWidth="1"/>
    <col min="5" max="5" width="11.3984375" customWidth="1"/>
    <col min="6" max="6" width="9" customWidth="1"/>
    <col min="7" max="7" width="10.265625" customWidth="1"/>
    <col min="8" max="8" width="21.59765625" customWidth="1"/>
    <col min="9" max="9" width="79.3984375" style="259" customWidth="1"/>
    <col min="10" max="10" width="5.86328125" style="259" customWidth="1"/>
    <col min="11" max="11" width="30.59765625" customWidth="1"/>
    <col min="12" max="12" width="14.73046875" style="67" customWidth="1"/>
    <col min="13" max="13" width="9" style="67" customWidth="1"/>
    <col min="14" max="14" width="22.3984375" style="67" customWidth="1"/>
    <col min="15" max="15" width="35.265625" style="174" customWidth="1"/>
    <col min="16" max="16" width="70" style="174" customWidth="1"/>
  </cols>
  <sheetData>
    <row r="1" spans="1:16" ht="32.25" customHeight="1" thickBot="1">
      <c r="L1" s="260" t="s">
        <v>113</v>
      </c>
      <c r="M1" s="265" t="s">
        <v>307</v>
      </c>
      <c r="N1" s="298" t="s">
        <v>296</v>
      </c>
      <c r="O1" s="231" t="s">
        <v>59</v>
      </c>
      <c r="P1" s="260" t="s">
        <v>2</v>
      </c>
    </row>
    <row r="2" spans="1:16" s="51" customFormat="1" ht="24" customHeight="1">
      <c r="A2" s="274" t="str">
        <f>IF(Berechnung2!$B$26&gt;6,IF(Berechnung2!$B$26=7,"EZ",IF(Berechnung2!$B$26&gt;7,"relevant","?")),"nicht relevant")</f>
        <v>nicht relevant</v>
      </c>
      <c r="B2" s="275" t="str">
        <f>CONCATENATE("2013;"," ")</f>
        <v xml:space="preserve">2013; </v>
      </c>
      <c r="C2" s="272"/>
      <c r="D2" s="286" t="s">
        <v>87</v>
      </c>
      <c r="E2" s="267" t="str">
        <f>IF(H2="","","2013")</f>
        <v/>
      </c>
      <c r="F2" s="252" t="str">
        <f t="shared" ref="F2:F7" si="0">IF(H2="","","a")</f>
        <v/>
      </c>
      <c r="G2" s="252" t="str">
        <f t="shared" ref="G2:G7" si="1">IF(H2="","",1)</f>
        <v/>
      </c>
      <c r="H2" s="257" t="str">
        <f>IF(A2="relevant",IF(COUNTIF(Matrix!D19:Y19,"")&gt;3,Berechnung2!$M$33,""),"")</f>
        <v/>
      </c>
      <c r="I2" s="289" t="str">
        <f>IF(H2="","",VLOOKUP(F2,Berechnung2!$I$15:$J$23,2,FALSE))</f>
        <v/>
      </c>
      <c r="J2" s="303" t="str">
        <f>IF(H2&lt;&gt;"",1,"")</f>
        <v/>
      </c>
      <c r="L2" s="299" t="str">
        <f t="array" aca="1" ref="L2" ca="1">IF(ROW()-ROW($F$2:$F$52)+1&gt;ROWS($E$2:$E$52)-COUNTBLANK($E$2:$E$52),"",INDIRECT(ADDRESS(SMALL((IF($E$2:$E$52&lt;&gt;"",ROW($E$2:$E$52),ROW()+ROWS($E$2:$E$52))),ROW()-ROW($F$2:$F$52)+1),COLUMN($E$2:$E$52),4)))</f>
        <v/>
      </c>
      <c r="M2" s="299" t="str">
        <f t="array" aca="1" ref="M2" ca="1">IF(ROW()-ROW($G$2:$G$52)+1&gt;ROWS($F$2:$F$52)-COUNTBLANK($F$2:$F$52),"",INDIRECT(ADDRESS(SMALL((IF($F$2:$F$52&lt;&gt;"",ROW($F$2:$F$52),ROW()+ROWS($F$2:$F$52))),ROW()-ROW($G$2:$G$52)+1),COLUMN($F$2:$F$52),4)))</f>
        <v/>
      </c>
      <c r="N2" s="299" t="str">
        <f t="array" aca="1" ref="N2" ca="1">IF(ROW()-ROW($H$2:$H$52)+1&gt;ROWS($G$2:$G$52)-COUNTBLANK($G$2:$G$52),"",INDIRECT(ADDRESS(SMALL((IF($G$2:$G$52&lt;&gt;"",ROW($G$2:$G$52),ROW()+ROWS($G$2:$G$52))),ROW()-ROW($H$2:$H$52)+1),COLUMN($G$2:$G$52),4)))</f>
        <v/>
      </c>
      <c r="O2" s="300" t="str">
        <f t="array" aca="1" ref="O2" ca="1">IF(ROW()-ROW($I$2:$I$52)+1&gt;ROWS($H$2:$H$52)-COUNTBLANK($H$2:$H$52),"",INDIRECT(ADDRESS(SMALL((IF($H$2:$H$52&lt;&gt;"",ROW($H$2:$H$52),ROW()+ROWS($H$2:$H$52))),ROW()-ROW($I$2:$I$52)+1),COLUMN($H$2:$H$52),4)))</f>
        <v/>
      </c>
      <c r="P2" s="301" t="str">
        <f t="array" aca="1" ref="P2" ca="1">IF(ROW()-ROW($J$2:$J$52)+1&gt;ROWS($I$2:$I$52)-COUNTBLANK($I$2:$I$52),"",INDIRECT(ADDRESS(SMALL((IF($I$2:$I$52&lt;&gt;"",ROW($I$2:$I$52),ROW()+ROWS($I$2:$I$52))),ROW()-ROW($J$2:$J$52)+1),COLUMN($I$2:$I$52),4)))</f>
        <v/>
      </c>
    </row>
    <row r="3" spans="1:16" s="51" customFormat="1" ht="56.25" customHeight="1">
      <c r="A3" s="276" t="str">
        <f>IF(Berechnung2!$B$26&gt;5,IF(Berechnung2!$B$26=6,"EZ",IF(Berechnung2!$B$26&gt;6,"relevant","?")),"nicht relevant")</f>
        <v>nicht relevant</v>
      </c>
      <c r="B3" s="277" t="str">
        <f>CONCATENATE("2014;"," ")</f>
        <v xml:space="preserve">2014; </v>
      </c>
      <c r="C3" s="272"/>
      <c r="D3" s="876" t="s">
        <v>289</v>
      </c>
      <c r="E3" s="268" t="str">
        <f>IF(H3="","","2014")</f>
        <v/>
      </c>
      <c r="F3" s="107" t="str">
        <f t="shared" si="0"/>
        <v/>
      </c>
      <c r="G3" s="107" t="str">
        <f t="shared" si="1"/>
        <v/>
      </c>
      <c r="H3" s="38" t="str">
        <f>IF(A3="relevant",IF(COUNTIF(Matrix!D20:Y20,"")&gt;3,Berechnung2!$M$33,""),"")</f>
        <v/>
      </c>
      <c r="I3" s="290" t="str">
        <f t="array" ref="I3">IF(H3="","",VLOOKUP(F3,Berechnung2!$I$15:$J$23,2,FALSE))</f>
        <v/>
      </c>
      <c r="J3" s="304" t="str">
        <f t="shared" ref="J3:J50" si="2">IF(H3&lt;&gt;"",1,"")</f>
        <v/>
      </c>
      <c r="L3" s="299" t="str">
        <f t="array" aca="1" ref="L3" ca="1">IF(ROW()-ROW($F$2:$F$52)+1&gt;ROWS($E$2:$E$52)-COUNTBLANK($E$2:$E$52),"",INDIRECT(ADDRESS(SMALL((IF($E$2:$E$52&lt;&gt;"",ROW($E$2:$E$52),ROW()+ROWS($E$2:$E$52))),ROW()-ROW($F$2:$F$52)+1),COLUMN($E$2:$E$52),4)))</f>
        <v/>
      </c>
      <c r="M3" s="299" t="str">
        <f t="array" aca="1" ref="M3" ca="1">IF(ROW()-ROW($G$2:$G$52)+1&gt;ROWS($F$2:$F$52)-COUNTBLANK($F$2:$F$52),"",INDIRECT(ADDRESS(SMALL((IF($F$2:$F$52&lt;&gt;"",ROW($F$2:$F$52),ROW()+ROWS($F$2:$F$52))),ROW()-ROW($G$2:$G$52)+1),COLUMN($F$2:$F$52),4)))</f>
        <v/>
      </c>
      <c r="N3" s="299" t="str">
        <f t="array" aca="1" ref="N3" ca="1">IF(ROW()-ROW($H$2:$H$52)+1&gt;ROWS($G$2:$G$52)-COUNTBLANK($G$2:$G$52),"",INDIRECT(ADDRESS(SMALL((IF($G$2:$G$52&lt;&gt;"",ROW($G$2:$G$52),ROW()+ROWS($G$2:$G$52))),ROW()-ROW($H$2:$H$52)+1),COLUMN($G$2:$G$52),4)))</f>
        <v/>
      </c>
      <c r="O3" s="300" t="str">
        <f t="array" aca="1" ref="O3" ca="1">IF(ROW()-ROW($I$2:$I$52)+1&gt;ROWS($H$2:$H$52)-COUNTBLANK($H$2:$H$52),"",INDIRECT(ADDRESS(SMALL((IF($H$2:$H$52&lt;&gt;"",ROW($H$2:$H$52),ROW()+ROWS($H$2:$H$52))),ROW()-ROW($I$2:$I$52)+1),COLUMN($H$2:$H$52),4)))</f>
        <v/>
      </c>
      <c r="P3" s="301" t="str">
        <f t="array" aca="1" ref="P3" ca="1">IF(ROW()-ROW($J$2:$J$52)+1&gt;ROWS($I$2:$I$52)-COUNTBLANK($I$2:$I$52),"",INDIRECT(ADDRESS(SMALL((IF($I$2:$I$52&lt;&gt;"",ROW($I$2:$I$52),ROW()+ROWS($I$2:$I$52))),ROW()-ROW($J$2:$J$52)+1),COLUMN($I$2:$I$52),4)))</f>
        <v/>
      </c>
    </row>
    <row r="4" spans="1:16" s="51" customFormat="1">
      <c r="A4" s="276" t="str">
        <f>IF(Berechnung2!$B$26&gt;4,IF(Berechnung2!$B$26=5,"EZ",IF(Berechnung2!$B$26&gt;5,"relevant","?")),"nicht relevant")</f>
        <v>nicht relevant</v>
      </c>
      <c r="B4" s="277" t="str">
        <f>CONCATENATE("2015;"," ")</f>
        <v xml:space="preserve">2015; </v>
      </c>
      <c r="C4" s="272"/>
      <c r="D4" s="876"/>
      <c r="E4" s="268" t="str">
        <f>IF(H4="","","2015")</f>
        <v/>
      </c>
      <c r="F4" s="107" t="str">
        <f t="shared" si="0"/>
        <v/>
      </c>
      <c r="G4" s="107" t="str">
        <f t="shared" si="1"/>
        <v/>
      </c>
      <c r="H4" s="38" t="str">
        <f>IF(A4="relevant",IF(COUNTIF(Matrix!D21:Y21,"")&gt;3,Berechnung2!$M$33,""),"")</f>
        <v/>
      </c>
      <c r="I4" s="290" t="str">
        <f t="array" ref="I4">IF(H4="","",VLOOKUP(F4,Berechnung2!$I$15:$J$23,2,FALSE))</f>
        <v/>
      </c>
      <c r="J4" s="304" t="str">
        <f t="shared" si="2"/>
        <v/>
      </c>
      <c r="L4" s="299" t="str">
        <f t="array" aca="1" ref="L4" ca="1">IF(ROW()-ROW($F$2:$F$52)+1&gt;ROWS($E$2:$E$52)-COUNTBLANK($E$2:$E$52),"",INDIRECT(ADDRESS(SMALL((IF($E$2:$E$52&lt;&gt;"",ROW($E$2:$E$52),ROW()+ROWS($E$2:$E$52))),ROW()-ROW($F$2:$F$52)+1),COLUMN($E$2:$E$52),4)))</f>
        <v/>
      </c>
      <c r="M4" s="299" t="str">
        <f t="array" aca="1" ref="M4" ca="1">IF(ROW()-ROW($G$2:$G$52)+1&gt;ROWS($F$2:$F$52)-COUNTBLANK($F$2:$F$52),"",INDIRECT(ADDRESS(SMALL((IF($F$2:$F$52&lt;&gt;"",ROW($F$2:$F$52),ROW()+ROWS($F$2:$F$52))),ROW()-ROW($G$2:$G$52)+1),COLUMN($F$2:$F$52),4)))</f>
        <v/>
      </c>
      <c r="N4" s="299" t="str">
        <f t="array" aca="1" ref="N4" ca="1">IF(ROW()-ROW($H$2:$H$52)+1&gt;ROWS($G$2:$G$52)-COUNTBLANK($G$2:$G$52),"",INDIRECT(ADDRESS(SMALL((IF($G$2:$G$52&lt;&gt;"",ROW($G$2:$G$52),ROW()+ROWS($G$2:$G$52))),ROW()-ROW($H$2:$H$52)+1),COLUMN($G$2:$G$52),4)))</f>
        <v/>
      </c>
      <c r="O4" s="300" t="str">
        <f t="array" aca="1" ref="O4" ca="1">IF(ROW()-ROW($I$2:$I$52)+1&gt;ROWS($H$2:$H$52)-COUNTBLANK($H$2:$H$52),"",INDIRECT(ADDRESS(SMALL((IF($H$2:$H$52&lt;&gt;"",ROW($H$2:$H$52),ROW()+ROWS($H$2:$H$52))),ROW()-ROW($I$2:$I$52)+1),COLUMN($H$2:$H$52),4)))</f>
        <v/>
      </c>
      <c r="P4" s="301" t="str">
        <f t="array" aca="1" ref="P4" ca="1">IF(ROW()-ROW($J$2:$J$52)+1&gt;ROWS($I$2:$I$52)-COUNTBLANK($I$2:$I$52),"",INDIRECT(ADDRESS(SMALL((IF($I$2:$I$52&lt;&gt;"",ROW($I$2:$I$52),ROW()+ROWS($I$2:$I$52))),ROW()-ROW($J$2:$J$52)+1),COLUMN($I$2:$I$52),4)))</f>
        <v/>
      </c>
    </row>
    <row r="5" spans="1:16" s="51" customFormat="1" ht="65.25" customHeight="1">
      <c r="A5" s="276" t="str">
        <f>IF(Berechnung2!$B$26&gt;3,IF(Berechnung2!$B$26=4,"EZ",IF(Berechnung2!$B$26&gt;4,"relevant","?")),"nicht relevant")</f>
        <v>nicht relevant</v>
      </c>
      <c r="B5" s="277" t="str">
        <f>CONCATENATE("2016;"," ")</f>
        <v xml:space="preserve">2016; </v>
      </c>
      <c r="C5" s="272"/>
      <c r="D5" s="876"/>
      <c r="E5" s="268" t="str">
        <f>IF(H5="","","2016")</f>
        <v/>
      </c>
      <c r="F5" s="107" t="str">
        <f t="shared" si="0"/>
        <v/>
      </c>
      <c r="G5" s="107" t="str">
        <f t="shared" si="1"/>
        <v/>
      </c>
      <c r="H5" s="38" t="str">
        <f>IF(A5="relevant",IF(COUNTIF(Matrix!D22:Y22,"")&gt;3,Berechnung2!$M$33,""),"")</f>
        <v/>
      </c>
      <c r="I5" s="290" t="str">
        <f t="array" ref="I5">IF(H5="","",VLOOKUP(F5,Berechnung2!$I$15:$J$23,2,FALSE))</f>
        <v/>
      </c>
      <c r="J5" s="304" t="str">
        <f t="shared" si="2"/>
        <v/>
      </c>
      <c r="L5" s="299" t="str">
        <f t="array" aca="1" ref="L5" ca="1">IF(ROW()-ROW($F$2:$F$52)+1&gt;ROWS($E$2:$E$52)-COUNTBLANK($E$2:$E$52),"",INDIRECT(ADDRESS(SMALL((IF($E$2:$E$52&lt;&gt;"",ROW($E$2:$E$52),ROW()+ROWS($E$2:$E$52))),ROW()-ROW($F$2:$F$52)+1),COLUMN($E$2:$E$52),4)))</f>
        <v/>
      </c>
      <c r="M5" s="299" t="str">
        <f t="array" aca="1" ref="M5" ca="1">IF(ROW()-ROW($G$2:$G$52)+1&gt;ROWS($F$2:$F$52)-COUNTBLANK($F$2:$F$52),"",INDIRECT(ADDRESS(SMALL((IF($F$2:$F$52&lt;&gt;"",ROW($F$2:$F$52),ROW()+ROWS($F$2:$F$52))),ROW()-ROW($G$2:$G$52)+1),COLUMN($F$2:$F$52),4)))</f>
        <v/>
      </c>
      <c r="N5" s="299" t="str">
        <f t="array" aca="1" ref="N5" ca="1">IF(ROW()-ROW($H$2:$H$52)+1&gt;ROWS($G$2:$G$52)-COUNTBLANK($G$2:$G$52),"",INDIRECT(ADDRESS(SMALL((IF($G$2:$G$52&lt;&gt;"",ROW($G$2:$G$52),ROW()+ROWS($G$2:$G$52))),ROW()-ROW($H$2:$H$52)+1),COLUMN($G$2:$G$52),4)))</f>
        <v/>
      </c>
      <c r="O5" s="300" t="str">
        <f t="array" aca="1" ref="O5" ca="1">IF(ROW()-ROW($I$2:$I$52)+1&gt;ROWS($H$2:$H$52)-COUNTBLANK($H$2:$H$52),"",INDIRECT(ADDRESS(SMALL((IF($H$2:$H$52&lt;&gt;"",ROW($H$2:$H$52),ROW()+ROWS($H$2:$H$52))),ROW()-ROW($I$2:$I$52)+1),COLUMN($H$2:$H$52),4)))</f>
        <v/>
      </c>
      <c r="P5" s="301" t="str">
        <f t="array" aca="1" ref="P5" ca="1">IF(ROW()-ROW($J$2:$J$52)+1&gt;ROWS($I$2:$I$52)-COUNTBLANK($I$2:$I$52),"",INDIRECT(ADDRESS(SMALL((IF($I$2:$I$52&lt;&gt;"",ROW($I$2:$I$52),ROW()+ROWS($I$2:$I$52))),ROW()-ROW($J$2:$J$52)+1),COLUMN($I$2:$I$52),4)))</f>
        <v/>
      </c>
    </row>
    <row r="6" spans="1:16" s="51" customFormat="1" ht="42" customHeight="1">
      <c r="A6" s="276" t="str">
        <f>IF(Berechnung2!$B$26&gt;2,IF(Berechnung2!$B$26=3,"EZ",IF(Berechnung2!$B$26&gt;3,"relevant","?")),"nicht relevant")</f>
        <v>nicht relevant</v>
      </c>
      <c r="B6" s="277" t="str">
        <f>CONCATENATE("2017;"," ")</f>
        <v xml:space="preserve">2017; </v>
      </c>
      <c r="C6" s="272"/>
      <c r="D6" s="876"/>
      <c r="E6" s="268" t="str">
        <f>IF(H6="","","2017")</f>
        <v/>
      </c>
      <c r="F6" s="107" t="str">
        <f t="shared" si="0"/>
        <v/>
      </c>
      <c r="G6" s="107" t="str">
        <f t="shared" si="1"/>
        <v/>
      </c>
      <c r="H6" s="38" t="str">
        <f>IF(A6="relevant",IF(COUNTIF(Matrix!D23:Y23,"")&gt;2,Berechnung2!$M$33,""),"")</f>
        <v/>
      </c>
      <c r="I6" s="290" t="str">
        <f t="array" ref="I6">IF(H6="","",VLOOKUP(F6,Berechnung2!$I$15:$J$23,2,FALSE))</f>
        <v/>
      </c>
      <c r="J6" s="304" t="str">
        <f t="shared" si="2"/>
        <v/>
      </c>
      <c r="L6" s="299" t="str">
        <f t="array" aca="1" ref="L6" ca="1">IF(ROW()-ROW($F$2:$F$52)+1&gt;ROWS($E$2:$E$52)-COUNTBLANK($E$2:$E$52),"",INDIRECT(ADDRESS(SMALL((IF($E$2:$E$52&lt;&gt;"",ROW($E$2:$E$52),ROW()+ROWS($E$2:$E$52))),ROW()-ROW($F$2:$F$52)+1),COLUMN($E$2:$E$52),4)))</f>
        <v/>
      </c>
      <c r="M6" s="299" t="str">
        <f t="array" aca="1" ref="M6" ca="1">IF(ROW()-ROW($G$2:$G$52)+1&gt;ROWS($F$2:$F$52)-COUNTBLANK($F$2:$F$52),"",INDIRECT(ADDRESS(SMALL((IF($F$2:$F$52&lt;&gt;"",ROW($F$2:$F$52),ROW()+ROWS($F$2:$F$52))),ROW()-ROW($G$2:$G$52)+1),COLUMN($F$2:$F$52),4)))</f>
        <v/>
      </c>
      <c r="N6" s="299" t="str">
        <f t="array" aca="1" ref="N6" ca="1">IF(ROW()-ROW($H$2:$H$52)+1&gt;ROWS($G$2:$G$52)-COUNTBLANK($G$2:$G$52),"",INDIRECT(ADDRESS(SMALL((IF($G$2:$G$52&lt;&gt;"",ROW($G$2:$G$52),ROW()+ROWS($G$2:$G$52))),ROW()-ROW($H$2:$H$52)+1),COLUMN($G$2:$G$52),4)))</f>
        <v/>
      </c>
      <c r="O6" s="300" t="str">
        <f t="array" aca="1" ref="O6" ca="1">IF(ROW()-ROW($I$2:$I$52)+1&gt;ROWS($H$2:$H$52)-COUNTBLANK($H$2:$H$52),"",INDIRECT(ADDRESS(SMALL((IF($H$2:$H$52&lt;&gt;"",ROW($H$2:$H$52),ROW()+ROWS($H$2:$H$52))),ROW()-ROW($I$2:$I$52)+1),COLUMN($H$2:$H$52),4)))</f>
        <v/>
      </c>
      <c r="P6" s="301" t="str">
        <f t="array" aca="1" ref="P6" ca="1">IF(ROW()-ROW($J$2:$J$52)+1&gt;ROWS($I$2:$I$52)-COUNTBLANK($I$2:$I$52),"",INDIRECT(ADDRESS(SMALL((IF($I$2:$I$52&lt;&gt;"",ROW($I$2:$I$52),ROW()+ROWS($I$2:$I$52))),ROW()-ROW($J$2:$J$52)+1),COLUMN($I$2:$I$52),4)))</f>
        <v/>
      </c>
    </row>
    <row r="7" spans="1:16" s="51" customFormat="1" ht="49.5" customHeight="1">
      <c r="A7" s="482" t="str">
        <f>IF(Berechnung2!$B$26&gt;1,IF(Berechnung2!$B$26=2,"EZ",IF(Berechnung2!$B$26&gt;2,"relevant","?")),"nicht relevant")</f>
        <v>nicht relevant</v>
      </c>
      <c r="B7" s="483" t="str">
        <f>CONCATENATE("2018;"," ")</f>
        <v xml:space="preserve">2018; </v>
      </c>
      <c r="C7" s="272"/>
      <c r="D7" s="287" t="s">
        <v>297</v>
      </c>
      <c r="E7" s="276" t="str">
        <f>IF(H7="","","2018")</f>
        <v/>
      </c>
      <c r="F7" s="107" t="str">
        <f t="shared" si="0"/>
        <v/>
      </c>
      <c r="G7" s="107" t="str">
        <f t="shared" si="1"/>
        <v/>
      </c>
      <c r="H7" s="38" t="str">
        <f>IF(A7="relevant",IF(COUNTIF(Matrix!D24:R24,"")&gt;0,Berechnung2!$M$33,""),"")</f>
        <v/>
      </c>
      <c r="I7" s="290" t="str">
        <f t="array" ref="I7">IF(H7="","",VLOOKUP(F7,Berechnung2!$I$15:$J$23,2,FALSE))</f>
        <v/>
      </c>
      <c r="J7" s="304" t="str">
        <f t="shared" si="2"/>
        <v/>
      </c>
      <c r="L7" s="299" t="str">
        <f t="array" aca="1" ref="L7" ca="1">IF(ROW()-ROW($F$2:$F$52)+1&gt;ROWS($E$2:$E$52)-COUNTBLANK($E$2:$E$52),"",INDIRECT(ADDRESS(SMALL((IF($E$2:$E$52&lt;&gt;"",ROW($E$2:$E$52),ROW()+ROWS($E$2:$E$52))),ROW()-ROW($F$2:$F$52)+1),COLUMN($E$2:$E$52),4)))</f>
        <v/>
      </c>
      <c r="M7" s="299" t="str">
        <f t="array" aca="1" ref="M7" ca="1">IF(ROW()-ROW($G$2:$G$52)+1&gt;ROWS($F$2:$F$52)-COUNTBLANK($F$2:$F$52),"",INDIRECT(ADDRESS(SMALL((IF($F$2:$F$52&lt;&gt;"",ROW($F$2:$F$52),ROW()+ROWS($F$2:$F$52))),ROW()-ROW($G$2:$G$52)+1),COLUMN($F$2:$F$52),4)))</f>
        <v/>
      </c>
      <c r="N7" s="299" t="str">
        <f t="array" aca="1" ref="N7" ca="1">IF(ROW()-ROW($H$2:$H$52)+1&gt;ROWS($G$2:$G$52)-COUNTBLANK($G$2:$G$52),"",INDIRECT(ADDRESS(SMALL((IF($G$2:$G$52&lt;&gt;"",ROW($G$2:$G$52),ROW()+ROWS($G$2:$G$52))),ROW()-ROW($H$2:$H$52)+1),COLUMN($G$2:$G$52),4)))</f>
        <v/>
      </c>
      <c r="O7" s="300" t="str">
        <f t="array" aca="1" ref="O7" ca="1">IF(ROW()-ROW($I$2:$I$52)+1&gt;ROWS($H$2:$H$52)-COUNTBLANK($H$2:$H$52),"",INDIRECT(ADDRESS(SMALL((IF($H$2:$H$52&lt;&gt;"",ROW($H$2:$H$52),ROW()+ROWS($H$2:$H$52))),ROW()-ROW($I$2:$I$52)+1),COLUMN($H$2:$H$52),4)))</f>
        <v/>
      </c>
      <c r="P7" s="301" t="str">
        <f t="array" aca="1" ref="P7" ca="1">IF(ROW()-ROW($J$2:$J$52)+1&gt;ROWS($I$2:$I$52)-COUNTBLANK($I$2:$I$52),"",INDIRECT(ADDRESS(SMALL((IF($I$2:$I$52&lt;&gt;"",ROW($I$2:$I$52),ROW()+ROWS($I$2:$I$52))),ROW()-ROW($J$2:$J$52)+1),COLUMN($I$2:$I$52),4)))</f>
        <v/>
      </c>
    </row>
    <row r="8" spans="1:16" s="51" customFormat="1" ht="49.5" customHeight="1" thickBot="1">
      <c r="A8" s="278" t="str">
        <f>IF(Berechnung2!$B$26&gt;0,IF(Berechnung2!$B$26=1,"EZ",IF(Berechnung2!$B$26&gt;1,"relevant","?")),"nicht relevant")</f>
        <v>nicht relevant</v>
      </c>
      <c r="B8" s="279" t="str">
        <f>CONCATENATE("2019;"," ")</f>
        <v xml:space="preserve">2019; </v>
      </c>
      <c r="C8" s="272"/>
      <c r="D8" s="287"/>
      <c r="E8" s="276" t="str">
        <f>IF(H8="","","2019")</f>
        <v/>
      </c>
      <c r="F8" s="107" t="str">
        <f t="shared" ref="F8" si="3">IF(H8="","","a")</f>
        <v/>
      </c>
      <c r="G8" s="107" t="str">
        <f t="shared" ref="G8" si="4">IF(H8="","",1)</f>
        <v/>
      </c>
      <c r="H8" s="38" t="str">
        <f>IF(A8="relevant",IF(COUNTIF(Matrix!D25:R25,"")&gt;0,Berechnung2!$M$33,""),"")</f>
        <v/>
      </c>
      <c r="I8" s="290" t="str">
        <f t="array" ref="I8">IF(H8="","",VLOOKUP(F8,Berechnung2!$I$15:$J$23,2,FALSE))</f>
        <v/>
      </c>
      <c r="J8" s="304" t="str">
        <f t="shared" ref="J8" si="5">IF(H8&lt;&gt;"",1,"")</f>
        <v/>
      </c>
      <c r="L8" s="299" t="str">
        <f t="array" aca="1" ref="L8" ca="1">IF(ROW()-ROW($F$2:$F$52)+1&gt;ROWS($E$2:$E$52)-COUNTBLANK($E$2:$E$52),"",INDIRECT(ADDRESS(SMALL((IF($E$2:$E$52&lt;&gt;"",ROW($E$2:$E$52),ROW()+ROWS($E$2:$E$52))),ROW()-ROW($F$2:$F$52)+1),COLUMN($E$2:$E$52),4)))</f>
        <v/>
      </c>
      <c r="M8" s="299" t="str">
        <f t="array" aca="1" ref="M8" ca="1">IF(ROW()-ROW($G$2:$G$52)+1&gt;ROWS($F$2:$F$52)-COUNTBLANK($F$2:$F$52),"",INDIRECT(ADDRESS(SMALL((IF($F$2:$F$52&lt;&gt;"",ROW($F$2:$F$52),ROW()+ROWS($F$2:$F$52))),ROW()-ROW($G$2:$G$52)+1),COLUMN($F$2:$F$52),4)))</f>
        <v/>
      </c>
      <c r="N8" s="299" t="str">
        <f t="array" aca="1" ref="N8" ca="1">IF(ROW()-ROW($H$2:$H$52)+1&gt;ROWS($G$2:$G$52)-COUNTBLANK($G$2:$G$52),"",INDIRECT(ADDRESS(SMALL((IF($G$2:$G$52&lt;&gt;"",ROW($G$2:$G$52),ROW()+ROWS($G$2:$G$52))),ROW()-ROW($H$2:$H$52)+1),COLUMN($G$2:$G$52),4)))</f>
        <v/>
      </c>
      <c r="O8" s="300" t="str">
        <f t="array" aca="1" ref="O8" ca="1">IF(ROW()-ROW($I$2:$I$52)+1&gt;ROWS($H$2:$H$52)-COUNTBLANK($H$2:$H$52),"",INDIRECT(ADDRESS(SMALL((IF($H$2:$H$52&lt;&gt;"",ROW($H$2:$H$52),ROW()+ROWS($H$2:$H$52))),ROW()-ROW($I$2:$I$52)+1),COLUMN($H$2:$H$52),4)))</f>
        <v/>
      </c>
      <c r="P8" s="301" t="str">
        <f t="array" aca="1" ref="P8" ca="1">IF(ROW()-ROW($J$2:$J$52)+1&gt;ROWS($I$2:$I$52)-COUNTBLANK($I$2:$I$52),"",INDIRECT(ADDRESS(SMALL((IF($I$2:$I$52&lt;&gt;"",ROW($I$2:$I$52),ROW()+ROWS($I$2:$I$52))),ROW()-ROW($J$2:$J$52)+1),COLUMN($I$2:$I$52),4)))</f>
        <v/>
      </c>
    </row>
    <row r="9" spans="1:16" ht="54" customHeight="1">
      <c r="C9" s="266"/>
      <c r="D9" s="284" t="s">
        <v>76</v>
      </c>
      <c r="E9" s="267" t="str">
        <f>IF(H9="","","2013")</f>
        <v/>
      </c>
      <c r="F9" s="388" t="str">
        <f t="shared" ref="F9:F13" si="6">IF(H9="","","b")</f>
        <v/>
      </c>
      <c r="G9" s="252" t="str">
        <f t="shared" ref="G9:G13" si="7">IF(H9="","",6)</f>
        <v/>
      </c>
      <c r="H9" s="257" t="str">
        <f>IF(A2="relevant",IF(Matrix!D19="","",IF(ROUND(Matrix!D19,4)&lt;Berechnung2!H34,Berechnung2!M34,"")),"")</f>
        <v/>
      </c>
      <c r="I9" s="294" t="str">
        <f>IF(H9="","",VLOOKUP(F9,Berechnung2!$I$15:$J$23,2,FALSE))</f>
        <v/>
      </c>
      <c r="J9" s="303" t="str">
        <f t="shared" ref="J9:J13" si="8">IF(H9&lt;&gt;"",1,"")</f>
        <v/>
      </c>
      <c r="L9" s="299" t="str">
        <f t="array" aca="1" ref="L9" ca="1">IF(ROW()-ROW($F$2:$F$52)+1&gt;ROWS($E$2:$E$52)-COUNTBLANK($E$2:$E$52),"",INDIRECT(ADDRESS(SMALL((IF($E$2:$E$52&lt;&gt;"",ROW($E$2:$E$52),ROW()+ROWS($E$2:$E$52))),ROW()-ROW($F$2:$F$52)+1),COLUMN($E$2:$E$52),4)))</f>
        <v/>
      </c>
      <c r="M9" s="299" t="str">
        <f t="array" aca="1" ref="M9" ca="1">IF(ROW()-ROW($G$2:$G$52)+1&gt;ROWS($F$2:$F$52)-COUNTBLANK($F$2:$F$52),"",INDIRECT(ADDRESS(SMALL((IF($F$2:$F$52&lt;&gt;"",ROW($F$2:$F$52),ROW()+ROWS($F$2:$F$52))),ROW()-ROW($G$2:$G$52)+1),COLUMN($F$2:$F$52),4)))</f>
        <v/>
      </c>
      <c r="N9" s="299" t="str">
        <f t="array" aca="1" ref="N9" ca="1">IF(ROW()-ROW($H$2:$H$52)+1&gt;ROWS($G$2:$G$52)-COUNTBLANK($G$2:$G$52),"",INDIRECT(ADDRESS(SMALL((IF($G$2:$G$52&lt;&gt;"",ROW($G$2:$G$52),ROW()+ROWS($G$2:$G$52))),ROW()-ROW($H$2:$H$52)+1),COLUMN($G$2:$G$52),4)))</f>
        <v/>
      </c>
      <c r="O9" s="300" t="str">
        <f t="array" aca="1" ref="O9" ca="1">IF(ROW()-ROW($I$2:$I$52)+1&gt;ROWS($H$2:$H$52)-COUNTBLANK($H$2:$H$52),"",INDIRECT(ADDRESS(SMALL((IF($H$2:$H$52&lt;&gt;"",ROW($H$2:$H$52),ROW()+ROWS($H$2:$H$52))),ROW()-ROW($I$2:$I$52)+1),COLUMN($H$2:$H$52),4)))</f>
        <v/>
      </c>
      <c r="P9" s="301" t="str">
        <f t="array" aca="1" ref="P9" ca="1">IF(ROW()-ROW($J$2:$J$52)+1&gt;ROWS($I$2:$I$52)-COUNTBLANK($I$2:$I$52),"",INDIRECT(ADDRESS(SMALL((IF($I$2:$I$52&lt;&gt;"",ROW($I$2:$I$52),ROW()+ROWS($I$2:$I$52))),ROW()-ROW($J$2:$J$52)+1),COLUMN($I$2:$I$52),4)))</f>
        <v/>
      </c>
    </row>
    <row r="10" spans="1:16">
      <c r="A10" s="271"/>
      <c r="B10" s="266"/>
      <c r="C10" s="266"/>
      <c r="D10" s="875" t="s">
        <v>144</v>
      </c>
      <c r="E10" s="268" t="str">
        <f>IF(H10="","","2014")</f>
        <v/>
      </c>
      <c r="F10" s="107" t="str">
        <f t="shared" si="6"/>
        <v/>
      </c>
      <c r="G10" s="107" t="str">
        <f t="shared" si="7"/>
        <v/>
      </c>
      <c r="H10" s="38" t="str">
        <f>IF(A3="relevant",IF(Matrix!D20="","",IF(ROUND(Matrix!D20,4)&lt;Berechnung2!H34,Berechnung2!M34,"")),"")</f>
        <v/>
      </c>
      <c r="I10" s="295" t="str">
        <f>IF(H10="","",VLOOKUP(F10,Berechnung2!$I$15:$J$23,2,FALSE))</f>
        <v/>
      </c>
      <c r="J10" s="304" t="str">
        <f t="shared" si="8"/>
        <v/>
      </c>
      <c r="L10" s="299" t="str">
        <f t="array" aca="1" ref="L10" ca="1">IF(ROW()-ROW($F$2:$F$52)+1&gt;ROWS($E$2:$E$52)-COUNTBLANK($E$2:$E$52),"",INDIRECT(ADDRESS(SMALL((IF($E$2:$E$52&lt;&gt;"",ROW($E$2:$E$52),ROW()+ROWS($E$2:$E$52))),ROW()-ROW($F$2:$F$52)+1),COLUMN($E$2:$E$52),4)))</f>
        <v/>
      </c>
      <c r="M10" s="299" t="str">
        <f t="array" aca="1" ref="M10" ca="1">IF(ROW()-ROW($G$2:$G$52)+1&gt;ROWS($F$2:$F$52)-COUNTBLANK($F$2:$F$52),"",INDIRECT(ADDRESS(SMALL((IF($F$2:$F$52&lt;&gt;"",ROW($F$2:$F$52),ROW()+ROWS($F$2:$F$52))),ROW()-ROW($G$2:$G$52)+1),COLUMN($F$2:$F$52),4)))</f>
        <v/>
      </c>
      <c r="N10" s="299" t="str">
        <f t="array" aca="1" ref="N10" ca="1">IF(ROW()-ROW($H$2:$H$52)+1&gt;ROWS($G$2:$G$52)-COUNTBLANK($G$2:$G$52),"",INDIRECT(ADDRESS(SMALL((IF($G$2:$G$52&lt;&gt;"",ROW($G$2:$G$52),ROW()+ROWS($G$2:$G$52))),ROW()-ROW($H$2:$H$52)+1),COLUMN($G$2:$G$52),4)))</f>
        <v/>
      </c>
      <c r="O10" s="300" t="str">
        <f t="array" aca="1" ref="O10" ca="1">IF(ROW()-ROW($I$2:$I$52)+1&gt;ROWS($H$2:$H$52)-COUNTBLANK($H$2:$H$52),"",INDIRECT(ADDRESS(SMALL((IF($H$2:$H$52&lt;&gt;"",ROW($H$2:$H$52),ROW()+ROWS($H$2:$H$52))),ROW()-ROW($I$2:$I$52)+1),COLUMN($H$2:$H$52),4)))</f>
        <v/>
      </c>
      <c r="P10" s="301" t="str">
        <f t="array" aca="1" ref="P10" ca="1">IF(ROW()-ROW($J$2:$J$52)+1&gt;ROWS($I$2:$I$52)-COUNTBLANK($I$2:$I$52),"",INDIRECT(ADDRESS(SMALL((IF($I$2:$I$52&lt;&gt;"",ROW($I$2:$I$52),ROW()+ROWS($I$2:$I$52))),ROW()-ROW($J$2:$J$52)+1),COLUMN($I$2:$I$52),4)))</f>
        <v/>
      </c>
    </row>
    <row r="11" spans="1:16">
      <c r="A11" s="271"/>
      <c r="B11" s="266"/>
      <c r="C11" s="266"/>
      <c r="D11" s="875"/>
      <c r="E11" s="268" t="str">
        <f>IF(H11="","","2015")</f>
        <v/>
      </c>
      <c r="F11" s="107" t="str">
        <f t="shared" si="6"/>
        <v/>
      </c>
      <c r="G11" s="107" t="str">
        <f t="shared" si="7"/>
        <v/>
      </c>
      <c r="H11" s="38" t="str">
        <f>IF(A4="relevant",IF(Matrix!D21="","",IF(ROUND(Matrix!D21,4)&lt;Berechnung2!H34,Berechnung2!M34,"")),"")</f>
        <v/>
      </c>
      <c r="I11" s="295" t="str">
        <f>IF(H11="","",VLOOKUP(F11,Berechnung2!$I$15:$J$23,2,FALSE))</f>
        <v/>
      </c>
      <c r="J11" s="304" t="str">
        <f t="shared" si="8"/>
        <v/>
      </c>
      <c r="L11" s="299" t="str">
        <f t="array" aca="1" ref="L11" ca="1">IF(ROW()-ROW($F$2:$F$52)+1&gt;ROWS($E$2:$E$52)-COUNTBLANK($E$2:$E$52),"",INDIRECT(ADDRESS(SMALL((IF($E$2:$E$52&lt;&gt;"",ROW($E$2:$E$52),ROW()+ROWS($E$2:$E$52))),ROW()-ROW($F$2:$F$52)+1),COLUMN($E$2:$E$52),4)))</f>
        <v/>
      </c>
      <c r="M11" s="299" t="str">
        <f t="array" aca="1" ref="M11" ca="1">IF(ROW()-ROW($G$2:$G$52)+1&gt;ROWS($F$2:$F$52)-COUNTBLANK($F$2:$F$52),"",INDIRECT(ADDRESS(SMALL((IF($F$2:$F$52&lt;&gt;"",ROW($F$2:$F$52),ROW()+ROWS($F$2:$F$52))),ROW()-ROW($G$2:$G$52)+1),COLUMN($F$2:$F$52),4)))</f>
        <v/>
      </c>
      <c r="N11" s="299" t="str">
        <f t="array" aca="1" ref="N11" ca="1">IF(ROW()-ROW($H$2:$H$52)+1&gt;ROWS($G$2:$G$52)-COUNTBLANK($G$2:$G$52),"",INDIRECT(ADDRESS(SMALL((IF($G$2:$G$52&lt;&gt;"",ROW($G$2:$G$52),ROW()+ROWS($G$2:$G$52))),ROW()-ROW($H$2:$H$52)+1),COLUMN($G$2:$G$52),4)))</f>
        <v/>
      </c>
      <c r="O11" s="300" t="str">
        <f t="array" aca="1" ref="O11" ca="1">IF(ROW()-ROW($I$2:$I$52)+1&gt;ROWS($H$2:$H$52)-COUNTBLANK($H$2:$H$52),"",INDIRECT(ADDRESS(SMALL((IF($H$2:$H$52&lt;&gt;"",ROW($H$2:$H$52),ROW()+ROWS($H$2:$H$52))),ROW()-ROW($I$2:$I$52)+1),COLUMN($H$2:$H$52),4)))</f>
        <v/>
      </c>
      <c r="P11" s="301" t="str">
        <f t="array" aca="1" ref="P11" ca="1">IF(ROW()-ROW($J$2:$J$52)+1&gt;ROWS($I$2:$I$52)-COUNTBLANK($I$2:$I$52),"",INDIRECT(ADDRESS(SMALL((IF($I$2:$I$52&lt;&gt;"",ROW($I$2:$I$52),ROW()+ROWS($I$2:$I$52))),ROW()-ROW($J$2:$J$52)+1),COLUMN($I$2:$I$52),4)))</f>
        <v/>
      </c>
    </row>
    <row r="12" spans="1:16">
      <c r="A12" s="271"/>
      <c r="B12" s="266"/>
      <c r="C12" s="266"/>
      <c r="D12" s="875"/>
      <c r="E12" s="268" t="str">
        <f>IF(H12="","","2016")</f>
        <v/>
      </c>
      <c r="F12" s="107" t="str">
        <f t="shared" si="6"/>
        <v/>
      </c>
      <c r="G12" s="107" t="str">
        <f t="shared" si="7"/>
        <v/>
      </c>
      <c r="H12" s="38" t="str">
        <f>IF(A5="relevant",IF(Matrix!D22="","",IF(ROUND(Matrix!D22,4)&lt;Berechnung2!H34,Berechnung2!M34,"")),"")</f>
        <v/>
      </c>
      <c r="I12" s="295" t="str">
        <f>IF(H12="","",VLOOKUP(F12,Berechnung2!$I$15:$J$23,2,FALSE))</f>
        <v/>
      </c>
      <c r="J12" s="304" t="str">
        <f t="shared" si="8"/>
        <v/>
      </c>
      <c r="L12" s="299" t="str">
        <f t="array" aca="1" ref="L12" ca="1">IF(ROW()-ROW($F$2:$F$52)+1&gt;ROWS($E$2:$E$52)-COUNTBLANK($E$2:$E$52),"",INDIRECT(ADDRESS(SMALL((IF($E$2:$E$52&lt;&gt;"",ROW($E$2:$E$52),ROW()+ROWS($E$2:$E$52))),ROW()-ROW($F$2:$F$52)+1),COLUMN($E$2:$E$52),4)))</f>
        <v/>
      </c>
      <c r="M12" s="299" t="str">
        <f t="array" aca="1" ref="M12" ca="1">IF(ROW()-ROW($G$2:$G$52)+1&gt;ROWS($F$2:$F$52)-COUNTBLANK($F$2:$F$52),"",INDIRECT(ADDRESS(SMALL((IF($F$2:$F$52&lt;&gt;"",ROW($F$2:$F$52),ROW()+ROWS($F$2:$F$52))),ROW()-ROW($G$2:$G$52)+1),COLUMN($F$2:$F$52),4)))</f>
        <v/>
      </c>
      <c r="N12" s="299" t="str">
        <f t="array" aca="1" ref="N12" ca="1">IF(ROW()-ROW($H$2:$H$52)+1&gt;ROWS($G$2:$G$52)-COUNTBLANK($G$2:$G$52),"",INDIRECT(ADDRESS(SMALL((IF($G$2:$G$52&lt;&gt;"",ROW($G$2:$G$52),ROW()+ROWS($G$2:$G$52))),ROW()-ROW($H$2:$H$52)+1),COLUMN($G$2:$G$52),4)))</f>
        <v/>
      </c>
      <c r="O12" s="300" t="str">
        <f t="array" aca="1" ref="O12" ca="1">IF(ROW()-ROW($I$2:$I$52)+1&gt;ROWS($H$2:$H$52)-COUNTBLANK($H$2:$H$52),"",INDIRECT(ADDRESS(SMALL((IF($H$2:$H$52&lt;&gt;"",ROW($H$2:$H$52),ROW()+ROWS($H$2:$H$52))),ROW()-ROW($I$2:$I$52)+1),COLUMN($H$2:$H$52),4)))</f>
        <v/>
      </c>
      <c r="P12" s="301" t="str">
        <f t="array" aca="1" ref="P12" ca="1">IF(ROW()-ROW($J$2:$J$52)+1&gt;ROWS($I$2:$I$52)-COUNTBLANK($I$2:$I$52),"",INDIRECT(ADDRESS(SMALL((IF($I$2:$I$52&lt;&gt;"",ROW($I$2:$I$52),ROW()+ROWS($I$2:$I$52))),ROW()-ROW($J$2:$J$52)+1),COLUMN($I$2:$I$52),4)))</f>
        <v/>
      </c>
    </row>
    <row r="13" spans="1:16" ht="32.25" customHeight="1">
      <c r="A13" s="271"/>
      <c r="B13" s="266"/>
      <c r="C13" s="266"/>
      <c r="D13" s="875"/>
      <c r="E13" s="268" t="str">
        <f>IF(H13="","","2017")</f>
        <v/>
      </c>
      <c r="F13" s="107" t="str">
        <f t="shared" si="6"/>
        <v/>
      </c>
      <c r="G13" s="107" t="str">
        <f t="shared" si="7"/>
        <v/>
      </c>
      <c r="H13" s="38" t="str">
        <f>IF(A6="relevant",IF(Matrix!D23="","",IF(ROUND(Matrix!D23,4)&lt;Berechnung2!H34,Berechnung2!M34,"")),"")</f>
        <v/>
      </c>
      <c r="I13" s="295" t="str">
        <f>IF(H13="","",VLOOKUP(F13,Berechnung2!$I$15:$J$23,2,FALSE))</f>
        <v/>
      </c>
      <c r="J13" s="304" t="str">
        <f t="shared" si="8"/>
        <v/>
      </c>
      <c r="L13" s="299" t="str">
        <f t="array" aca="1" ref="L13" ca="1">IF(ROW()-ROW($F$2:$F$52)+1&gt;ROWS($E$2:$E$52)-COUNTBLANK($E$2:$E$52),"",INDIRECT(ADDRESS(SMALL((IF($E$2:$E$52&lt;&gt;"",ROW($E$2:$E$52),ROW()+ROWS($E$2:$E$52))),ROW()-ROW($F$2:$F$52)+1),COLUMN($E$2:$E$52),4)))</f>
        <v/>
      </c>
      <c r="M13" s="299" t="str">
        <f t="array" aca="1" ref="M13" ca="1">IF(ROW()-ROW($G$2:$G$52)+1&gt;ROWS($F$2:$F$52)-COUNTBLANK($F$2:$F$52),"",INDIRECT(ADDRESS(SMALL((IF($F$2:$F$52&lt;&gt;"",ROW($F$2:$F$52),ROW()+ROWS($F$2:$F$52))),ROW()-ROW($G$2:$G$52)+1),COLUMN($F$2:$F$52),4)))</f>
        <v/>
      </c>
      <c r="N13" s="299" t="str">
        <f t="array" aca="1" ref="N13" ca="1">IF(ROW()-ROW($H$2:$H$52)+1&gt;ROWS($G$2:$G$52)-COUNTBLANK($G$2:$G$52),"",INDIRECT(ADDRESS(SMALL((IF($G$2:$G$52&lt;&gt;"",ROW($G$2:$G$52),ROW()+ROWS($G$2:$G$52))),ROW()-ROW($H$2:$H$52)+1),COLUMN($G$2:$G$52),4)))</f>
        <v/>
      </c>
      <c r="O13" s="300" t="str">
        <f t="array" aca="1" ref="O13" ca="1">IF(ROW()-ROW($I$2:$I$52)+1&gt;ROWS($H$2:$H$52)-COUNTBLANK($H$2:$H$52),"",INDIRECT(ADDRESS(SMALL((IF($H$2:$H$52&lt;&gt;"",ROW($H$2:$H$52),ROW()+ROWS($H$2:$H$52))),ROW()-ROW($I$2:$I$52)+1),COLUMN($H$2:$H$52),4)))</f>
        <v/>
      </c>
      <c r="P13" s="301" t="str">
        <f t="array" aca="1" ref="P13" ca="1">IF(ROW()-ROW($J$2:$J$52)+1&gt;ROWS($I$2:$I$52)-COUNTBLANK($I$2:$I$52),"",INDIRECT(ADDRESS(SMALL((IF($I$2:$I$52&lt;&gt;"",ROW($I$2:$I$52),ROW()+ROWS($I$2:$I$52))),ROW()-ROW($J$2:$J$52)+1),COLUMN($I$2:$I$52),4)))</f>
        <v/>
      </c>
    </row>
    <row r="14" spans="1:16" ht="32.25" customHeight="1">
      <c r="A14" s="271"/>
      <c r="B14" s="266"/>
      <c r="C14" s="266"/>
      <c r="D14" s="478"/>
      <c r="E14" s="268" t="str">
        <f>IF(H14="","","2018")</f>
        <v/>
      </c>
      <c r="F14" s="107" t="str">
        <f t="shared" ref="F14:F15" si="9">IF(H14="","","b")</f>
        <v/>
      </c>
      <c r="G14" s="107" t="str">
        <f t="shared" ref="G14:G15" si="10">IF(H14="","",6)</f>
        <v/>
      </c>
      <c r="H14" s="38" t="str">
        <f>IF(A7="relevant",IF(Matrix!D24="","",IF(ROUND(Matrix!D24,4)&lt;Berechnung2!H34,Berechnung2!M34,"")),"")</f>
        <v/>
      </c>
      <c r="I14" s="295" t="str">
        <f>IF(H14="","",VLOOKUP(F14,Berechnung2!$I$15:$J$23,2,FALSE))</f>
        <v/>
      </c>
      <c r="J14" s="304" t="str">
        <f t="shared" ref="J14:J15" si="11">IF(H14&lt;&gt;"",1,"")</f>
        <v/>
      </c>
      <c r="L14" s="299" t="str">
        <f t="array" aca="1" ref="L14" ca="1">IF(ROW()-ROW($F$2:$F$52)+1&gt;ROWS($E$2:$E$52)-COUNTBLANK($E$2:$E$52),"",INDIRECT(ADDRESS(SMALL((IF($E$2:$E$52&lt;&gt;"",ROW($E$2:$E$52),ROW()+ROWS($E$2:$E$52))),ROW()-ROW($F$2:$F$52)+1),COLUMN($E$2:$E$52),4)))</f>
        <v/>
      </c>
      <c r="M14" s="299" t="str">
        <f t="array" aca="1" ref="M14" ca="1">IF(ROW()-ROW($G$2:$G$52)+1&gt;ROWS($F$2:$F$52)-COUNTBLANK($F$2:$F$52),"",INDIRECT(ADDRESS(SMALL((IF($F$2:$F$52&lt;&gt;"",ROW($F$2:$F$52),ROW()+ROWS($F$2:$F$52))),ROW()-ROW($G$2:$G$52)+1),COLUMN($F$2:$F$52),4)))</f>
        <v/>
      </c>
      <c r="N14" s="299" t="str">
        <f t="array" aca="1" ref="N14" ca="1">IF(ROW()-ROW($H$2:$H$52)+1&gt;ROWS($G$2:$G$52)-COUNTBLANK($G$2:$G$52),"",INDIRECT(ADDRESS(SMALL((IF($G$2:$G$52&lt;&gt;"",ROW($G$2:$G$52),ROW()+ROWS($G$2:$G$52))),ROW()-ROW($H$2:$H$52)+1),COLUMN($G$2:$G$52),4)))</f>
        <v/>
      </c>
      <c r="O14" s="300" t="str">
        <f t="array" aca="1" ref="O14" ca="1">IF(ROW()-ROW($I$2:$I$52)+1&gt;ROWS($H$2:$H$52)-COUNTBLANK($H$2:$H$52),"",INDIRECT(ADDRESS(SMALL((IF($H$2:$H$52&lt;&gt;"",ROW($H$2:$H$52),ROW()+ROWS($H$2:$H$52))),ROW()-ROW($I$2:$I$52)+1),COLUMN($H$2:$H$52),4)))</f>
        <v/>
      </c>
      <c r="P14" s="301" t="str">
        <f t="array" aca="1" ref="P14" ca="1">IF(ROW()-ROW($J$2:$J$52)+1&gt;ROWS($I$2:$I$52)-COUNTBLANK($I$2:$I$52),"",INDIRECT(ADDRESS(SMALL((IF($I$2:$I$52&lt;&gt;"",ROW($I$2:$I$52),ROW()+ROWS($I$2:$I$52))),ROW()-ROW($J$2:$J$52)+1),COLUMN($I$2:$I$52),4)))</f>
        <v/>
      </c>
    </row>
    <row r="15" spans="1:16" ht="25.5" customHeight="1" thickBot="1">
      <c r="A15" s="271"/>
      <c r="B15" s="266"/>
      <c r="C15" s="266"/>
      <c r="D15" s="285" t="s">
        <v>299</v>
      </c>
      <c r="E15" s="268" t="str">
        <f>IF(H15="","","2019")</f>
        <v/>
      </c>
      <c r="F15" s="107" t="str">
        <f t="shared" si="9"/>
        <v/>
      </c>
      <c r="G15" s="107" t="str">
        <f t="shared" si="10"/>
        <v/>
      </c>
      <c r="H15" s="38" t="str">
        <f>IF(A8="relevant",IF(Matrix!D25="","",IF(ROUND(Matrix!D25,4)&lt;Berechnung2!H34,Berechnung2!M34,"")),"")</f>
        <v/>
      </c>
      <c r="I15" s="295" t="str">
        <f>IF(H15="","",VLOOKUP(F15,Berechnung2!$I$15:$J$23,2,FALSE))</f>
        <v/>
      </c>
      <c r="J15" s="304" t="str">
        <f t="shared" si="11"/>
        <v/>
      </c>
      <c r="L15" s="299" t="str">
        <f t="array" aca="1" ref="L15" ca="1">IF(ROW()-ROW($F$2:$F$52)+1&gt;ROWS($E$2:$E$52)-COUNTBLANK($E$2:$E$52),"",INDIRECT(ADDRESS(SMALL((IF($E$2:$E$52&lt;&gt;"",ROW($E$2:$E$52),ROW()+ROWS($E$2:$E$52))),ROW()-ROW($F$2:$F$52)+1),COLUMN($E$2:$E$52),4)))</f>
        <v/>
      </c>
      <c r="M15" s="299" t="str">
        <f t="array" aca="1" ref="M15" ca="1">IF(ROW()-ROW($G$2:$G$52)+1&gt;ROWS($F$2:$F$52)-COUNTBLANK($F$2:$F$52),"",INDIRECT(ADDRESS(SMALL((IF($F$2:$F$52&lt;&gt;"",ROW($F$2:$F$52),ROW()+ROWS($F$2:$F$52))),ROW()-ROW($G$2:$G$52)+1),COLUMN($F$2:$F$52),4)))</f>
        <v/>
      </c>
      <c r="N15" s="299" t="str">
        <f t="array" aca="1" ref="N15" ca="1">IF(ROW()-ROW($H$2:$H$52)+1&gt;ROWS($G$2:$G$52)-COUNTBLANK($G$2:$G$52),"",INDIRECT(ADDRESS(SMALL((IF($G$2:$G$52&lt;&gt;"",ROW($G$2:$G$52),ROW()+ROWS($G$2:$G$52))),ROW()-ROW($H$2:$H$52)+1),COLUMN($G$2:$G$52),4)))</f>
        <v/>
      </c>
      <c r="O15" s="300" t="str">
        <f t="array" aca="1" ref="O15" ca="1">IF(ROW()-ROW($I$2:$I$52)+1&gt;ROWS($H$2:$H$52)-COUNTBLANK($H$2:$H$52),"",INDIRECT(ADDRESS(SMALL((IF($H$2:$H$52&lt;&gt;"",ROW($H$2:$H$52),ROW()+ROWS($H$2:$H$52))),ROW()-ROW($I$2:$I$52)+1),COLUMN($H$2:$H$52),4)))</f>
        <v/>
      </c>
      <c r="P15" s="301" t="str">
        <f t="array" aca="1" ref="P15" ca="1">IF(ROW()-ROW($J$2:$J$52)+1&gt;ROWS($I$2:$I$52)-COUNTBLANK($I$2:$I$52),"",INDIRECT(ADDRESS(SMALL((IF($I$2:$I$52&lt;&gt;"",ROW($I$2:$I$52),ROW()+ROWS($I$2:$I$52))),ROW()-ROW($J$2:$J$52)+1),COLUMN($I$2:$I$52),4)))</f>
        <v/>
      </c>
    </row>
    <row r="16" spans="1:16">
      <c r="A16" s="271"/>
      <c r="B16" s="266"/>
      <c r="C16" s="266"/>
      <c r="D16" s="288" t="s">
        <v>86</v>
      </c>
      <c r="E16" s="306" t="str">
        <f>IF(H16="","","2013")</f>
        <v/>
      </c>
      <c r="F16" s="307" t="str">
        <f t="shared" ref="F16:F20" si="12">IF(H16="","","c")</f>
        <v/>
      </c>
      <c r="G16" s="307" t="str">
        <f t="shared" ref="G16:G27" si="13">IF(H16="","","1")</f>
        <v/>
      </c>
      <c r="H16" s="308" t="str">
        <f>IF(A2="relevant",IF(Matrix!T19="","",IF(Matrix!T19&gt;Matrix!D19,Berechnung2!$M$38,"")),"")</f>
        <v/>
      </c>
      <c r="I16" s="309" t="str">
        <f t="array" ref="I16">IF(H16="","",VLOOKUP(F16,Berechnung2!$I$15:$J$23,2,FALSE))</f>
        <v/>
      </c>
      <c r="J16" s="310" t="str">
        <f t="shared" si="2"/>
        <v/>
      </c>
      <c r="L16" s="299" t="str">
        <f t="array" aca="1" ref="L16" ca="1">IF(ROW()-ROW($F$2:$F$52)+1&gt;ROWS($E$2:$E$52)-COUNTBLANK($E$2:$E$52),"",INDIRECT(ADDRESS(SMALL((IF($E$2:$E$52&lt;&gt;"",ROW($E$2:$E$52),ROW()+ROWS($E$2:$E$52))),ROW()-ROW($F$2:$F$52)+1),COLUMN($E$2:$E$52),4)))</f>
        <v/>
      </c>
      <c r="M16" s="299" t="str">
        <f t="array" aca="1" ref="M16" ca="1">IF(ROW()-ROW($G$2:$G$52)+1&gt;ROWS($F$2:$F$52)-COUNTBLANK($F$2:$F$52),"",INDIRECT(ADDRESS(SMALL((IF($F$2:$F$52&lt;&gt;"",ROW($F$2:$F$52),ROW()+ROWS($F$2:$F$52))),ROW()-ROW($G$2:$G$52)+1),COLUMN($F$2:$F$52),4)))</f>
        <v/>
      </c>
      <c r="N16" s="299" t="str">
        <f t="array" aca="1" ref="N16" ca="1">IF(ROW()-ROW($H$2:$H$52)+1&gt;ROWS($G$2:$G$52)-COUNTBLANK($G$2:$G$52),"",INDIRECT(ADDRESS(SMALL((IF($G$2:$G$52&lt;&gt;"",ROW($G$2:$G$52),ROW()+ROWS($G$2:$G$52))),ROW()-ROW($H$2:$H$52)+1),COLUMN($G$2:$G$52),4)))</f>
        <v/>
      </c>
      <c r="O16" s="300" t="str">
        <f t="array" aca="1" ref="O16" ca="1">IF(ROW()-ROW($I$2:$I$52)+1&gt;ROWS($H$2:$H$52)-COUNTBLANK($H$2:$H$52),"",INDIRECT(ADDRESS(SMALL((IF($H$2:$H$52&lt;&gt;"",ROW($H$2:$H$52),ROW()+ROWS($H$2:$H$52))),ROW()-ROW($I$2:$I$52)+1),COLUMN($H$2:$H$52),4)))</f>
        <v/>
      </c>
      <c r="P16" s="301" t="str">
        <f t="array" aca="1" ref="P16" ca="1">IF(ROW()-ROW($J$2:$J$52)+1&gt;ROWS($I$2:$I$52)-COUNTBLANK($I$2:$I$52),"",INDIRECT(ADDRESS(SMALL((IF($I$2:$I$52&lt;&gt;"",ROW($I$2:$I$52),ROW()+ROWS($I$2:$I$52))),ROW()-ROW($J$2:$J$52)+1),COLUMN($I$2:$I$52),4)))</f>
        <v/>
      </c>
    </row>
    <row r="17" spans="1:16" ht="22.5" customHeight="1">
      <c r="A17" s="271"/>
      <c r="B17" s="266"/>
      <c r="C17" s="266"/>
      <c r="D17" s="876" t="s">
        <v>356</v>
      </c>
      <c r="E17" s="268" t="str">
        <f>IF(H17="","","2014")</f>
        <v/>
      </c>
      <c r="F17" s="251" t="str">
        <f t="shared" si="12"/>
        <v/>
      </c>
      <c r="G17" s="251" t="str">
        <f t="shared" si="13"/>
        <v/>
      </c>
      <c r="H17" s="38" t="str">
        <f>IF(A3="relevant",IF(Matrix!T20="","",IF(Matrix!T20&gt;Matrix!D20,Berechnung2!$M$38,"")),"")</f>
        <v/>
      </c>
      <c r="I17" s="292" t="str">
        <f t="array" ref="I17">IF(H17="","",VLOOKUP(F17,Berechnung2!$I$15:$J$23,2,FALSE))</f>
        <v/>
      </c>
      <c r="J17" s="304" t="str">
        <f t="shared" si="2"/>
        <v/>
      </c>
      <c r="L17" s="299" t="str">
        <f t="array" aca="1" ref="L17" ca="1">IF(ROW()-ROW($F$2:$F$52)+1&gt;ROWS($E$2:$E$52)-COUNTBLANK($E$2:$E$52),"",INDIRECT(ADDRESS(SMALL((IF($E$2:$E$52&lt;&gt;"",ROW($E$2:$E$52),ROW()+ROWS($E$2:$E$52))),ROW()-ROW($F$2:$F$52)+1),COLUMN($E$2:$E$52),4)))</f>
        <v/>
      </c>
      <c r="M17" s="299" t="str">
        <f t="array" aca="1" ref="M17" ca="1">IF(ROW()-ROW($G$2:$G$52)+1&gt;ROWS($F$2:$F$52)-COUNTBLANK($F$2:$F$52),"",INDIRECT(ADDRESS(SMALL((IF($F$2:$F$52&lt;&gt;"",ROW($F$2:$F$52),ROW()+ROWS($F$2:$F$52))),ROW()-ROW($G$2:$G$52)+1),COLUMN($F$2:$F$52),4)))</f>
        <v/>
      </c>
      <c r="N17" s="299" t="str">
        <f t="array" aca="1" ref="N17" ca="1">IF(ROW()-ROW($H$2:$H$52)+1&gt;ROWS($G$2:$G$52)-COUNTBLANK($G$2:$G$52),"",INDIRECT(ADDRESS(SMALL((IF($G$2:$G$52&lt;&gt;"",ROW($G$2:$G$52),ROW()+ROWS($G$2:$G$52))),ROW()-ROW($H$2:$H$52)+1),COLUMN($G$2:$G$52),4)))</f>
        <v/>
      </c>
      <c r="O17" s="300" t="str">
        <f t="array" aca="1" ref="O17" ca="1">IF(ROW()-ROW($I$2:$I$52)+1&gt;ROWS($H$2:$H$52)-COUNTBLANK($H$2:$H$52),"",INDIRECT(ADDRESS(SMALL((IF($H$2:$H$52&lt;&gt;"",ROW($H$2:$H$52),ROW()+ROWS($H$2:$H$52))),ROW()-ROW($I$2:$I$52)+1),COLUMN($H$2:$H$52),4)))</f>
        <v/>
      </c>
      <c r="P17" s="301" t="str">
        <f t="array" aca="1" ref="P17" ca="1">IF(ROW()-ROW($J$2:$J$52)+1&gt;ROWS($I$2:$I$52)-COUNTBLANK($I$2:$I$52),"",INDIRECT(ADDRESS(SMALL((IF($I$2:$I$52&lt;&gt;"",ROW($I$2:$I$52),ROW()+ROWS($I$2:$I$52))),ROW()-ROW($J$2:$J$52)+1),COLUMN($I$2:$I$52),4)))</f>
        <v/>
      </c>
    </row>
    <row r="18" spans="1:16">
      <c r="A18" s="271"/>
      <c r="B18" s="266"/>
      <c r="C18" s="266"/>
      <c r="D18" s="877"/>
      <c r="E18" s="268" t="str">
        <f>IF(H18="","","2015")</f>
        <v/>
      </c>
      <c r="F18" s="251" t="str">
        <f t="shared" si="12"/>
        <v/>
      </c>
      <c r="G18" s="251" t="str">
        <f t="shared" si="13"/>
        <v/>
      </c>
      <c r="H18" s="38" t="str">
        <f>IF(A4="relevant",IF(Matrix!T21="","",IF(Matrix!T21&gt;Matrix!D21,Berechnung2!$M$38,"")),"")</f>
        <v/>
      </c>
      <c r="I18" s="292" t="str">
        <f t="array" ref="I18">IF(H18="","",VLOOKUP(F18,Berechnung2!$I$15:$J$23,2,FALSE))</f>
        <v/>
      </c>
      <c r="J18" s="304" t="str">
        <f t="shared" si="2"/>
        <v/>
      </c>
      <c r="L18" s="299" t="str">
        <f t="array" aca="1" ref="L18" ca="1">IF(ROW()-ROW($F$2:$F$52)+1&gt;ROWS($E$2:$E$52)-COUNTBLANK($E$2:$E$52),"",INDIRECT(ADDRESS(SMALL((IF($E$2:$E$52&lt;&gt;"",ROW($E$2:$E$52),ROW()+ROWS($E$2:$E$52))),ROW()-ROW($F$2:$F$52)+1),COLUMN($E$2:$E$52),4)))</f>
        <v/>
      </c>
      <c r="M18" s="299" t="str">
        <f t="array" aca="1" ref="M18" ca="1">IF(ROW()-ROW($G$2:$G$52)+1&gt;ROWS($F$2:$F$52)-COUNTBLANK($F$2:$F$52),"",INDIRECT(ADDRESS(SMALL((IF($F$2:$F$52&lt;&gt;"",ROW($F$2:$F$52),ROW()+ROWS($F$2:$F$52))),ROW()-ROW($G$2:$G$52)+1),COLUMN($F$2:$F$52),4)))</f>
        <v/>
      </c>
      <c r="N18" s="299" t="str">
        <f t="array" aca="1" ref="N18" ca="1">IF(ROW()-ROW($H$2:$H$52)+1&gt;ROWS($G$2:$G$52)-COUNTBLANK($G$2:$G$52),"",INDIRECT(ADDRESS(SMALL((IF($G$2:$G$52&lt;&gt;"",ROW($G$2:$G$52),ROW()+ROWS($G$2:$G$52))),ROW()-ROW($H$2:$H$52)+1),COLUMN($G$2:$G$52),4)))</f>
        <v/>
      </c>
      <c r="O18" s="300" t="str">
        <f t="array" aca="1" ref="O18" ca="1">IF(ROW()-ROW($I$2:$I$52)+1&gt;ROWS($H$2:$H$52)-COUNTBLANK($H$2:$H$52),"",INDIRECT(ADDRESS(SMALL((IF($H$2:$H$52&lt;&gt;"",ROW($H$2:$H$52),ROW()+ROWS($H$2:$H$52))),ROW()-ROW($I$2:$I$52)+1),COLUMN($H$2:$H$52),4)))</f>
        <v/>
      </c>
      <c r="P18" s="301" t="str">
        <f t="array" aca="1" ref="P18" ca="1">IF(ROW()-ROW($J$2:$J$52)+1&gt;ROWS($I$2:$I$52)-COUNTBLANK($I$2:$I$52),"",INDIRECT(ADDRESS(SMALL((IF($I$2:$I$52&lt;&gt;"",ROW($I$2:$I$52),ROW()+ROWS($I$2:$I$52))),ROW()-ROW($J$2:$J$52)+1),COLUMN($I$2:$I$52),4)))</f>
        <v/>
      </c>
    </row>
    <row r="19" spans="1:16" ht="46.5" customHeight="1">
      <c r="A19" s="256"/>
      <c r="B19" s="256"/>
      <c r="C19" s="256"/>
      <c r="D19" s="877"/>
      <c r="E19" s="268" t="str">
        <f>IF(H19="","","2016")</f>
        <v/>
      </c>
      <c r="F19" s="251" t="str">
        <f t="shared" si="12"/>
        <v/>
      </c>
      <c r="G19" s="251" t="str">
        <f t="shared" si="13"/>
        <v/>
      </c>
      <c r="H19" s="38" t="str">
        <f>IF(A5="relevant",IF(Matrix!T22="","",IF(Matrix!T22&gt;Matrix!D22,Berechnung2!$M$38,"")),"")</f>
        <v/>
      </c>
      <c r="I19" s="292" t="str">
        <f t="array" ref="I19">IF(H19="","",VLOOKUP(F19,Berechnung2!$I$15:$J$23,2,FALSE))</f>
        <v/>
      </c>
      <c r="J19" s="304" t="str">
        <f t="shared" si="2"/>
        <v/>
      </c>
      <c r="L19" s="299" t="str">
        <f t="array" aca="1" ref="L19" ca="1">IF(ROW()-ROW($F$2:$F$52)+1&gt;ROWS($E$2:$E$52)-COUNTBLANK($E$2:$E$52),"",INDIRECT(ADDRESS(SMALL((IF($E$2:$E$52&lt;&gt;"",ROW($E$2:$E$52),ROW()+ROWS($E$2:$E$52))),ROW()-ROW($F$2:$F$52)+1),COLUMN($E$2:$E$52),4)))</f>
        <v/>
      </c>
      <c r="M19" s="299" t="str">
        <f t="array" aca="1" ref="M19" ca="1">IF(ROW()-ROW($G$2:$G$52)+1&gt;ROWS($F$2:$F$52)-COUNTBLANK($F$2:$F$52),"",INDIRECT(ADDRESS(SMALL((IF($F$2:$F$52&lt;&gt;"",ROW($F$2:$F$52),ROW()+ROWS($F$2:$F$52))),ROW()-ROW($G$2:$G$52)+1),COLUMN($F$2:$F$52),4)))</f>
        <v/>
      </c>
      <c r="N19" s="299" t="str">
        <f t="array" aca="1" ref="N19" ca="1">IF(ROW()-ROW($H$2:$H$52)+1&gt;ROWS($G$2:$G$52)-COUNTBLANK($G$2:$G$52),"",INDIRECT(ADDRESS(SMALL((IF($G$2:$G$52&lt;&gt;"",ROW($G$2:$G$52),ROW()+ROWS($G$2:$G$52))),ROW()-ROW($H$2:$H$52)+1),COLUMN($G$2:$G$52),4)))</f>
        <v/>
      </c>
      <c r="O19" s="300" t="str">
        <f t="array" aca="1" ref="O19" ca="1">IF(ROW()-ROW($I$2:$I$52)+1&gt;ROWS($H$2:$H$52)-COUNTBLANK($H$2:$H$52),"",INDIRECT(ADDRESS(SMALL((IF($H$2:$H$52&lt;&gt;"",ROW($H$2:$H$52),ROW()+ROWS($H$2:$H$52))),ROW()-ROW($I$2:$I$52)+1),COLUMN($H$2:$H$52),4)))</f>
        <v/>
      </c>
      <c r="P19" s="301" t="str">
        <f t="array" aca="1" ref="P19" ca="1">IF(ROW()-ROW($J$2:$J$52)+1&gt;ROWS($I$2:$I$52)-COUNTBLANK($I$2:$I$52),"",INDIRECT(ADDRESS(SMALL((IF($I$2:$I$52&lt;&gt;"",ROW($I$2:$I$52),ROW()+ROWS($I$2:$I$52))),ROW()-ROW($J$2:$J$52)+1),COLUMN($I$2:$I$52),4)))</f>
        <v/>
      </c>
    </row>
    <row r="20" spans="1:16" ht="45" customHeight="1">
      <c r="A20" s="256"/>
      <c r="B20" s="256"/>
      <c r="C20" s="256"/>
      <c r="D20" s="877"/>
      <c r="E20" s="268" t="str">
        <f>IF(H20="","","2017")</f>
        <v/>
      </c>
      <c r="F20" s="251" t="str">
        <f t="shared" si="12"/>
        <v/>
      </c>
      <c r="G20" s="251" t="str">
        <f t="shared" si="13"/>
        <v/>
      </c>
      <c r="H20" s="38" t="str">
        <f>IF(A6="relevant",IF(Matrix!T23="","",IF(Matrix!T23&gt;Matrix!D23,Berechnung2!$M$38,"")),"")</f>
        <v/>
      </c>
      <c r="I20" s="292" t="str">
        <f t="array" ref="I20">IF(H20="","",VLOOKUP(F20,Berechnung2!$I$15:$J$23,2,FALSE))</f>
        <v/>
      </c>
      <c r="J20" s="304" t="str">
        <f t="shared" si="2"/>
        <v/>
      </c>
      <c r="L20" s="299" t="str">
        <f t="array" aca="1" ref="L20" ca="1">IF(ROW()-ROW($F$2:$F$52)+1&gt;ROWS($E$2:$E$52)-COUNTBLANK($E$2:$E$52),"",INDIRECT(ADDRESS(SMALL((IF($E$2:$E$52&lt;&gt;"",ROW($E$2:$E$52),ROW()+ROWS($E$2:$E$52))),ROW()-ROW($F$2:$F$52)+1),COLUMN($E$2:$E$52),4)))</f>
        <v/>
      </c>
      <c r="M20" s="299" t="str">
        <f t="array" aca="1" ref="M20" ca="1">IF(ROW()-ROW($G$2:$G$52)+1&gt;ROWS($F$2:$F$52)-COUNTBLANK($F$2:$F$52),"",INDIRECT(ADDRESS(SMALL((IF($F$2:$F$52&lt;&gt;"",ROW($F$2:$F$52),ROW()+ROWS($F$2:$F$52))),ROW()-ROW($G$2:$G$52)+1),COLUMN($F$2:$F$52),4)))</f>
        <v/>
      </c>
      <c r="N20" s="299" t="str">
        <f t="array" aca="1" ref="N20" ca="1">IF(ROW()-ROW($H$2:$H$52)+1&gt;ROWS($G$2:$G$52)-COUNTBLANK($G$2:$G$52),"",INDIRECT(ADDRESS(SMALL((IF($G$2:$G$52&lt;&gt;"",ROW($G$2:$G$52),ROW()+ROWS($G$2:$G$52))),ROW()-ROW($H$2:$H$52)+1),COLUMN($G$2:$G$52),4)))</f>
        <v/>
      </c>
      <c r="O20" s="300" t="str">
        <f t="array" aca="1" ref="O20" ca="1">IF(ROW()-ROW($I$2:$I$52)+1&gt;ROWS($H$2:$H$52)-COUNTBLANK($H$2:$H$52),"",INDIRECT(ADDRESS(SMALL((IF($H$2:$H$52&lt;&gt;"",ROW($H$2:$H$52),ROW()+ROWS($H$2:$H$52))),ROW()-ROW($I$2:$I$52)+1),COLUMN($H$2:$H$52),4)))</f>
        <v/>
      </c>
      <c r="P20" s="301" t="str">
        <f t="array" aca="1" ref="P20" ca="1">IF(ROW()-ROW($J$2:$J$52)+1&gt;ROWS($I$2:$I$52)-COUNTBLANK($I$2:$I$52),"",INDIRECT(ADDRESS(SMALL((IF($I$2:$I$52&lt;&gt;"",ROW($I$2:$I$52),ROW()+ROWS($I$2:$I$52))),ROW()-ROW($J$2:$J$52)+1),COLUMN($I$2:$I$52),4)))</f>
        <v/>
      </c>
    </row>
    <row r="21" spans="1:16" ht="45" customHeight="1">
      <c r="A21" s="256"/>
      <c r="B21" s="256"/>
      <c r="C21" s="256"/>
      <c r="D21" s="479"/>
      <c r="E21" s="268"/>
      <c r="F21" s="251"/>
      <c r="G21" s="251"/>
      <c r="H21" s="38"/>
      <c r="I21" s="292"/>
      <c r="J21" s="304"/>
      <c r="L21" s="299" t="str">
        <f t="array" aca="1" ref="L21" ca="1">IF(ROW()-ROW($F$2:$F$52)+1&gt;ROWS($E$2:$E$52)-COUNTBLANK($E$2:$E$52),"",INDIRECT(ADDRESS(SMALL((IF($E$2:$E$52&lt;&gt;"",ROW($E$2:$E$52),ROW()+ROWS($E$2:$E$52))),ROW()-ROW($F$2:$F$52)+1),COLUMN($E$2:$E$52),4)))</f>
        <v/>
      </c>
      <c r="M21" s="299" t="str">
        <f t="array" aca="1" ref="M21" ca="1">IF(ROW()-ROW($G$2:$G$52)+1&gt;ROWS($F$2:$F$52)-COUNTBLANK($F$2:$F$52),"",INDIRECT(ADDRESS(SMALL((IF($F$2:$F$52&lt;&gt;"",ROW($F$2:$F$52),ROW()+ROWS($F$2:$F$52))),ROW()-ROW($G$2:$G$52)+1),COLUMN($F$2:$F$52),4)))</f>
        <v/>
      </c>
      <c r="N21" s="299" t="str">
        <f t="array" aca="1" ref="N21" ca="1">IF(ROW()-ROW($H$2:$H$52)+1&gt;ROWS($G$2:$G$52)-COUNTBLANK($G$2:$G$52),"",INDIRECT(ADDRESS(SMALL((IF($G$2:$G$52&lt;&gt;"",ROW($G$2:$G$52),ROW()+ROWS($G$2:$G$52))),ROW()-ROW($H$2:$H$52)+1),COLUMN($G$2:$G$52),4)))</f>
        <v/>
      </c>
      <c r="O21" s="300" t="str">
        <f t="array" aca="1" ref="O21" ca="1">IF(ROW()-ROW($I$2:$I$52)+1&gt;ROWS($H$2:$H$52)-COUNTBLANK($H$2:$H$52),"",INDIRECT(ADDRESS(SMALL((IF($H$2:$H$52&lt;&gt;"",ROW($H$2:$H$52),ROW()+ROWS($H$2:$H$52))),ROW()-ROW($I$2:$I$52)+1),COLUMN($H$2:$H$52),4)))</f>
        <v/>
      </c>
      <c r="P21" s="301" t="str">
        <f t="array" aca="1" ref="P21" ca="1">IF(ROW()-ROW($J$2:$J$52)+1&gt;ROWS($I$2:$I$52)-COUNTBLANK($I$2:$I$52),"",INDIRECT(ADDRESS(SMALL((IF($I$2:$I$52&lt;&gt;"",ROW($I$2:$I$52),ROW()+ROWS($I$2:$I$52))),ROW()-ROW($J$2:$J$52)+1),COLUMN($I$2:$I$52),4)))</f>
        <v/>
      </c>
    </row>
    <row r="22" spans="1:16" ht="14.65" thickBot="1">
      <c r="A22" s="256"/>
      <c r="B22" s="256"/>
      <c r="C22" s="256"/>
      <c r="D22" s="288" t="s">
        <v>298</v>
      </c>
      <c r="E22" s="268"/>
      <c r="F22" s="251"/>
      <c r="G22" s="251"/>
      <c r="H22" s="38"/>
      <c r="I22" s="292"/>
      <c r="J22" s="304"/>
      <c r="L22" s="299" t="str">
        <f t="array" aca="1" ref="L22" ca="1">IF(ROW()-ROW($F$2:$F$52)+1&gt;ROWS($E$2:$E$52)-COUNTBLANK($E$2:$E$52),"",INDIRECT(ADDRESS(SMALL((IF($E$2:$E$52&lt;&gt;"",ROW($E$2:$E$52),ROW()+ROWS($E$2:$E$52))),ROW()-ROW($F$2:$F$52)+1),COLUMN($E$2:$E$52),4)))</f>
        <v/>
      </c>
      <c r="M22" s="299" t="str">
        <f t="array" aca="1" ref="M22" ca="1">IF(ROW()-ROW($G$2:$G$52)+1&gt;ROWS($F$2:$F$52)-COUNTBLANK($F$2:$F$52),"",INDIRECT(ADDRESS(SMALL((IF($F$2:$F$52&lt;&gt;"",ROW($F$2:$F$52),ROW()+ROWS($F$2:$F$52))),ROW()-ROW($G$2:$G$52)+1),COLUMN($F$2:$F$52),4)))</f>
        <v/>
      </c>
      <c r="N22" s="299" t="str">
        <f t="array" aca="1" ref="N22" ca="1">IF(ROW()-ROW($H$2:$H$52)+1&gt;ROWS($G$2:$G$52)-COUNTBLANK($G$2:$G$52),"",INDIRECT(ADDRESS(SMALL((IF($G$2:$G$52&lt;&gt;"",ROW($G$2:$G$52),ROW()+ROWS($G$2:$G$52))),ROW()-ROW($H$2:$H$52)+1),COLUMN($G$2:$G$52),4)))</f>
        <v/>
      </c>
      <c r="O22" s="300" t="str">
        <f t="array" aca="1" ref="O22" ca="1">IF(ROW()-ROW($I$2:$I$52)+1&gt;ROWS($H$2:$H$52)-COUNTBLANK($H$2:$H$52),"",INDIRECT(ADDRESS(SMALL((IF($H$2:$H$52&lt;&gt;"",ROW($H$2:$H$52),ROW()+ROWS($H$2:$H$52))),ROW()-ROW($I$2:$I$52)+1),COLUMN($H$2:$H$52),4)))</f>
        <v/>
      </c>
      <c r="P22" s="301" t="str">
        <f t="array" aca="1" ref="P22" ca="1">IF(ROW()-ROW($J$2:$J$52)+1&gt;ROWS($I$2:$I$52)-COUNTBLANK($I$2:$I$52),"",INDIRECT(ADDRESS(SMALL((IF($I$2:$I$52&lt;&gt;"",ROW($I$2:$I$52),ROW()+ROWS($I$2:$I$52))),ROW()-ROW($J$2:$J$52)+1),COLUMN($I$2:$I$52),4)))</f>
        <v/>
      </c>
    </row>
    <row r="23" spans="1:16">
      <c r="A23" s="256"/>
      <c r="B23" s="256"/>
      <c r="C23" s="256"/>
      <c r="D23" s="281" t="s">
        <v>86</v>
      </c>
      <c r="E23" s="274" t="str">
        <f>IF(H23="","","2013")</f>
        <v/>
      </c>
      <c r="F23" s="253" t="str">
        <f t="shared" ref="F23:F27" si="14">IF(H23="","","d")</f>
        <v/>
      </c>
      <c r="G23" s="253" t="str">
        <f t="shared" si="13"/>
        <v/>
      </c>
      <c r="H23" s="257" t="str">
        <f>IF(A2="relevant",IF(Matrix!U19="","",IF(Matrix!U19&gt;Matrix!D19,Berechnung2!$M$39,"")),"")</f>
        <v/>
      </c>
      <c r="I23" s="291" t="str">
        <f t="array" ref="I23">IF(H23="","",VLOOKUP(F23,Berechnung2!$I$15:$J$23,2,FALSE))</f>
        <v/>
      </c>
      <c r="J23" s="303" t="str">
        <f t="shared" si="2"/>
        <v/>
      </c>
      <c r="L23" s="299" t="str">
        <f t="array" aca="1" ref="L23" ca="1">IF(ROW()-ROW($F$2:$F$52)+1&gt;ROWS($E$2:$E$52)-COUNTBLANK($E$2:$E$52),"",INDIRECT(ADDRESS(SMALL((IF($E$2:$E$52&lt;&gt;"",ROW($E$2:$E$52),ROW()+ROWS($E$2:$E$52))),ROW()-ROW($F$2:$F$52)+1),COLUMN($E$2:$E$52),4)))</f>
        <v/>
      </c>
      <c r="M23" s="299" t="str">
        <f t="array" aca="1" ref="M23" ca="1">IF(ROW()-ROW($G$2:$G$52)+1&gt;ROWS($F$2:$F$52)-COUNTBLANK($F$2:$F$52),"",INDIRECT(ADDRESS(SMALL((IF($F$2:$F$52&lt;&gt;"",ROW($F$2:$F$52),ROW()+ROWS($F$2:$F$52))),ROW()-ROW($G$2:$G$52)+1),COLUMN($F$2:$F$52),4)))</f>
        <v/>
      </c>
      <c r="N23" s="299" t="str">
        <f t="array" aca="1" ref="N23" ca="1">IF(ROW()-ROW($H$2:$H$52)+1&gt;ROWS($G$2:$G$52)-COUNTBLANK($G$2:$G$52),"",INDIRECT(ADDRESS(SMALL((IF($G$2:$G$52&lt;&gt;"",ROW($G$2:$G$52),ROW()+ROWS($G$2:$G$52))),ROW()-ROW($H$2:$H$52)+1),COLUMN($G$2:$G$52),4)))</f>
        <v/>
      </c>
      <c r="O23" s="300" t="str">
        <f t="array" aca="1" ref="O23" ca="1">IF(ROW()-ROW($I$2:$I$52)+1&gt;ROWS($H$2:$H$52)-COUNTBLANK($H$2:$H$52),"",INDIRECT(ADDRESS(SMALL((IF($H$2:$H$52&lt;&gt;"",ROW($H$2:$H$52),ROW()+ROWS($H$2:$H$52))),ROW()-ROW($I$2:$I$52)+1),COLUMN($H$2:$H$52),4)))</f>
        <v/>
      </c>
      <c r="P23" s="301" t="str">
        <f t="array" aca="1" ref="P23" ca="1">IF(ROW()-ROW($J$2:$J$52)+1&gt;ROWS($I$2:$I$52)-COUNTBLANK($I$2:$I$52),"",INDIRECT(ADDRESS(SMALL((IF($I$2:$I$52&lt;&gt;"",ROW($I$2:$I$52),ROW()+ROWS($I$2:$I$52))),ROW()-ROW($J$2:$J$52)+1),COLUMN($I$2:$I$52),4)))</f>
        <v/>
      </c>
    </row>
    <row r="24" spans="1:16">
      <c r="A24" s="256"/>
      <c r="B24" s="256"/>
      <c r="C24" s="256"/>
      <c r="D24" s="876" t="s">
        <v>357</v>
      </c>
      <c r="E24" s="276" t="str">
        <f>IF(H24="","","2014")</f>
        <v/>
      </c>
      <c r="F24" s="251" t="str">
        <f t="shared" si="14"/>
        <v/>
      </c>
      <c r="G24" s="251" t="str">
        <f t="shared" si="13"/>
        <v/>
      </c>
      <c r="H24" s="38" t="str">
        <f>IF(A3="relevant",IF(Matrix!U20="","",IF(Matrix!U20&gt;Matrix!D20,Berechnung2!$M$39,"")),"")</f>
        <v/>
      </c>
      <c r="I24" s="292" t="str">
        <f t="array" ref="I24">IF(H24="","",VLOOKUP(F24,Berechnung2!$I$15:$J$23,2,FALSE))</f>
        <v/>
      </c>
      <c r="J24" s="304" t="str">
        <f t="shared" si="2"/>
        <v/>
      </c>
      <c r="L24" s="299" t="str">
        <f t="array" aca="1" ref="L24" ca="1">IF(ROW()-ROW($F$2:$F$52)+1&gt;ROWS($E$2:$E$52)-COUNTBLANK($E$2:$E$52),"",INDIRECT(ADDRESS(SMALL((IF($E$2:$E$52&lt;&gt;"",ROW($E$2:$E$52),ROW()+ROWS($E$2:$E$52))),ROW()-ROW($F$2:$F$52)+1),COLUMN($E$2:$E$52),4)))</f>
        <v/>
      </c>
      <c r="M24" s="299" t="str">
        <f t="array" aca="1" ref="M24" ca="1">IF(ROW()-ROW($G$2:$G$52)+1&gt;ROWS($F$2:$F$52)-COUNTBLANK($F$2:$F$52),"",INDIRECT(ADDRESS(SMALL((IF($F$2:$F$52&lt;&gt;"",ROW($F$2:$F$52),ROW()+ROWS($F$2:$F$52))),ROW()-ROW($G$2:$G$52)+1),COLUMN($F$2:$F$52),4)))</f>
        <v/>
      </c>
      <c r="N24" s="299" t="str">
        <f t="array" aca="1" ref="N24" ca="1">IF(ROW()-ROW($H$2:$H$52)+1&gt;ROWS($G$2:$G$52)-COUNTBLANK($G$2:$G$52),"",INDIRECT(ADDRESS(SMALL((IF($G$2:$G$52&lt;&gt;"",ROW($G$2:$G$52),ROW()+ROWS($G$2:$G$52))),ROW()-ROW($H$2:$H$52)+1),COLUMN($G$2:$G$52),4)))</f>
        <v/>
      </c>
      <c r="O24" s="300" t="str">
        <f t="array" aca="1" ref="O24" ca="1">IF(ROW()-ROW($I$2:$I$52)+1&gt;ROWS($H$2:$H$52)-COUNTBLANK($H$2:$H$52),"",INDIRECT(ADDRESS(SMALL((IF($H$2:$H$52&lt;&gt;"",ROW($H$2:$H$52),ROW()+ROWS($H$2:$H$52))),ROW()-ROW($I$2:$I$52)+1),COLUMN($H$2:$H$52),4)))</f>
        <v/>
      </c>
      <c r="P24" s="301" t="str">
        <f t="array" aca="1" ref="P24" ca="1">IF(ROW()-ROW($J$2:$J$52)+1&gt;ROWS($I$2:$I$52)-COUNTBLANK($I$2:$I$52),"",INDIRECT(ADDRESS(SMALL((IF($I$2:$I$52&lt;&gt;"",ROW($I$2:$I$52),ROW()+ROWS($I$2:$I$52))),ROW()-ROW($J$2:$J$52)+1),COLUMN($I$2:$I$52),4)))</f>
        <v/>
      </c>
    </row>
    <row r="25" spans="1:16">
      <c r="A25" s="256"/>
      <c r="B25" s="256"/>
      <c r="C25" s="256"/>
      <c r="D25" s="877"/>
      <c r="E25" s="276" t="str">
        <f>IF(H25="","","2015")</f>
        <v/>
      </c>
      <c r="F25" s="251" t="str">
        <f t="shared" si="14"/>
        <v/>
      </c>
      <c r="G25" s="251" t="str">
        <f t="shared" si="13"/>
        <v/>
      </c>
      <c r="H25" s="38" t="str">
        <f>IF(A4="relevant",IF(Matrix!U21="","",IF(Matrix!U21&gt;Matrix!D21,Berechnung2!$M$39,"")),"")</f>
        <v/>
      </c>
      <c r="I25" s="292" t="str">
        <f t="array" ref="I25">IF(H25="","",VLOOKUP(F25,Berechnung2!$I$15:$J$23,2,FALSE))</f>
        <v/>
      </c>
      <c r="J25" s="304" t="str">
        <f t="shared" si="2"/>
        <v/>
      </c>
      <c r="L25" s="299" t="str">
        <f t="array" aca="1" ref="L25" ca="1">IF(ROW()-ROW($F$2:$F$52)+1&gt;ROWS($E$2:$E$52)-COUNTBLANK($E$2:$E$52),"",INDIRECT(ADDRESS(SMALL((IF($E$2:$E$52&lt;&gt;"",ROW($E$2:$E$52),ROW()+ROWS($E$2:$E$52))),ROW()-ROW($F$2:$F$52)+1),COLUMN($E$2:$E$52),4)))</f>
        <v/>
      </c>
      <c r="M25" s="299" t="str">
        <f t="array" aca="1" ref="M25" ca="1">IF(ROW()-ROW($G$2:$G$52)+1&gt;ROWS($F$2:$F$52)-COUNTBLANK($F$2:$F$52),"",INDIRECT(ADDRESS(SMALL((IF($F$2:$F$52&lt;&gt;"",ROW($F$2:$F$52),ROW()+ROWS($F$2:$F$52))),ROW()-ROW($G$2:$G$52)+1),COLUMN($F$2:$F$52),4)))</f>
        <v/>
      </c>
      <c r="N25" s="299" t="str">
        <f t="array" aca="1" ref="N25" ca="1">IF(ROW()-ROW($H$2:$H$52)+1&gt;ROWS($G$2:$G$52)-COUNTBLANK($G$2:$G$52),"",INDIRECT(ADDRESS(SMALL((IF($G$2:$G$52&lt;&gt;"",ROW($G$2:$G$52),ROW()+ROWS($G$2:$G$52))),ROW()-ROW($H$2:$H$52)+1),COLUMN($G$2:$G$52),4)))</f>
        <v/>
      </c>
      <c r="O25" s="300" t="str">
        <f t="array" aca="1" ref="O25" ca="1">IF(ROW()-ROW($I$2:$I$52)+1&gt;ROWS($H$2:$H$52)-COUNTBLANK($H$2:$H$52),"",INDIRECT(ADDRESS(SMALL((IF($H$2:$H$52&lt;&gt;"",ROW($H$2:$H$52),ROW()+ROWS($H$2:$H$52))),ROW()-ROW($I$2:$I$52)+1),COLUMN($H$2:$H$52),4)))</f>
        <v/>
      </c>
      <c r="P25" s="301" t="str">
        <f t="array" aca="1" ref="P25" ca="1">IF(ROW()-ROW($J$2:$J$52)+1&gt;ROWS($I$2:$I$52)-COUNTBLANK($I$2:$I$52),"",INDIRECT(ADDRESS(SMALL((IF($I$2:$I$52&lt;&gt;"",ROW($I$2:$I$52),ROW()+ROWS($I$2:$I$52))),ROW()-ROW($J$2:$J$52)+1),COLUMN($I$2:$I$52),4)))</f>
        <v/>
      </c>
    </row>
    <row r="26" spans="1:16">
      <c r="A26" s="256"/>
      <c r="B26" s="256"/>
      <c r="C26" s="256"/>
      <c r="D26" s="877"/>
      <c r="E26" s="276" t="str">
        <f>IF(H26="","","2016")</f>
        <v/>
      </c>
      <c r="F26" s="251" t="str">
        <f t="shared" si="14"/>
        <v/>
      </c>
      <c r="G26" s="251" t="str">
        <f t="shared" si="13"/>
        <v/>
      </c>
      <c r="H26" s="38" t="str">
        <f>IF(A5="relevant",IF(Matrix!U22="","",IF(Matrix!U22&gt;Matrix!D22,Berechnung2!$M$39,"")),"")</f>
        <v/>
      </c>
      <c r="I26" s="292" t="str">
        <f t="array" ref="I26">IF(H26="","",VLOOKUP(F26,Berechnung2!$I$15:$J$23,2,FALSE))</f>
        <v/>
      </c>
      <c r="J26" s="304" t="str">
        <f t="shared" si="2"/>
        <v/>
      </c>
      <c r="L26" s="299" t="str">
        <f t="array" aca="1" ref="L26" ca="1">IF(ROW()-ROW($F$2:$F$52)+1&gt;ROWS($E$2:$E$52)-COUNTBLANK($E$2:$E$52),"",INDIRECT(ADDRESS(SMALL((IF($E$2:$E$52&lt;&gt;"",ROW($E$2:$E$52),ROW()+ROWS($E$2:$E$52))),ROW()-ROW($F$2:$F$52)+1),COLUMN($E$2:$E$52),4)))</f>
        <v/>
      </c>
      <c r="M26" s="299" t="str">
        <f t="array" aca="1" ref="M26" ca="1">IF(ROW()-ROW($G$2:$G$52)+1&gt;ROWS($F$2:$F$52)-COUNTBLANK($F$2:$F$52),"",INDIRECT(ADDRESS(SMALL((IF($F$2:$F$52&lt;&gt;"",ROW($F$2:$F$52),ROW()+ROWS($F$2:$F$52))),ROW()-ROW($G$2:$G$52)+1),COLUMN($F$2:$F$52),4)))</f>
        <v/>
      </c>
      <c r="N26" s="299" t="str">
        <f t="array" aca="1" ref="N26" ca="1">IF(ROW()-ROW($H$2:$H$52)+1&gt;ROWS($G$2:$G$52)-COUNTBLANK($G$2:$G$52),"",INDIRECT(ADDRESS(SMALL((IF($G$2:$G$52&lt;&gt;"",ROW($G$2:$G$52),ROW()+ROWS($G$2:$G$52))),ROW()-ROW($H$2:$H$52)+1),COLUMN($G$2:$G$52),4)))</f>
        <v/>
      </c>
      <c r="O26" s="300" t="str">
        <f t="array" aca="1" ref="O26" ca="1">IF(ROW()-ROW($I$2:$I$52)+1&gt;ROWS($H$2:$H$52)-COUNTBLANK($H$2:$H$52),"",INDIRECT(ADDRESS(SMALL((IF($H$2:$H$52&lt;&gt;"",ROW($H$2:$H$52),ROW()+ROWS($H$2:$H$52))),ROW()-ROW($I$2:$I$52)+1),COLUMN($H$2:$H$52),4)))</f>
        <v/>
      </c>
      <c r="P26" s="301" t="str">
        <f t="array" aca="1" ref="P26" ca="1">IF(ROW()-ROW($J$2:$J$52)+1&gt;ROWS($I$2:$I$52)-COUNTBLANK($I$2:$I$52),"",INDIRECT(ADDRESS(SMALL((IF($I$2:$I$52&lt;&gt;"",ROW($I$2:$I$52),ROW()+ROWS($I$2:$I$52))),ROW()-ROW($J$2:$J$52)+1),COLUMN($I$2:$I$52),4)))</f>
        <v/>
      </c>
    </row>
    <row r="27" spans="1:16" ht="39" customHeight="1">
      <c r="A27" s="256"/>
      <c r="B27" s="256"/>
      <c r="C27" s="256"/>
      <c r="D27" s="877"/>
      <c r="E27" s="276" t="str">
        <f>IF(H27="","","2017")</f>
        <v/>
      </c>
      <c r="F27" s="251" t="str">
        <f t="shared" si="14"/>
        <v/>
      </c>
      <c r="G27" s="251" t="str">
        <f t="shared" si="13"/>
        <v/>
      </c>
      <c r="H27" s="38" t="str">
        <f>IF(A6="relevant",IF(Matrix!U23="","",IF(Matrix!U23&gt;Matrix!D23,Berechnung2!$M$39,"")),"")</f>
        <v/>
      </c>
      <c r="I27" s="292" t="str">
        <f t="array" ref="I27">IF(H27="","",VLOOKUP(F27,Berechnung2!$I$15:$J$23,2,FALSE))</f>
        <v/>
      </c>
      <c r="J27" s="304" t="str">
        <f t="shared" si="2"/>
        <v/>
      </c>
      <c r="L27" s="299" t="str">
        <f t="array" aca="1" ref="L27" ca="1">IF(ROW()-ROW($F$2:$F$52)+1&gt;ROWS($E$2:$E$52)-COUNTBLANK($E$2:$E$52),"",INDIRECT(ADDRESS(SMALL((IF($E$2:$E$52&lt;&gt;"",ROW($E$2:$E$52),ROW()+ROWS($E$2:$E$52))),ROW()-ROW($F$2:$F$52)+1),COLUMN($E$2:$E$52),4)))</f>
        <v/>
      </c>
      <c r="M27" s="299" t="str">
        <f t="array" aca="1" ref="M27" ca="1">IF(ROW()-ROW($G$2:$G$52)+1&gt;ROWS($F$2:$F$52)-COUNTBLANK($F$2:$F$52),"",INDIRECT(ADDRESS(SMALL((IF($F$2:$F$52&lt;&gt;"",ROW($F$2:$F$52),ROW()+ROWS($F$2:$F$52))),ROW()-ROW($G$2:$G$52)+1),COLUMN($F$2:$F$52),4)))</f>
        <v/>
      </c>
      <c r="N27" s="299" t="str">
        <f t="array" aca="1" ref="N27" ca="1">IF(ROW()-ROW($H$2:$H$52)+1&gt;ROWS($G$2:$G$52)-COUNTBLANK($G$2:$G$52),"",INDIRECT(ADDRESS(SMALL((IF($G$2:$G$52&lt;&gt;"",ROW($G$2:$G$52),ROW()+ROWS($G$2:$G$52))),ROW()-ROW($H$2:$H$52)+1),COLUMN($G$2:$G$52),4)))</f>
        <v/>
      </c>
      <c r="O27" s="300" t="str">
        <f t="array" aca="1" ref="O27" ca="1">IF(ROW()-ROW($I$2:$I$52)+1&gt;ROWS($H$2:$H$52)-COUNTBLANK($H$2:$H$52),"",INDIRECT(ADDRESS(SMALL((IF($H$2:$H$52&lt;&gt;"",ROW($H$2:$H$52),ROW()+ROWS($H$2:$H$52))),ROW()-ROW($I$2:$I$52)+1),COLUMN($H$2:$H$52),4)))</f>
        <v/>
      </c>
      <c r="P27" s="301" t="str">
        <f t="array" aca="1" ref="P27" ca="1">IF(ROW()-ROW($J$2:$J$52)+1&gt;ROWS($I$2:$I$52)-COUNTBLANK($I$2:$I$52),"",INDIRECT(ADDRESS(SMALL((IF($I$2:$I$52&lt;&gt;"",ROW($I$2:$I$52),ROW()+ROWS($I$2:$I$52))),ROW()-ROW($J$2:$J$52)+1),COLUMN($I$2:$I$52),4)))</f>
        <v/>
      </c>
    </row>
    <row r="28" spans="1:16" ht="39" customHeight="1">
      <c r="A28" s="256"/>
      <c r="B28" s="256"/>
      <c r="C28" s="256"/>
      <c r="D28" s="479"/>
      <c r="E28" s="276"/>
      <c r="F28" s="251"/>
      <c r="G28" s="251"/>
      <c r="H28" s="38"/>
      <c r="I28" s="292"/>
      <c r="J28" s="304"/>
      <c r="L28" s="299" t="str">
        <f t="array" aca="1" ref="L28" ca="1">IF(ROW()-ROW($F$2:$F$52)+1&gt;ROWS($E$2:$E$52)-COUNTBLANK($E$2:$E$52),"",INDIRECT(ADDRESS(SMALL((IF($E$2:$E$52&lt;&gt;"",ROW($E$2:$E$52),ROW()+ROWS($E$2:$E$52))),ROW()-ROW($F$2:$F$52)+1),COLUMN($E$2:$E$52),4)))</f>
        <v/>
      </c>
      <c r="M28" s="299" t="str">
        <f t="array" aca="1" ref="M28" ca="1">IF(ROW()-ROW($G$2:$G$52)+1&gt;ROWS($F$2:$F$52)-COUNTBLANK($F$2:$F$52),"",INDIRECT(ADDRESS(SMALL((IF($F$2:$F$52&lt;&gt;"",ROW($F$2:$F$52),ROW()+ROWS($F$2:$F$52))),ROW()-ROW($G$2:$G$52)+1),COLUMN($F$2:$F$52),4)))</f>
        <v/>
      </c>
      <c r="N28" s="299" t="str">
        <f t="array" aca="1" ref="N28" ca="1">IF(ROW()-ROW($H$2:$H$52)+1&gt;ROWS($G$2:$G$52)-COUNTBLANK($G$2:$G$52),"",INDIRECT(ADDRESS(SMALL((IF($G$2:$G$52&lt;&gt;"",ROW($G$2:$G$52),ROW()+ROWS($G$2:$G$52))),ROW()-ROW($H$2:$H$52)+1),COLUMN($G$2:$G$52),4)))</f>
        <v/>
      </c>
      <c r="O28" s="300" t="str">
        <f t="array" aca="1" ref="O28" ca="1">IF(ROW()-ROW($I$2:$I$52)+1&gt;ROWS($H$2:$H$52)-COUNTBLANK($H$2:$H$52),"",INDIRECT(ADDRESS(SMALL((IF($H$2:$H$52&lt;&gt;"",ROW($H$2:$H$52),ROW()+ROWS($H$2:$H$52))),ROW()-ROW($I$2:$I$52)+1),COLUMN($H$2:$H$52),4)))</f>
        <v/>
      </c>
      <c r="P28" s="301" t="str">
        <f t="array" aca="1" ref="P28" ca="1">IF(ROW()-ROW($J$2:$J$52)+1&gt;ROWS($I$2:$I$52)-COUNTBLANK($I$2:$I$52),"",INDIRECT(ADDRESS(SMALL((IF($I$2:$I$52&lt;&gt;"",ROW($I$2:$I$52),ROW()+ROWS($I$2:$I$52))),ROW()-ROW($J$2:$J$52)+1),COLUMN($I$2:$I$52),4)))</f>
        <v/>
      </c>
    </row>
    <row r="29" spans="1:16" ht="14.65" thickBot="1">
      <c r="A29" s="256"/>
      <c r="B29" s="256"/>
      <c r="C29" s="256"/>
      <c r="D29" s="280" t="s">
        <v>300</v>
      </c>
      <c r="E29" s="278"/>
      <c r="F29" s="254"/>
      <c r="G29" s="254"/>
      <c r="H29" s="38"/>
      <c r="I29" s="292"/>
      <c r="J29" s="304"/>
      <c r="L29" s="299" t="str">
        <f t="array" aca="1" ref="L29" ca="1">IF(ROW()-ROW($F$2:$F$52)+1&gt;ROWS($E$2:$E$52)-COUNTBLANK($E$2:$E$52),"",INDIRECT(ADDRESS(SMALL((IF($E$2:$E$52&lt;&gt;"",ROW($E$2:$E$52),ROW()+ROWS($E$2:$E$52))),ROW()-ROW($F$2:$F$52)+1),COLUMN($E$2:$E$52),4)))</f>
        <v/>
      </c>
      <c r="M29" s="299" t="str">
        <f t="array" aca="1" ref="M29" ca="1">IF(ROW()-ROW($G$2:$G$52)+1&gt;ROWS($F$2:$F$52)-COUNTBLANK($F$2:$F$52),"",INDIRECT(ADDRESS(SMALL((IF($F$2:$F$52&lt;&gt;"",ROW($F$2:$F$52),ROW()+ROWS($F$2:$F$52))),ROW()-ROW($G$2:$G$52)+1),COLUMN($F$2:$F$52),4)))</f>
        <v/>
      </c>
      <c r="N29" s="299" t="str">
        <f t="array" aca="1" ref="N29" ca="1">IF(ROW()-ROW($H$2:$H$52)+1&gt;ROWS($G$2:$G$52)-COUNTBLANK($G$2:$G$52),"",INDIRECT(ADDRESS(SMALL((IF($G$2:$G$52&lt;&gt;"",ROW($G$2:$G$52),ROW()+ROWS($G$2:$G$52))),ROW()-ROW($H$2:$H$52)+1),COLUMN($G$2:$G$52),4)))</f>
        <v/>
      </c>
      <c r="O29" s="300" t="str">
        <f t="array" aca="1" ref="O29" ca="1">IF(ROW()-ROW($I$2:$I$52)+1&gt;ROWS($H$2:$H$52)-COUNTBLANK($H$2:$H$52),"",INDIRECT(ADDRESS(SMALL((IF($H$2:$H$52&lt;&gt;"",ROW($H$2:$H$52),ROW()+ROWS($H$2:$H$52))),ROW()-ROW($I$2:$I$52)+1),COLUMN($H$2:$H$52),4)))</f>
        <v/>
      </c>
      <c r="P29" s="301" t="str">
        <f t="array" aca="1" ref="P29" ca="1">IF(ROW()-ROW($J$2:$J$52)+1&gt;ROWS($I$2:$I$52)-COUNTBLANK($I$2:$I$52),"",INDIRECT(ADDRESS(SMALL((IF($I$2:$I$52&lt;&gt;"",ROW($I$2:$I$52),ROW()+ROWS($I$2:$I$52))),ROW()-ROW($J$2:$J$52)+1),COLUMN($I$2:$I$52),4)))</f>
        <v/>
      </c>
    </row>
    <row r="30" spans="1:16">
      <c r="A30" s="256"/>
      <c r="B30" s="256"/>
      <c r="C30" s="256"/>
      <c r="D30" s="281" t="s">
        <v>86</v>
      </c>
      <c r="E30" s="306" t="str">
        <f>IF(H30="","","2013")</f>
        <v/>
      </c>
      <c r="F30" s="307" t="str">
        <f t="shared" ref="F30:F34" si="15">IF(H30="","","e")</f>
        <v/>
      </c>
      <c r="G30" s="307" t="str">
        <f t="shared" ref="G30:G41" si="16">IF(H30="","","1")</f>
        <v/>
      </c>
      <c r="H30" s="257" t="str">
        <f>IF(A2="relevant",IF(Matrix!X19="","",IF(Matrix!X19&gt;Matrix!T19,Berechnung2!$M$40,"")),"")</f>
        <v/>
      </c>
      <c r="I30" s="291" t="str">
        <f t="array" ref="I30">IF(H30="","",VLOOKUP(F30,Berechnung2!$I$15:$J$23,2,FALSE))</f>
        <v/>
      </c>
      <c r="J30" s="303" t="str">
        <f t="shared" si="2"/>
        <v/>
      </c>
      <c r="L30" s="299" t="str">
        <f t="array" aca="1" ref="L30" ca="1">IF(ROW()-ROW($F$2:$F$52)+1&gt;ROWS($E$2:$E$52)-COUNTBLANK($E$2:$E$52),"",INDIRECT(ADDRESS(SMALL((IF($E$2:$E$52&lt;&gt;"",ROW($E$2:$E$52),ROW()+ROWS($E$2:$E$52))),ROW()-ROW($F$2:$F$52)+1),COLUMN($E$2:$E$52),4)))</f>
        <v/>
      </c>
      <c r="M30" s="299" t="str">
        <f t="array" aca="1" ref="M30" ca="1">IF(ROW()-ROW($G$2:$G$52)+1&gt;ROWS($F$2:$F$52)-COUNTBLANK($F$2:$F$52),"",INDIRECT(ADDRESS(SMALL((IF($F$2:$F$52&lt;&gt;"",ROW($F$2:$F$52),ROW()+ROWS($F$2:$F$52))),ROW()-ROW($G$2:$G$52)+1),COLUMN($F$2:$F$52),4)))</f>
        <v/>
      </c>
      <c r="N30" s="299" t="str">
        <f t="array" aca="1" ref="N30" ca="1">IF(ROW()-ROW($H$2:$H$52)+1&gt;ROWS($G$2:$G$52)-COUNTBLANK($G$2:$G$52),"",INDIRECT(ADDRESS(SMALL((IF($G$2:$G$52&lt;&gt;"",ROW($G$2:$G$52),ROW()+ROWS($G$2:$G$52))),ROW()-ROW($H$2:$H$52)+1),COLUMN($G$2:$G$52),4)))</f>
        <v/>
      </c>
      <c r="O30" s="300" t="str">
        <f t="array" aca="1" ref="O30" ca="1">IF(ROW()-ROW($I$2:$I$52)+1&gt;ROWS($H$2:$H$52)-COUNTBLANK($H$2:$H$52),"",INDIRECT(ADDRESS(SMALL((IF($H$2:$H$52&lt;&gt;"",ROW($H$2:$H$52),ROW()+ROWS($H$2:$H$52))),ROW()-ROW($I$2:$I$52)+1),COLUMN($H$2:$H$52),4)))</f>
        <v/>
      </c>
      <c r="P30" s="301" t="str">
        <f t="array" aca="1" ref="P30" ca="1">IF(ROW()-ROW($J$2:$J$52)+1&gt;ROWS($I$2:$I$52)-COUNTBLANK($I$2:$I$52),"",INDIRECT(ADDRESS(SMALL((IF($I$2:$I$52&lt;&gt;"",ROW($I$2:$I$52),ROW()+ROWS($I$2:$I$52))),ROW()-ROW($J$2:$J$52)+1),COLUMN($I$2:$I$52),4)))</f>
        <v/>
      </c>
    </row>
    <row r="31" spans="1:16">
      <c r="A31" s="256"/>
      <c r="B31" s="256"/>
      <c r="C31" s="256"/>
      <c r="D31" s="876" t="s">
        <v>358</v>
      </c>
      <c r="E31" s="268" t="str">
        <f>IF(H31="","","2014")</f>
        <v/>
      </c>
      <c r="F31" s="251" t="str">
        <f t="shared" si="15"/>
        <v/>
      </c>
      <c r="G31" s="251" t="str">
        <f t="shared" si="16"/>
        <v/>
      </c>
      <c r="H31" s="38" t="str">
        <f>IF(A3="relevant",IF(Matrix!X20="","",IF(Matrix!X20&gt;Matrix!T20,Berechnung2!$M$40,"")),"")</f>
        <v/>
      </c>
      <c r="I31" s="292" t="str">
        <f t="array" ref="I31">IF(H31="","",VLOOKUP(F31,Berechnung2!$I$15:$J$23,2,FALSE))</f>
        <v/>
      </c>
      <c r="J31" s="304" t="str">
        <f t="shared" si="2"/>
        <v/>
      </c>
      <c r="L31" s="299" t="str">
        <f t="array" aca="1" ref="L31" ca="1">IF(ROW()-ROW($F$2:$F$52)+1&gt;ROWS($E$2:$E$52)-COUNTBLANK($E$2:$E$52),"",INDIRECT(ADDRESS(SMALL((IF($E$2:$E$52&lt;&gt;"",ROW($E$2:$E$52),ROW()+ROWS($E$2:$E$52))),ROW()-ROW($F$2:$F$52)+1),COLUMN($E$2:$E$52),4)))</f>
        <v/>
      </c>
      <c r="M31" s="299" t="str">
        <f t="array" aca="1" ref="M31" ca="1">IF(ROW()-ROW($G$2:$G$52)+1&gt;ROWS($F$2:$F$52)-COUNTBLANK($F$2:$F$52),"",INDIRECT(ADDRESS(SMALL((IF($F$2:$F$52&lt;&gt;"",ROW($F$2:$F$52),ROW()+ROWS($F$2:$F$52))),ROW()-ROW($G$2:$G$52)+1),COLUMN($F$2:$F$52),4)))</f>
        <v/>
      </c>
      <c r="N31" s="299" t="str">
        <f t="array" aca="1" ref="N31" ca="1">IF(ROW()-ROW($H$2:$H$52)+1&gt;ROWS($G$2:$G$52)-COUNTBLANK($G$2:$G$52),"",INDIRECT(ADDRESS(SMALL((IF($G$2:$G$52&lt;&gt;"",ROW($G$2:$G$52),ROW()+ROWS($G$2:$G$52))),ROW()-ROW($H$2:$H$52)+1),COLUMN($G$2:$G$52),4)))</f>
        <v/>
      </c>
      <c r="O31" s="300" t="str">
        <f t="array" aca="1" ref="O31" ca="1">IF(ROW()-ROW($I$2:$I$52)+1&gt;ROWS($H$2:$H$52)-COUNTBLANK($H$2:$H$52),"",INDIRECT(ADDRESS(SMALL((IF($H$2:$H$52&lt;&gt;"",ROW($H$2:$H$52),ROW()+ROWS($H$2:$H$52))),ROW()-ROW($I$2:$I$52)+1),COLUMN($H$2:$H$52),4)))</f>
        <v/>
      </c>
      <c r="P31" s="301" t="str">
        <f t="array" aca="1" ref="P31" ca="1">IF(ROW()-ROW($J$2:$J$52)+1&gt;ROWS($I$2:$I$52)-COUNTBLANK($I$2:$I$52),"",INDIRECT(ADDRESS(SMALL((IF($I$2:$I$52&lt;&gt;"",ROW($I$2:$I$52),ROW()+ROWS($I$2:$I$52))),ROW()-ROW($J$2:$J$52)+1),COLUMN($I$2:$I$52),4)))</f>
        <v/>
      </c>
    </row>
    <row r="32" spans="1:16">
      <c r="A32" s="256"/>
      <c r="B32" s="256"/>
      <c r="C32" s="256"/>
      <c r="D32" s="877"/>
      <c r="E32" s="268" t="str">
        <f>IF(H32="","","2015")</f>
        <v/>
      </c>
      <c r="F32" s="251" t="str">
        <f t="shared" si="15"/>
        <v/>
      </c>
      <c r="G32" s="251" t="str">
        <f t="shared" si="16"/>
        <v/>
      </c>
      <c r="H32" s="38" t="str">
        <f>IF(A4="relevant",IF(Matrix!X21="","",IF(Matrix!X21&gt;Matrix!T21,Berechnung2!$M$40,"")),"")</f>
        <v/>
      </c>
      <c r="I32" s="292" t="str">
        <f t="array" ref="I32">IF(H32="","",VLOOKUP(F32,Berechnung2!$I$15:$J$23,2,FALSE))</f>
        <v/>
      </c>
      <c r="J32" s="304" t="str">
        <f t="shared" si="2"/>
        <v/>
      </c>
      <c r="L32" s="299" t="str">
        <f t="array" aca="1" ref="L32" ca="1">IF(ROW()-ROW($F$2:$F$52)+1&gt;ROWS($E$2:$E$52)-COUNTBLANK($E$2:$E$52),"",INDIRECT(ADDRESS(SMALL((IF($E$2:$E$52&lt;&gt;"",ROW($E$2:$E$52),ROW()+ROWS($E$2:$E$52))),ROW()-ROW($F$2:$F$52)+1),COLUMN($E$2:$E$52),4)))</f>
        <v/>
      </c>
      <c r="M32" s="299" t="str">
        <f t="array" aca="1" ref="M32" ca="1">IF(ROW()-ROW($G$2:$G$52)+1&gt;ROWS($F$2:$F$52)-COUNTBLANK($F$2:$F$52),"",INDIRECT(ADDRESS(SMALL((IF($F$2:$F$52&lt;&gt;"",ROW($F$2:$F$52),ROW()+ROWS($F$2:$F$52))),ROW()-ROW($G$2:$G$52)+1),COLUMN($F$2:$F$52),4)))</f>
        <v/>
      </c>
      <c r="N32" s="299" t="str">
        <f t="array" aca="1" ref="N32" ca="1">IF(ROW()-ROW($H$2:$H$52)+1&gt;ROWS($G$2:$G$52)-COUNTBLANK($G$2:$G$52),"",INDIRECT(ADDRESS(SMALL((IF($G$2:$G$52&lt;&gt;"",ROW($G$2:$G$52),ROW()+ROWS($G$2:$G$52))),ROW()-ROW($H$2:$H$52)+1),COLUMN($G$2:$G$52),4)))</f>
        <v/>
      </c>
      <c r="O32" s="300" t="str">
        <f t="array" aca="1" ref="O32" ca="1">IF(ROW()-ROW($I$2:$I$52)+1&gt;ROWS($H$2:$H$52)-COUNTBLANK($H$2:$H$52),"",INDIRECT(ADDRESS(SMALL((IF($H$2:$H$52&lt;&gt;"",ROW($H$2:$H$52),ROW()+ROWS($H$2:$H$52))),ROW()-ROW($I$2:$I$52)+1),COLUMN($H$2:$H$52),4)))</f>
        <v/>
      </c>
      <c r="P32" s="301" t="str">
        <f t="array" aca="1" ref="P32" ca="1">IF(ROW()-ROW($J$2:$J$52)+1&gt;ROWS($I$2:$I$52)-COUNTBLANK($I$2:$I$52),"",INDIRECT(ADDRESS(SMALL((IF($I$2:$I$52&lt;&gt;"",ROW($I$2:$I$52),ROW()+ROWS($I$2:$I$52))),ROW()-ROW($J$2:$J$52)+1),COLUMN($I$2:$I$52),4)))</f>
        <v/>
      </c>
    </row>
    <row r="33" spans="1:16">
      <c r="A33" s="256"/>
      <c r="B33" s="256"/>
      <c r="C33" s="256"/>
      <c r="D33" s="877"/>
      <c r="E33" s="268" t="str">
        <f>IF(H33="","","2016")</f>
        <v/>
      </c>
      <c r="F33" s="251" t="str">
        <f t="shared" si="15"/>
        <v/>
      </c>
      <c r="G33" s="251" t="str">
        <f t="shared" si="16"/>
        <v/>
      </c>
      <c r="H33" s="38" t="str">
        <f>IF(A5="relevant",IF(Matrix!X22="","",IF(Matrix!X22&gt;Matrix!T22,Berechnung2!$M$40,"")),"")</f>
        <v/>
      </c>
      <c r="I33" s="292" t="str">
        <f t="array" ref="I33">IF(H33="","",VLOOKUP(F33,Berechnung2!$I$15:$J$23,2,FALSE))</f>
        <v/>
      </c>
      <c r="J33" s="304" t="str">
        <f t="shared" si="2"/>
        <v/>
      </c>
      <c r="L33" s="299" t="str">
        <f t="array" aca="1" ref="L33" ca="1">IF(ROW()-ROW($F$2:$F$52)+1&gt;ROWS($E$2:$E$52)-COUNTBLANK($E$2:$E$52),"",INDIRECT(ADDRESS(SMALL((IF($E$2:$E$52&lt;&gt;"",ROW($E$2:$E$52),ROW()+ROWS($E$2:$E$52))),ROW()-ROW($F$2:$F$52)+1),COLUMN($E$2:$E$52),4)))</f>
        <v/>
      </c>
      <c r="M33" s="299" t="str">
        <f t="array" aca="1" ref="M33" ca="1">IF(ROW()-ROW($G$2:$G$52)+1&gt;ROWS($F$2:$F$52)-COUNTBLANK($F$2:$F$52),"",INDIRECT(ADDRESS(SMALL((IF($F$2:$F$52&lt;&gt;"",ROW($F$2:$F$52),ROW()+ROWS($F$2:$F$52))),ROW()-ROW($G$2:$G$52)+1),COLUMN($F$2:$F$52),4)))</f>
        <v/>
      </c>
      <c r="N33" s="299" t="str">
        <f t="array" aca="1" ref="N33" ca="1">IF(ROW()-ROW($H$2:$H$52)+1&gt;ROWS($G$2:$G$52)-COUNTBLANK($G$2:$G$52),"",INDIRECT(ADDRESS(SMALL((IF($G$2:$G$52&lt;&gt;"",ROW($G$2:$G$52),ROW()+ROWS($G$2:$G$52))),ROW()-ROW($H$2:$H$52)+1),COLUMN($G$2:$G$52),4)))</f>
        <v/>
      </c>
      <c r="O33" s="300" t="str">
        <f t="array" aca="1" ref="O33" ca="1">IF(ROW()-ROW($I$2:$I$52)+1&gt;ROWS($H$2:$H$52)-COUNTBLANK($H$2:$H$52),"",INDIRECT(ADDRESS(SMALL((IF($H$2:$H$52&lt;&gt;"",ROW($H$2:$H$52),ROW()+ROWS($H$2:$H$52))),ROW()-ROW($I$2:$I$52)+1),COLUMN($H$2:$H$52),4)))</f>
        <v/>
      </c>
      <c r="P33" s="301" t="str">
        <f t="array" aca="1" ref="P33" ca="1">IF(ROW()-ROW($J$2:$J$52)+1&gt;ROWS($I$2:$I$52)-COUNTBLANK($I$2:$I$52),"",INDIRECT(ADDRESS(SMALL((IF($I$2:$I$52&lt;&gt;"",ROW($I$2:$I$52),ROW()+ROWS($I$2:$I$52))),ROW()-ROW($J$2:$J$52)+1),COLUMN($I$2:$I$52),4)))</f>
        <v/>
      </c>
    </row>
    <row r="34" spans="1:16" ht="33" customHeight="1">
      <c r="A34" s="256"/>
      <c r="B34" s="256"/>
      <c r="C34" s="256"/>
      <c r="D34" s="877"/>
      <c r="E34" s="268" t="str">
        <f>IF(H34="","","2017")</f>
        <v/>
      </c>
      <c r="F34" s="251" t="str">
        <f t="shared" si="15"/>
        <v/>
      </c>
      <c r="G34" s="251" t="str">
        <f t="shared" si="16"/>
        <v/>
      </c>
      <c r="H34" s="38" t="str">
        <f>IF(A6="relevant",IF(Matrix!X23="","",IF(Matrix!X23&gt;Matrix!T23,Berechnung2!$M$40,"")),"")</f>
        <v/>
      </c>
      <c r="I34" s="292" t="str">
        <f t="array" ref="I34">IF(H34="","",VLOOKUP(F34,Berechnung2!$I$15:$J$23,2,FALSE))</f>
        <v/>
      </c>
      <c r="J34" s="304" t="str">
        <f t="shared" si="2"/>
        <v/>
      </c>
      <c r="L34" s="299" t="str">
        <f t="array" aca="1" ref="L34" ca="1">IF(ROW()-ROW($F$2:$F$52)+1&gt;ROWS($E$2:$E$52)-COUNTBLANK($E$2:$E$52),"",INDIRECT(ADDRESS(SMALL((IF($E$2:$E$52&lt;&gt;"",ROW($E$2:$E$52),ROW()+ROWS($E$2:$E$52))),ROW()-ROW($F$2:$F$52)+1),COLUMN($E$2:$E$52),4)))</f>
        <v/>
      </c>
      <c r="M34" s="299" t="str">
        <f t="array" aca="1" ref="M34" ca="1">IF(ROW()-ROW($G$2:$G$52)+1&gt;ROWS($F$2:$F$52)-COUNTBLANK($F$2:$F$52),"",INDIRECT(ADDRESS(SMALL((IF($F$2:$F$52&lt;&gt;"",ROW($F$2:$F$52),ROW()+ROWS($F$2:$F$52))),ROW()-ROW($G$2:$G$52)+1),COLUMN($F$2:$F$52),4)))</f>
        <v/>
      </c>
      <c r="N34" s="299" t="str">
        <f t="array" aca="1" ref="N34" ca="1">IF(ROW()-ROW($H$2:$H$52)+1&gt;ROWS($G$2:$G$52)-COUNTBLANK($G$2:$G$52),"",INDIRECT(ADDRESS(SMALL((IF($G$2:$G$52&lt;&gt;"",ROW($G$2:$G$52),ROW()+ROWS($G$2:$G$52))),ROW()-ROW($H$2:$H$52)+1),COLUMN($G$2:$G$52),4)))</f>
        <v/>
      </c>
      <c r="O34" s="300" t="str">
        <f t="array" aca="1" ref="O34" ca="1">IF(ROW()-ROW($I$2:$I$52)+1&gt;ROWS($H$2:$H$52)-COUNTBLANK($H$2:$H$52),"",INDIRECT(ADDRESS(SMALL((IF($H$2:$H$52&lt;&gt;"",ROW($H$2:$H$52),ROW()+ROWS($H$2:$H$52))),ROW()-ROW($I$2:$I$52)+1),COLUMN($H$2:$H$52),4)))</f>
        <v/>
      </c>
      <c r="P34" s="301" t="str">
        <f t="array" aca="1" ref="P34" ca="1">IF(ROW()-ROW($J$2:$J$52)+1&gt;ROWS($I$2:$I$52)-COUNTBLANK($I$2:$I$52),"",INDIRECT(ADDRESS(SMALL((IF($I$2:$I$52&lt;&gt;"",ROW($I$2:$I$52),ROW()+ROWS($I$2:$I$52))),ROW()-ROW($J$2:$J$52)+1),COLUMN($I$2:$I$52),4)))</f>
        <v/>
      </c>
    </row>
    <row r="35" spans="1:16" ht="33" customHeight="1">
      <c r="A35" s="256"/>
      <c r="B35" s="256"/>
      <c r="C35" s="256"/>
      <c r="D35" s="479"/>
      <c r="E35" s="268"/>
      <c r="F35" s="251"/>
      <c r="G35" s="251"/>
      <c r="H35" s="38"/>
      <c r="I35" s="292"/>
      <c r="J35" s="304"/>
      <c r="L35" s="299" t="str">
        <f t="array" aca="1" ref="L35" ca="1">IF(ROW()-ROW($F$2:$F$52)+1&gt;ROWS($E$2:$E$52)-COUNTBLANK($E$2:$E$52),"",INDIRECT(ADDRESS(SMALL((IF($E$2:$E$52&lt;&gt;"",ROW($E$2:$E$52),ROW()+ROWS($E$2:$E$52))),ROW()-ROW($F$2:$F$52)+1),COLUMN($E$2:$E$52),4)))</f>
        <v/>
      </c>
      <c r="M35" s="299" t="str">
        <f t="array" aca="1" ref="M35" ca="1">IF(ROW()-ROW($G$2:$G$52)+1&gt;ROWS($F$2:$F$52)-COUNTBLANK($F$2:$F$52),"",INDIRECT(ADDRESS(SMALL((IF($F$2:$F$52&lt;&gt;"",ROW($F$2:$F$52),ROW()+ROWS($F$2:$F$52))),ROW()-ROW($G$2:$G$52)+1),COLUMN($F$2:$F$52),4)))</f>
        <v/>
      </c>
      <c r="N35" s="299" t="str">
        <f t="array" aca="1" ref="N35" ca="1">IF(ROW()-ROW($H$2:$H$52)+1&gt;ROWS($G$2:$G$52)-COUNTBLANK($G$2:$G$52),"",INDIRECT(ADDRESS(SMALL((IF($G$2:$G$52&lt;&gt;"",ROW($G$2:$G$52),ROW()+ROWS($G$2:$G$52))),ROW()-ROW($H$2:$H$52)+1),COLUMN($G$2:$G$52),4)))</f>
        <v/>
      </c>
      <c r="O35" s="300" t="str">
        <f t="array" aca="1" ref="O35" ca="1">IF(ROW()-ROW($I$2:$I$52)+1&gt;ROWS($H$2:$H$52)-COUNTBLANK($H$2:$H$52),"",INDIRECT(ADDRESS(SMALL((IF($H$2:$H$52&lt;&gt;"",ROW($H$2:$H$52),ROW()+ROWS($H$2:$H$52))),ROW()-ROW($I$2:$I$52)+1),COLUMN($H$2:$H$52),4)))</f>
        <v/>
      </c>
      <c r="P35" s="301" t="str">
        <f t="array" aca="1" ref="P35" ca="1">IF(ROW()-ROW($J$2:$J$52)+1&gt;ROWS($I$2:$I$52)-COUNTBLANK($I$2:$I$52),"",INDIRECT(ADDRESS(SMALL((IF($I$2:$I$52&lt;&gt;"",ROW($I$2:$I$52),ROW()+ROWS($I$2:$I$52))),ROW()-ROW($J$2:$J$52)+1),COLUMN($I$2:$I$52),4)))</f>
        <v/>
      </c>
    </row>
    <row r="36" spans="1:16" ht="14.65" thickBot="1">
      <c r="A36" s="256"/>
      <c r="B36" s="256"/>
      <c r="C36" s="256"/>
      <c r="D36" s="280" t="s">
        <v>301</v>
      </c>
      <c r="E36" s="268"/>
      <c r="F36" s="251"/>
      <c r="G36" s="251"/>
      <c r="H36" s="38"/>
      <c r="I36" s="292"/>
      <c r="J36" s="304"/>
      <c r="L36" s="299" t="str">
        <f t="array" aca="1" ref="L36" ca="1">IF(ROW()-ROW($F$2:$F$52)+1&gt;ROWS($E$2:$E$52)-COUNTBLANK($E$2:$E$52),"",INDIRECT(ADDRESS(SMALL((IF($E$2:$E$52&lt;&gt;"",ROW($E$2:$E$52),ROW()+ROWS($E$2:$E$52))),ROW()-ROW($F$2:$F$52)+1),COLUMN($E$2:$E$52),4)))</f>
        <v/>
      </c>
      <c r="M36" s="299" t="str">
        <f t="array" aca="1" ref="M36" ca="1">IF(ROW()-ROW($G$2:$G$52)+1&gt;ROWS($F$2:$F$52)-COUNTBLANK($F$2:$F$52),"",INDIRECT(ADDRESS(SMALL((IF($F$2:$F$52&lt;&gt;"",ROW($F$2:$F$52),ROW()+ROWS($F$2:$F$52))),ROW()-ROW($G$2:$G$52)+1),COLUMN($F$2:$F$52),4)))</f>
        <v/>
      </c>
      <c r="N36" s="299" t="str">
        <f t="array" aca="1" ref="N36" ca="1">IF(ROW()-ROW($H$2:$H$52)+1&gt;ROWS($G$2:$G$52)-COUNTBLANK($G$2:$G$52),"",INDIRECT(ADDRESS(SMALL((IF($G$2:$G$52&lt;&gt;"",ROW($G$2:$G$52),ROW()+ROWS($G$2:$G$52))),ROW()-ROW($H$2:$H$52)+1),COLUMN($G$2:$G$52),4)))</f>
        <v/>
      </c>
      <c r="O36" s="300" t="str">
        <f t="array" aca="1" ref="O36" ca="1">IF(ROW()-ROW($I$2:$I$52)+1&gt;ROWS($H$2:$H$52)-COUNTBLANK($H$2:$H$52),"",INDIRECT(ADDRESS(SMALL((IF($H$2:$H$52&lt;&gt;"",ROW($H$2:$H$52),ROW()+ROWS($H$2:$H$52))),ROW()-ROW($I$2:$I$52)+1),COLUMN($H$2:$H$52),4)))</f>
        <v/>
      </c>
      <c r="P36" s="301" t="str">
        <f t="array" aca="1" ref="P36" ca="1">IF(ROW()-ROW($J$2:$J$52)+1&gt;ROWS($I$2:$I$52)-COUNTBLANK($I$2:$I$52),"",INDIRECT(ADDRESS(SMALL((IF($I$2:$I$52&lt;&gt;"",ROW($I$2:$I$52),ROW()+ROWS($I$2:$I$52))),ROW()-ROW($J$2:$J$52)+1),COLUMN($I$2:$I$52),4)))</f>
        <v/>
      </c>
    </row>
    <row r="37" spans="1:16">
      <c r="A37" s="256"/>
      <c r="B37" s="256"/>
      <c r="C37" s="256"/>
      <c r="D37" s="281" t="s">
        <v>86</v>
      </c>
      <c r="E37" s="267" t="str">
        <f>IF(H37="","","2013")</f>
        <v/>
      </c>
      <c r="F37" s="253" t="str">
        <f t="shared" ref="F37:F41" si="17">IF(H37="","","f")</f>
        <v/>
      </c>
      <c r="G37" s="253" t="str">
        <f t="shared" si="16"/>
        <v/>
      </c>
      <c r="H37" s="257" t="str">
        <f>IF(A2="relevant",IF(Matrix!Y19="","",IF(Matrix!Y19&gt;Matrix!T19,Berechnung2!$M$41,"")),"")</f>
        <v/>
      </c>
      <c r="I37" s="291" t="str">
        <f t="array" ref="I37">IF(H37="","",VLOOKUP(F37,Berechnung2!$I$15:$J$23,2,FALSE))</f>
        <v/>
      </c>
      <c r="J37" s="303" t="str">
        <f t="shared" si="2"/>
        <v/>
      </c>
      <c r="L37" s="299" t="str">
        <f t="array" aca="1" ref="L37" ca="1">IF(ROW()-ROW($F$2:$F$52)+1&gt;ROWS($E$2:$E$52)-COUNTBLANK($E$2:$E$52),"",INDIRECT(ADDRESS(SMALL((IF($E$2:$E$52&lt;&gt;"",ROW($E$2:$E$52),ROW()+ROWS($E$2:$E$52))),ROW()-ROW($F$2:$F$52)+1),COLUMN($E$2:$E$52),4)))</f>
        <v/>
      </c>
      <c r="M37" s="299" t="str">
        <f t="array" aca="1" ref="M37" ca="1">IF(ROW()-ROW($G$2:$G$52)+1&gt;ROWS($F$2:$F$52)-COUNTBLANK($F$2:$F$52),"",INDIRECT(ADDRESS(SMALL((IF($F$2:$F$52&lt;&gt;"",ROW($F$2:$F$52),ROW()+ROWS($F$2:$F$52))),ROW()-ROW($G$2:$G$52)+1),COLUMN($F$2:$F$52),4)))</f>
        <v/>
      </c>
      <c r="N37" s="299" t="str">
        <f t="array" aca="1" ref="N37" ca="1">IF(ROW()-ROW($H$2:$H$52)+1&gt;ROWS($G$2:$G$52)-COUNTBLANK($G$2:$G$52),"",INDIRECT(ADDRESS(SMALL((IF($G$2:$G$52&lt;&gt;"",ROW($G$2:$G$52),ROW()+ROWS($G$2:$G$52))),ROW()-ROW($H$2:$H$52)+1),COLUMN($G$2:$G$52),4)))</f>
        <v/>
      </c>
      <c r="O37" s="300" t="str">
        <f t="array" aca="1" ref="O37" ca="1">IF(ROW()-ROW($I$2:$I$52)+1&gt;ROWS($H$2:$H$52)-COUNTBLANK($H$2:$H$52),"",INDIRECT(ADDRESS(SMALL((IF($H$2:$H$52&lt;&gt;"",ROW($H$2:$H$52),ROW()+ROWS($H$2:$H$52))),ROW()-ROW($I$2:$I$52)+1),COLUMN($H$2:$H$52),4)))</f>
        <v/>
      </c>
      <c r="P37" s="301" t="str">
        <f t="array" aca="1" ref="P37" ca="1">IF(ROW()-ROW($J$2:$J$52)+1&gt;ROWS($I$2:$I$52)-COUNTBLANK($I$2:$I$52),"",INDIRECT(ADDRESS(SMALL((IF($I$2:$I$52&lt;&gt;"",ROW($I$2:$I$52),ROW()+ROWS($I$2:$I$52))),ROW()-ROW($J$2:$J$52)+1),COLUMN($I$2:$I$52),4)))</f>
        <v/>
      </c>
    </row>
    <row r="38" spans="1:16">
      <c r="A38" s="256"/>
      <c r="B38" s="256"/>
      <c r="C38" s="256"/>
      <c r="D38" s="876" t="s">
        <v>359</v>
      </c>
      <c r="E38" s="268" t="str">
        <f>IF(H38="","","2014")</f>
        <v/>
      </c>
      <c r="F38" s="251" t="str">
        <f t="shared" si="17"/>
        <v/>
      </c>
      <c r="G38" s="251" t="str">
        <f t="shared" si="16"/>
        <v/>
      </c>
      <c r="H38" s="38" t="str">
        <f>IF(A3="relevant",IF(Matrix!Y20="","",IF(Matrix!Y20&gt;Matrix!T20,Berechnung2!$M$41,"")),"")</f>
        <v/>
      </c>
      <c r="I38" s="292" t="str">
        <f t="array" ref="I38">IF(H38="","",VLOOKUP(F38,Berechnung2!$I$15:$J$23,2,FALSE))</f>
        <v/>
      </c>
      <c r="J38" s="304" t="str">
        <f t="shared" si="2"/>
        <v/>
      </c>
      <c r="L38" s="299" t="str">
        <f t="array" aca="1" ref="L38" ca="1">IF(ROW()-ROW($F$2:$F$52)+1&gt;ROWS($E$2:$E$52)-COUNTBLANK($E$2:$E$52),"",INDIRECT(ADDRESS(SMALL((IF($E$2:$E$52&lt;&gt;"",ROW($E$2:$E$52),ROW()+ROWS($E$2:$E$52))),ROW()-ROW($F$2:$F$52)+1),COLUMN($E$2:$E$52),4)))</f>
        <v/>
      </c>
      <c r="M38" s="299" t="str">
        <f t="array" aca="1" ref="M38" ca="1">IF(ROW()-ROW($G$2:$G$52)+1&gt;ROWS($F$2:$F$52)-COUNTBLANK($F$2:$F$52),"",INDIRECT(ADDRESS(SMALL((IF($F$2:$F$52&lt;&gt;"",ROW($F$2:$F$52),ROW()+ROWS($F$2:$F$52))),ROW()-ROW($G$2:$G$52)+1),COLUMN($F$2:$F$52),4)))</f>
        <v/>
      </c>
      <c r="N38" s="299" t="str">
        <f t="array" aca="1" ref="N38" ca="1">IF(ROW()-ROW($H$2:$H$52)+1&gt;ROWS($G$2:$G$52)-COUNTBLANK($G$2:$G$52),"",INDIRECT(ADDRESS(SMALL((IF($G$2:$G$52&lt;&gt;"",ROW($G$2:$G$52),ROW()+ROWS($G$2:$G$52))),ROW()-ROW($H$2:$H$52)+1),COLUMN($G$2:$G$52),4)))</f>
        <v/>
      </c>
      <c r="O38" s="300" t="str">
        <f t="array" aca="1" ref="O38" ca="1">IF(ROW()-ROW($I$2:$I$52)+1&gt;ROWS($H$2:$H$52)-COUNTBLANK($H$2:$H$52),"",INDIRECT(ADDRESS(SMALL((IF($H$2:$H$52&lt;&gt;"",ROW($H$2:$H$52),ROW()+ROWS($H$2:$H$52))),ROW()-ROW($I$2:$I$52)+1),COLUMN($H$2:$H$52),4)))</f>
        <v/>
      </c>
      <c r="P38" s="301" t="str">
        <f t="array" aca="1" ref="P38" ca="1">IF(ROW()-ROW($J$2:$J$52)+1&gt;ROWS($I$2:$I$52)-COUNTBLANK($I$2:$I$52),"",INDIRECT(ADDRESS(SMALL((IF($I$2:$I$52&lt;&gt;"",ROW($I$2:$I$52),ROW()+ROWS($I$2:$I$52))),ROW()-ROW($J$2:$J$52)+1),COLUMN($I$2:$I$52),4)))</f>
        <v/>
      </c>
    </row>
    <row r="39" spans="1:16">
      <c r="A39" s="256"/>
      <c r="B39" s="256"/>
      <c r="C39" s="256"/>
      <c r="D39" s="877"/>
      <c r="E39" s="268" t="str">
        <f>IF(H39="","","2015")</f>
        <v/>
      </c>
      <c r="F39" s="251" t="str">
        <f t="shared" si="17"/>
        <v/>
      </c>
      <c r="G39" s="251" t="str">
        <f t="shared" si="16"/>
        <v/>
      </c>
      <c r="H39" s="38" t="str">
        <f>IF(A4="relevant",IF(Matrix!Y21="","",IF(Matrix!Y21&gt;Matrix!T21,Berechnung2!$M$41,"")),"")</f>
        <v/>
      </c>
      <c r="I39" s="292" t="str">
        <f t="array" ref="I39">IF(H39="","",VLOOKUP(F39,Berechnung2!$I$15:$J$23,2,FALSE))</f>
        <v/>
      </c>
      <c r="J39" s="304" t="str">
        <f t="shared" si="2"/>
        <v/>
      </c>
      <c r="L39" s="299" t="str">
        <f t="array" aca="1" ref="L39" ca="1">IF(ROW()-ROW($F$2:$F$52)+1&gt;ROWS($E$2:$E$52)-COUNTBLANK($E$2:$E$52),"",INDIRECT(ADDRESS(SMALL((IF($E$2:$E$52&lt;&gt;"",ROW($E$2:$E$52),ROW()+ROWS($E$2:$E$52))),ROW()-ROW($F$2:$F$52)+1),COLUMN($E$2:$E$52),4)))</f>
        <v/>
      </c>
      <c r="M39" s="299" t="str">
        <f t="array" aca="1" ref="M39" ca="1">IF(ROW()-ROW($G$2:$G$52)+1&gt;ROWS($F$2:$F$52)-COUNTBLANK($F$2:$F$52),"",INDIRECT(ADDRESS(SMALL((IF($F$2:$F$52&lt;&gt;"",ROW($F$2:$F$52),ROW()+ROWS($F$2:$F$52))),ROW()-ROW($G$2:$G$52)+1),COLUMN($F$2:$F$52),4)))</f>
        <v/>
      </c>
      <c r="N39" s="299" t="str">
        <f t="array" aca="1" ref="N39" ca="1">IF(ROW()-ROW($H$2:$H$52)+1&gt;ROWS($G$2:$G$52)-COUNTBLANK($G$2:$G$52),"",INDIRECT(ADDRESS(SMALL((IF($G$2:$G$52&lt;&gt;"",ROW($G$2:$G$52),ROW()+ROWS($G$2:$G$52))),ROW()-ROW($H$2:$H$52)+1),COLUMN($G$2:$G$52),4)))</f>
        <v/>
      </c>
      <c r="O39" s="300" t="str">
        <f t="array" aca="1" ref="O39" ca="1">IF(ROW()-ROW($I$2:$I$52)+1&gt;ROWS($H$2:$H$52)-COUNTBLANK($H$2:$H$52),"",INDIRECT(ADDRESS(SMALL((IF($H$2:$H$52&lt;&gt;"",ROW($H$2:$H$52),ROW()+ROWS($H$2:$H$52))),ROW()-ROW($I$2:$I$52)+1),COLUMN($H$2:$H$52),4)))</f>
        <v/>
      </c>
      <c r="P39" s="301" t="str">
        <f t="array" aca="1" ref="P39" ca="1">IF(ROW()-ROW($J$2:$J$52)+1&gt;ROWS($I$2:$I$52)-COUNTBLANK($I$2:$I$52),"",INDIRECT(ADDRESS(SMALL((IF($I$2:$I$52&lt;&gt;"",ROW($I$2:$I$52),ROW()+ROWS($I$2:$I$52))),ROW()-ROW($J$2:$J$52)+1),COLUMN($I$2:$I$52),4)))</f>
        <v/>
      </c>
    </row>
    <row r="40" spans="1:16">
      <c r="A40" s="256"/>
      <c r="B40" s="256"/>
      <c r="C40" s="256"/>
      <c r="D40" s="877"/>
      <c r="E40" s="268" t="str">
        <f>IF(H40="","","2016")</f>
        <v/>
      </c>
      <c r="F40" s="251" t="str">
        <f t="shared" si="17"/>
        <v/>
      </c>
      <c r="G40" s="251" t="str">
        <f t="shared" si="16"/>
        <v/>
      </c>
      <c r="H40" s="38" t="str">
        <f>IF(A5="relevant",IF(Matrix!Y22="","",IF(Matrix!Y22&gt;Matrix!T22,Berechnung2!$M$41,"")),"")</f>
        <v/>
      </c>
      <c r="I40" s="292" t="str">
        <f t="array" ref="I40">IF(H40="","",VLOOKUP(F40,Berechnung2!$I$15:$J$23,2,FALSE))</f>
        <v/>
      </c>
      <c r="J40" s="304" t="str">
        <f t="shared" si="2"/>
        <v/>
      </c>
      <c r="L40" s="299" t="str">
        <f t="array" aca="1" ref="L40" ca="1">IF(ROW()-ROW($F$2:$F$52)+1&gt;ROWS($E$2:$E$52)-COUNTBLANK($E$2:$E$52),"",INDIRECT(ADDRESS(SMALL((IF($E$2:$E$52&lt;&gt;"",ROW($E$2:$E$52),ROW()+ROWS($E$2:$E$52))),ROW()-ROW($F$2:$F$52)+1),COLUMN($E$2:$E$52),4)))</f>
        <v/>
      </c>
      <c r="M40" s="299" t="str">
        <f t="array" aca="1" ref="M40" ca="1">IF(ROW()-ROW($G$2:$G$52)+1&gt;ROWS($F$2:$F$52)-COUNTBLANK($F$2:$F$52),"",INDIRECT(ADDRESS(SMALL((IF($F$2:$F$52&lt;&gt;"",ROW($F$2:$F$52),ROW()+ROWS($F$2:$F$52))),ROW()-ROW($G$2:$G$52)+1),COLUMN($F$2:$F$52),4)))</f>
        <v/>
      </c>
      <c r="N40" s="299" t="str">
        <f t="array" aca="1" ref="N40" ca="1">IF(ROW()-ROW($H$2:$H$52)+1&gt;ROWS($G$2:$G$52)-COUNTBLANK($G$2:$G$52),"",INDIRECT(ADDRESS(SMALL((IF($G$2:$G$52&lt;&gt;"",ROW($G$2:$G$52),ROW()+ROWS($G$2:$G$52))),ROW()-ROW($H$2:$H$52)+1),COLUMN($G$2:$G$52),4)))</f>
        <v/>
      </c>
      <c r="O40" s="300" t="str">
        <f t="array" aca="1" ref="O40" ca="1">IF(ROW()-ROW($I$2:$I$52)+1&gt;ROWS($H$2:$H$52)-COUNTBLANK($H$2:$H$52),"",INDIRECT(ADDRESS(SMALL((IF($H$2:$H$52&lt;&gt;"",ROW($H$2:$H$52),ROW()+ROWS($H$2:$H$52))),ROW()-ROW($I$2:$I$52)+1),COLUMN($H$2:$H$52),4)))</f>
        <v/>
      </c>
      <c r="P40" s="301" t="str">
        <f t="array" aca="1" ref="P40" ca="1">IF(ROW()-ROW($J$2:$J$52)+1&gt;ROWS($I$2:$I$52)-COUNTBLANK($I$2:$I$52),"",INDIRECT(ADDRESS(SMALL((IF($I$2:$I$52&lt;&gt;"",ROW($I$2:$I$52),ROW()+ROWS($I$2:$I$52))),ROW()-ROW($J$2:$J$52)+1),COLUMN($I$2:$I$52),4)))</f>
        <v/>
      </c>
    </row>
    <row r="41" spans="1:16" ht="60.75" customHeight="1">
      <c r="A41" s="256"/>
      <c r="B41" s="256"/>
      <c r="C41" s="256"/>
      <c r="D41" s="877"/>
      <c r="E41" s="268" t="str">
        <f>IF(H41="","","2017")</f>
        <v/>
      </c>
      <c r="F41" s="251" t="str">
        <f t="shared" si="17"/>
        <v/>
      </c>
      <c r="G41" s="251" t="str">
        <f t="shared" si="16"/>
        <v/>
      </c>
      <c r="H41" s="38" t="str">
        <f>IF(A6="relevant",IF(Matrix!Y23="","",IF(Matrix!Y23&gt;Matrix!T23,Berechnung2!$M$41,"")),"")</f>
        <v/>
      </c>
      <c r="I41" s="292" t="str">
        <f t="array" ref="I41">IF(H41="","",VLOOKUP(F41,Berechnung2!$I$15:$J$23,2,FALSE))</f>
        <v/>
      </c>
      <c r="J41" s="304" t="str">
        <f t="shared" si="2"/>
        <v/>
      </c>
      <c r="L41" s="299" t="str">
        <f t="array" aca="1" ref="L41" ca="1">IF(ROW()-ROW($F$2:$F$52)+1&gt;ROWS($E$2:$E$52)-COUNTBLANK($E$2:$E$52),"",INDIRECT(ADDRESS(SMALL((IF($E$2:$E$52&lt;&gt;"",ROW($E$2:$E$52),ROW()+ROWS($E$2:$E$52))),ROW()-ROW($F$2:$F$52)+1),COLUMN($E$2:$E$52),4)))</f>
        <v/>
      </c>
      <c r="M41" s="299" t="str">
        <f t="array" aca="1" ref="M41" ca="1">IF(ROW()-ROW($G$2:$G$52)+1&gt;ROWS($F$2:$F$52)-COUNTBLANK($F$2:$F$52),"",INDIRECT(ADDRESS(SMALL((IF($F$2:$F$52&lt;&gt;"",ROW($F$2:$F$52),ROW()+ROWS($F$2:$F$52))),ROW()-ROW($G$2:$G$52)+1),COLUMN($F$2:$F$52),4)))</f>
        <v/>
      </c>
      <c r="N41" s="299" t="str">
        <f t="array" aca="1" ref="N41" ca="1">IF(ROW()-ROW($H$2:$H$52)+1&gt;ROWS($G$2:$G$52)-COUNTBLANK($G$2:$G$52),"",INDIRECT(ADDRESS(SMALL((IF($G$2:$G$52&lt;&gt;"",ROW($G$2:$G$52),ROW()+ROWS($G$2:$G$52))),ROW()-ROW($H$2:$H$52)+1),COLUMN($G$2:$G$52),4)))</f>
        <v/>
      </c>
      <c r="O41" s="300" t="str">
        <f t="array" aca="1" ref="O41" ca="1">IF(ROW()-ROW($I$2:$I$52)+1&gt;ROWS($H$2:$H$52)-COUNTBLANK($H$2:$H$52),"",INDIRECT(ADDRESS(SMALL((IF($H$2:$H$52&lt;&gt;"",ROW($H$2:$H$52),ROW()+ROWS($H$2:$H$52))),ROW()-ROW($I$2:$I$52)+1),COLUMN($H$2:$H$52),4)))</f>
        <v/>
      </c>
      <c r="P41" s="301" t="str">
        <f t="array" aca="1" ref="P41" ca="1">IF(ROW()-ROW($J$2:$J$52)+1&gt;ROWS($I$2:$I$52)-COUNTBLANK($I$2:$I$52),"",INDIRECT(ADDRESS(SMALL((IF($I$2:$I$52&lt;&gt;"",ROW($I$2:$I$52),ROW()+ROWS($I$2:$I$52))),ROW()-ROW($J$2:$J$52)+1),COLUMN($I$2:$I$52),4)))</f>
        <v/>
      </c>
    </row>
    <row r="42" spans="1:16" ht="60.75" customHeight="1">
      <c r="A42" s="256"/>
      <c r="B42" s="256"/>
      <c r="C42" s="256"/>
      <c r="D42" s="479"/>
      <c r="E42" s="268"/>
      <c r="F42" s="251"/>
      <c r="G42" s="251"/>
      <c r="H42" s="38"/>
      <c r="I42" s="292"/>
      <c r="J42" s="304"/>
      <c r="L42" s="299" t="str">
        <f t="array" aca="1" ref="L42" ca="1">IF(ROW()-ROW($F$2:$F$52)+1&gt;ROWS($E$2:$E$52)-COUNTBLANK($E$2:$E$52),"",INDIRECT(ADDRESS(SMALL((IF($E$2:$E$52&lt;&gt;"",ROW($E$2:$E$52),ROW()+ROWS($E$2:$E$52))),ROW()-ROW($F$2:$F$52)+1),COLUMN($E$2:$E$52),4)))</f>
        <v/>
      </c>
      <c r="M42" s="299" t="str">
        <f t="array" aca="1" ref="M42" ca="1">IF(ROW()-ROW($G$2:$G$52)+1&gt;ROWS($F$2:$F$52)-COUNTBLANK($F$2:$F$52),"",INDIRECT(ADDRESS(SMALL((IF($F$2:$F$52&lt;&gt;"",ROW($F$2:$F$52),ROW()+ROWS($F$2:$F$52))),ROW()-ROW($G$2:$G$52)+1),COLUMN($F$2:$F$52),4)))</f>
        <v/>
      </c>
      <c r="N42" s="299" t="str">
        <f t="array" aca="1" ref="N42" ca="1">IF(ROW()-ROW($H$2:$H$52)+1&gt;ROWS($G$2:$G$52)-COUNTBLANK($G$2:$G$52),"",INDIRECT(ADDRESS(SMALL((IF($G$2:$G$52&lt;&gt;"",ROW($G$2:$G$52),ROW()+ROWS($G$2:$G$52))),ROW()-ROW($H$2:$H$52)+1),COLUMN($G$2:$G$52),4)))</f>
        <v/>
      </c>
      <c r="O42" s="300" t="str">
        <f t="array" aca="1" ref="O42" ca="1">IF(ROW()-ROW($I$2:$I$52)+1&gt;ROWS($H$2:$H$52)-COUNTBLANK($H$2:$H$52),"",INDIRECT(ADDRESS(SMALL((IF($H$2:$H$52&lt;&gt;"",ROW($H$2:$H$52),ROW()+ROWS($H$2:$H$52))),ROW()-ROW($I$2:$I$52)+1),COLUMN($H$2:$H$52),4)))</f>
        <v/>
      </c>
      <c r="P42" s="301" t="str">
        <f t="array" aca="1" ref="P42" ca="1">IF(ROW()-ROW($J$2:$J$52)+1&gt;ROWS($I$2:$I$52)-COUNTBLANK($I$2:$I$52),"",INDIRECT(ADDRESS(SMALL((IF($I$2:$I$52&lt;&gt;"",ROW($I$2:$I$52),ROW()+ROWS($I$2:$I$52))),ROW()-ROW($J$2:$J$52)+1),COLUMN($I$2:$I$52),4)))</f>
        <v/>
      </c>
    </row>
    <row r="43" spans="1:16" ht="14.65" thickBot="1">
      <c r="A43" s="256"/>
      <c r="B43" s="256"/>
      <c r="C43" s="256"/>
      <c r="D43" s="280" t="s">
        <v>302</v>
      </c>
      <c r="E43" s="268"/>
      <c r="F43" s="251"/>
      <c r="G43" s="251"/>
      <c r="H43" s="38"/>
      <c r="I43" s="292"/>
      <c r="J43" s="304"/>
      <c r="L43" s="299" t="str">
        <f t="array" aca="1" ref="L43" ca="1">IF(ROW()-ROW($F$2:$F$52)+1&gt;ROWS($E$2:$E$52)-COUNTBLANK($E$2:$E$52),"",INDIRECT(ADDRESS(SMALL((IF($E$2:$E$52&lt;&gt;"",ROW($E$2:$E$52),ROW()+ROWS($E$2:$E$52))),ROW()-ROW($F$2:$F$52)+1),COLUMN($E$2:$E$52),4)))</f>
        <v/>
      </c>
      <c r="M43" s="299" t="str">
        <f t="array" aca="1" ref="M43" ca="1">IF(ROW()-ROW($G$2:$G$52)+1&gt;ROWS($F$2:$F$52)-COUNTBLANK($F$2:$F$52),"",INDIRECT(ADDRESS(SMALL((IF($F$2:$F$52&lt;&gt;"",ROW($F$2:$F$52),ROW()+ROWS($F$2:$F$52))),ROW()-ROW($G$2:$G$52)+1),COLUMN($F$2:$F$52),4)))</f>
        <v/>
      </c>
      <c r="N43" s="299" t="str">
        <f t="array" aca="1" ref="N43" ca="1">IF(ROW()-ROW($H$2:$H$52)+1&gt;ROWS($G$2:$G$52)-COUNTBLANK($G$2:$G$52),"",INDIRECT(ADDRESS(SMALL((IF($G$2:$G$52&lt;&gt;"",ROW($G$2:$G$52),ROW()+ROWS($G$2:$G$52))),ROW()-ROW($H$2:$H$52)+1),COLUMN($G$2:$G$52),4)))</f>
        <v/>
      </c>
      <c r="O43" s="300" t="str">
        <f t="array" aca="1" ref="O43" ca="1">IF(ROW()-ROW($I$2:$I$52)+1&gt;ROWS($H$2:$H$52)-COUNTBLANK($H$2:$H$52),"",INDIRECT(ADDRESS(SMALL((IF($H$2:$H$52&lt;&gt;"",ROW($H$2:$H$52),ROW()+ROWS($H$2:$H$52))),ROW()-ROW($I$2:$I$52)+1),COLUMN($H$2:$H$52),4)))</f>
        <v/>
      </c>
      <c r="P43" s="301" t="str">
        <f t="array" aca="1" ref="P43" ca="1">IF(ROW()-ROW($J$2:$J$52)+1&gt;ROWS($I$2:$I$52)-COUNTBLANK($I$2:$I$52),"",INDIRECT(ADDRESS(SMALL((IF($I$2:$I$52&lt;&gt;"",ROW($I$2:$I$52),ROW()+ROWS($I$2:$I$52))),ROW()-ROW($J$2:$J$52)+1),COLUMN($I$2:$I$52),4)))</f>
        <v/>
      </c>
    </row>
    <row r="44" spans="1:16" ht="30.75" thickBot="1">
      <c r="A44" s="256"/>
      <c r="B44" s="256"/>
      <c r="C44" s="256"/>
      <c r="D44" s="282" t="s">
        <v>304</v>
      </c>
      <c r="E44" s="269" t="str">
        <f>IF(H44="","","2015-2017")</f>
        <v/>
      </c>
      <c r="F44" s="255" t="str">
        <f>IF(H44="","","g")</f>
        <v/>
      </c>
      <c r="G44" s="255" t="str">
        <f>IF(H44="","","5")</f>
        <v/>
      </c>
      <c r="H44" s="258" t="str">
        <f>IF(Matrix!$V$28="-----","",IF(Matrix!V28="","",IF(AND(ROUND(Matrix!V28,4)&gt;=Berechnung2!H36,ROUND(Matrix!V28,4)&lt;Berechnung2!K36),Berechnung2!M36,"")))</f>
        <v/>
      </c>
      <c r="I44" s="293" t="str">
        <f t="array" ref="I44">IF(H44="","",VLOOKUP(F44,Berechnung2!$I$15:$J$23,2,FALSE))</f>
        <v/>
      </c>
      <c r="J44" s="305" t="str">
        <f t="shared" si="2"/>
        <v/>
      </c>
      <c r="L44" s="299" t="str">
        <f t="array" aca="1" ref="L44" ca="1">IF(ROW()-ROW($F$2:$F$52)+1&gt;ROWS($E$2:$E$52)-COUNTBLANK($E$2:$E$52),"",INDIRECT(ADDRESS(SMALL((IF($E$2:$E$52&lt;&gt;"",ROW($E$2:$E$52),ROW()+ROWS($E$2:$E$52))),ROW()-ROW($F$2:$F$52)+1),COLUMN($E$2:$E$52),4)))</f>
        <v/>
      </c>
      <c r="M44" s="299" t="str">
        <f t="array" aca="1" ref="M44" ca="1">IF(ROW()-ROW($G$2:$G$52)+1&gt;ROWS($F$2:$F$52)-COUNTBLANK($F$2:$F$52),"",INDIRECT(ADDRESS(SMALL((IF($F$2:$F$52&lt;&gt;"",ROW($F$2:$F$52),ROW()+ROWS($F$2:$F$52))),ROW()-ROW($G$2:$G$52)+1),COLUMN($F$2:$F$52),4)))</f>
        <v/>
      </c>
      <c r="N44" s="299" t="str">
        <f t="array" aca="1" ref="N44" ca="1">IF(ROW()-ROW($H$2:$H$52)+1&gt;ROWS($G$2:$G$52)-COUNTBLANK($G$2:$G$52),"",INDIRECT(ADDRESS(SMALL((IF($G$2:$G$52&lt;&gt;"",ROW($G$2:$G$52),ROW()+ROWS($G$2:$G$52))),ROW()-ROW($H$2:$H$52)+1),COLUMN($G$2:$G$52),4)))</f>
        <v/>
      </c>
      <c r="O44" s="300" t="str">
        <f t="array" aca="1" ref="O44" ca="1">IF(ROW()-ROW($I$2:$I$52)+1&gt;ROWS($H$2:$H$52)-COUNTBLANK($H$2:$H$52),"",INDIRECT(ADDRESS(SMALL((IF($H$2:$H$52&lt;&gt;"",ROW($H$2:$H$52),ROW()+ROWS($H$2:$H$52))),ROW()-ROW($I$2:$I$52)+1),COLUMN($H$2:$H$52),4)))</f>
        <v/>
      </c>
      <c r="P44" s="301" t="str">
        <f t="array" aca="1" ref="P44" ca="1">IF(ROW()-ROW($J$2:$J$52)+1&gt;ROWS($I$2:$I$52)-COUNTBLANK($I$2:$I$52),"",INDIRECT(ADDRESS(SMALL((IF($I$2:$I$52&lt;&gt;"",ROW($I$2:$I$52),ROW()+ROWS($I$2:$I$52))),ROW()-ROW($J$2:$J$52)+1),COLUMN($I$2:$I$52),4)))</f>
        <v/>
      </c>
    </row>
    <row r="45" spans="1:16" ht="20.65" thickBot="1">
      <c r="A45" s="256"/>
      <c r="B45" s="256"/>
      <c r="C45" s="256"/>
      <c r="D45" s="283" t="s">
        <v>305</v>
      </c>
      <c r="E45" s="269" t="str">
        <f>IF(H45="","","2015-2017")</f>
        <v/>
      </c>
      <c r="F45" s="255" t="str">
        <f>IF(H45="","","h")</f>
        <v/>
      </c>
      <c r="G45" s="255" t="str">
        <f>IF(H45="","","6")</f>
        <v/>
      </c>
      <c r="H45" s="255" t="str">
        <f>IF(Matrix!V28="-----","",IF(Matrix!V28="","",IF(ROUND(Matrix!V28,4)&gt;=Berechnung2!K37,Berechnung2!M37,"")))</f>
        <v/>
      </c>
      <c r="I45" s="293" t="str">
        <f t="array" ref="I45">IF(H45="","",VLOOKUP(F45,Berechnung2!$I$15:$J$23,2,FALSE))</f>
        <v/>
      </c>
      <c r="J45" s="305" t="str">
        <f t="shared" si="2"/>
        <v/>
      </c>
      <c r="L45" s="299" t="str">
        <f t="array" aca="1" ref="L45" ca="1">IF(ROW()-ROW($F$2:$F$52)+1&gt;ROWS($E$2:$E$52)-COUNTBLANK($E$2:$E$52),"",INDIRECT(ADDRESS(SMALL((IF($E$2:$E$52&lt;&gt;"",ROW($E$2:$E$52),ROW()+ROWS($E$2:$E$52))),ROW()-ROW($F$2:$F$52)+1),COLUMN($E$2:$E$52),4)))</f>
        <v/>
      </c>
      <c r="M45" s="299" t="str">
        <f t="array" aca="1" ref="M45" ca="1">IF(ROW()-ROW($G$2:$G$52)+1&gt;ROWS($F$2:$F$52)-COUNTBLANK($F$2:$F$52),"",INDIRECT(ADDRESS(SMALL((IF($F$2:$F$52&lt;&gt;"",ROW($F$2:$F$52),ROW()+ROWS($F$2:$F$52))),ROW()-ROW($G$2:$G$52)+1),COLUMN($F$2:$F$52),4)))</f>
        <v/>
      </c>
      <c r="N45" s="299" t="str">
        <f t="array" aca="1" ref="N45" ca="1">IF(ROW()-ROW($H$2:$H$52)+1&gt;ROWS($G$2:$G$52)-COUNTBLANK($G$2:$G$52),"",INDIRECT(ADDRESS(SMALL((IF($G$2:$G$52&lt;&gt;"",ROW($G$2:$G$52),ROW()+ROWS($G$2:$G$52))),ROW()-ROW($H$2:$H$52)+1),COLUMN($G$2:$G$52),4)))</f>
        <v/>
      </c>
      <c r="O45" s="300" t="str">
        <f t="array" aca="1" ref="O45" ca="1">IF(ROW()-ROW($I$2:$I$52)+1&gt;ROWS($H$2:$H$52)-COUNTBLANK($H$2:$H$52),"",INDIRECT(ADDRESS(SMALL((IF($H$2:$H$52&lt;&gt;"",ROW($H$2:$H$52),ROW()+ROWS($H$2:$H$52))),ROW()-ROW($I$2:$I$52)+1),COLUMN($H$2:$H$52),4)))</f>
        <v/>
      </c>
      <c r="P45" s="301" t="str">
        <f t="array" aca="1" ref="P45" ca="1">IF(ROW()-ROW($J$2:$J$52)+1&gt;ROWS($I$2:$I$52)-COUNTBLANK($I$2:$I$52),"",INDIRECT(ADDRESS(SMALL((IF($I$2:$I$52&lt;&gt;"",ROW($I$2:$I$52),ROW()+ROWS($I$2:$I$52))),ROW()-ROW($J$2:$J$52)+1),COLUMN($I$2:$I$52),4)))</f>
        <v/>
      </c>
    </row>
    <row r="46" spans="1:16">
      <c r="A46" s="256"/>
      <c r="B46" s="256"/>
      <c r="C46" s="256"/>
      <c r="D46" s="284" t="s">
        <v>76</v>
      </c>
      <c r="E46" s="267"/>
      <c r="F46" s="253"/>
      <c r="G46" s="253"/>
      <c r="H46" s="257"/>
      <c r="I46" s="291"/>
      <c r="J46" s="303"/>
      <c r="L46" s="299" t="str">
        <f t="array" aca="1" ref="L46" ca="1">IF(ROW()-ROW($F$2:$F$52)+1&gt;ROWS($E$2:$E$52)-COUNTBLANK($E$2:$E$52),"",INDIRECT(ADDRESS(SMALL((IF($E$2:$E$52&lt;&gt;"",ROW($E$2:$E$52),ROW()+ROWS($E$2:$E$52))),ROW()-ROW($F$2:$F$52)+1),COLUMN($E$2:$E$52),4)))</f>
        <v/>
      </c>
      <c r="M46" s="299" t="str">
        <f t="array" aca="1" ref="M46" ca="1">IF(ROW()-ROW($G$2:$G$52)+1&gt;ROWS($F$2:$F$52)-COUNTBLANK($F$2:$F$52),"",INDIRECT(ADDRESS(SMALL((IF($F$2:$F$52&lt;&gt;"",ROW($F$2:$F$52),ROW()+ROWS($F$2:$F$52))),ROW()-ROW($G$2:$G$52)+1),COLUMN($F$2:$F$52),4)))</f>
        <v/>
      </c>
      <c r="N46" s="299" t="str">
        <f t="array" aca="1" ref="N46" ca="1">IF(ROW()-ROW($H$2:$H$52)+1&gt;ROWS($G$2:$G$52)-COUNTBLANK($G$2:$G$52),"",INDIRECT(ADDRESS(SMALL((IF($G$2:$G$52&lt;&gt;"",ROW($G$2:$G$52),ROW()+ROWS($G$2:$G$52))),ROW()-ROW($H$2:$H$52)+1),COLUMN($G$2:$G$52),4)))</f>
        <v/>
      </c>
      <c r="O46" s="300" t="str">
        <f t="array" aca="1" ref="O46" ca="1">IF(ROW()-ROW($I$2:$I$52)+1&gt;ROWS($H$2:$H$52)-COUNTBLANK($H$2:$H$52),"",INDIRECT(ADDRESS(SMALL((IF($H$2:$H$52&lt;&gt;"",ROW($H$2:$H$52),ROW()+ROWS($H$2:$H$52))),ROW()-ROW($I$2:$I$52)+1),COLUMN($H$2:$H$52),4)))</f>
        <v/>
      </c>
      <c r="P46" s="301" t="str">
        <f t="array" aca="1" ref="P46" ca="1">IF(ROW()-ROW($J$2:$J$52)+1&gt;ROWS($I$2:$I$52)-COUNTBLANK($I$2:$I$52),"",INDIRECT(ADDRESS(SMALL((IF($I$2:$I$52&lt;&gt;"",ROW($I$2:$I$52),ROW()+ROWS($I$2:$I$52))),ROW()-ROW($J$2:$J$52)+1),COLUMN($I$2:$I$52),4)))</f>
        <v/>
      </c>
    </row>
    <row r="47" spans="1:16">
      <c r="A47" s="256"/>
      <c r="B47" s="256"/>
      <c r="C47" s="256"/>
      <c r="D47" s="874" t="s">
        <v>261</v>
      </c>
      <c r="E47" s="268"/>
      <c r="F47" s="251"/>
      <c r="G47" s="251"/>
      <c r="H47" s="38"/>
      <c r="I47" s="292"/>
      <c r="J47" s="304"/>
      <c r="L47" s="299" t="str">
        <f t="array" aca="1" ref="L47" ca="1">IF(ROW()-ROW($F$2:$F$52)+1&gt;ROWS($E$2:$E$52)-COUNTBLANK($E$2:$E$52),"",INDIRECT(ADDRESS(SMALL((IF($E$2:$E$52&lt;&gt;"",ROW($E$2:$E$52),ROW()+ROWS($E$2:$E$52))),ROW()-ROW($F$2:$F$52)+1),COLUMN($E$2:$E$52),4)))</f>
        <v/>
      </c>
      <c r="M47" s="299" t="str">
        <f t="array" aca="1" ref="M47" ca="1">IF(ROW()-ROW($G$2:$G$52)+1&gt;ROWS($F$2:$F$52)-COUNTBLANK($F$2:$F$52),"",INDIRECT(ADDRESS(SMALL((IF($F$2:$F$52&lt;&gt;"",ROW($F$2:$F$52),ROW()+ROWS($F$2:$F$52))),ROW()-ROW($G$2:$G$52)+1),COLUMN($F$2:$F$52),4)))</f>
        <v/>
      </c>
      <c r="N47" s="299" t="str">
        <f t="array" aca="1" ref="N47" ca="1">IF(ROW()-ROW($H$2:$H$52)+1&gt;ROWS($G$2:$G$52)-COUNTBLANK($G$2:$G$52),"",INDIRECT(ADDRESS(SMALL((IF($G$2:$G$52&lt;&gt;"",ROW($G$2:$G$52),ROW()+ROWS($G$2:$G$52))),ROW()-ROW($H$2:$H$52)+1),COLUMN($G$2:$G$52),4)))</f>
        <v/>
      </c>
      <c r="O47" s="300" t="str">
        <f t="array" aca="1" ref="O47" ca="1">IF(ROW()-ROW($I$2:$I$52)+1&gt;ROWS($H$2:$H$52)-COUNTBLANK($H$2:$H$52),"",INDIRECT(ADDRESS(SMALL((IF($H$2:$H$52&lt;&gt;"",ROW($H$2:$H$52),ROW()+ROWS($H$2:$H$52))),ROW()-ROW($I$2:$I$52)+1),COLUMN($H$2:$H$52),4)))</f>
        <v/>
      </c>
      <c r="P47" s="301" t="str">
        <f t="array" aca="1" ref="P47" ca="1">IF(ROW()-ROW($J$2:$J$52)+1&gt;ROWS($I$2:$I$52)-COUNTBLANK($I$2:$I$52),"",INDIRECT(ADDRESS(SMALL((IF($I$2:$I$52&lt;&gt;"",ROW($I$2:$I$52),ROW()+ROWS($I$2:$I$52))),ROW()-ROW($J$2:$J$52)+1),COLUMN($I$2:$I$52),4)))</f>
        <v/>
      </c>
    </row>
    <row r="48" spans="1:16">
      <c r="A48" s="256"/>
      <c r="B48" s="256"/>
      <c r="C48" s="256"/>
      <c r="D48" s="875"/>
      <c r="E48" s="268" t="str">
        <f>IF(H48="","","2015")</f>
        <v/>
      </c>
      <c r="F48" s="251" t="str">
        <f>IF(H48="","","i")</f>
        <v/>
      </c>
      <c r="G48" s="251" t="str">
        <f>IF(H48="","","6")</f>
        <v/>
      </c>
      <c r="H48" s="38" t="str">
        <f>IF(A4="relevant",IF(Matrix!V21="","",IF(AND(ROUND(Matrix!V21,4)&gt;Berechnung2!$G$35,ROUND(Matrix!V21,4)&lt;Berechnung2!$K$35),Berechnung2!$M$35,"")),"")</f>
        <v/>
      </c>
      <c r="I48" s="292" t="str">
        <f t="array" ref="I48">IF(H48="","",VLOOKUP(F48,Berechnung2!$I$15:$J$23,2,FALSE))</f>
        <v/>
      </c>
      <c r="J48" s="304" t="str">
        <f t="shared" si="2"/>
        <v/>
      </c>
      <c r="L48" s="299" t="str">
        <f t="array" aca="1" ref="L48" ca="1">IF(ROW()-ROW($F$2:$F$52)+1&gt;ROWS($E$2:$E$52)-COUNTBLANK($E$2:$E$52),"",INDIRECT(ADDRESS(SMALL((IF($E$2:$E$52&lt;&gt;"",ROW($E$2:$E$52),ROW()+ROWS($E$2:$E$52))),ROW()-ROW($F$2:$F$52)+1),COLUMN($E$2:$E$52),4)))</f>
        <v/>
      </c>
      <c r="M48" s="299" t="str">
        <f t="array" aca="1" ref="M48" ca="1">IF(ROW()-ROW($G$2:$G$52)+1&gt;ROWS($F$2:$F$52)-COUNTBLANK($F$2:$F$52),"",INDIRECT(ADDRESS(SMALL((IF($F$2:$F$52&lt;&gt;"",ROW($F$2:$F$52),ROW()+ROWS($F$2:$F$52))),ROW()-ROW($G$2:$G$52)+1),COLUMN($F$2:$F$52),4)))</f>
        <v/>
      </c>
      <c r="N48" s="299" t="str">
        <f t="array" aca="1" ref="N48" ca="1">IF(ROW()-ROW($H$2:$H$52)+1&gt;ROWS($G$2:$G$52)-COUNTBLANK($G$2:$G$52),"",INDIRECT(ADDRESS(SMALL((IF($G$2:$G$52&lt;&gt;"",ROW($G$2:$G$52),ROW()+ROWS($G$2:$G$52))),ROW()-ROW($H$2:$H$52)+1),COLUMN($G$2:$G$52),4)))</f>
        <v/>
      </c>
      <c r="O48" s="300" t="str">
        <f t="array" aca="1" ref="O48" ca="1">IF(ROW()-ROW($I$2:$I$52)+1&gt;ROWS($H$2:$H$52)-COUNTBLANK($H$2:$H$52),"",INDIRECT(ADDRESS(SMALL((IF($H$2:$H$52&lt;&gt;"",ROW($H$2:$H$52),ROW()+ROWS($H$2:$H$52))),ROW()-ROW($I$2:$I$52)+1),COLUMN($H$2:$H$52),4)))</f>
        <v/>
      </c>
      <c r="P48" s="301" t="str">
        <f t="array" aca="1" ref="P48" ca="1">IF(ROW()-ROW($J$2:$J$52)+1&gt;ROWS($I$2:$I$52)-COUNTBLANK($I$2:$I$52),"",INDIRECT(ADDRESS(SMALL((IF($I$2:$I$52&lt;&gt;"",ROW($I$2:$I$52),ROW()+ROWS($I$2:$I$52))),ROW()-ROW($J$2:$J$52)+1),COLUMN($I$2:$I$52),4)))</f>
        <v/>
      </c>
    </row>
    <row r="49" spans="1:16">
      <c r="A49" s="256"/>
      <c r="B49" s="256"/>
      <c r="C49" s="256"/>
      <c r="D49" s="875"/>
      <c r="E49" s="268" t="str">
        <f>IF(H49="","","2016")</f>
        <v/>
      </c>
      <c r="F49" s="251" t="str">
        <f>IF(H49="","","i")</f>
        <v/>
      </c>
      <c r="G49" s="251" t="str">
        <f>IF(H49="","","6")</f>
        <v/>
      </c>
      <c r="H49" s="38" t="str">
        <f>IF(A5="relevant",IF(Matrix!V22="","",IF(AND(ROUND(Matrix!V22,4)&gt;Berechnung2!$G$35,ROUND(Matrix!V22,4)&lt;Berechnung2!$K$35),Berechnung2!$M$35,"")),"")</f>
        <v/>
      </c>
      <c r="I49" s="292" t="str">
        <f t="array" ref="I49">IF(H49="","",VLOOKUP(F49,Berechnung2!$I$15:$J$23,2,FALSE))</f>
        <v/>
      </c>
      <c r="J49" s="304" t="str">
        <f t="shared" si="2"/>
        <v/>
      </c>
      <c r="L49" s="299" t="str">
        <f t="array" aca="1" ref="L49" ca="1">IF(ROW()-ROW($F$2:$F$52)+1&gt;ROWS($E$2:$E$52)-COUNTBLANK($E$2:$E$52),"",INDIRECT(ADDRESS(SMALL((IF($E$2:$E$52&lt;&gt;"",ROW($E$2:$E$52),ROW()+ROWS($E$2:$E$52))),ROW()-ROW($F$2:$F$52)+1),COLUMN($E$2:$E$52),4)))</f>
        <v/>
      </c>
      <c r="M49" s="299" t="str">
        <f t="array" aca="1" ref="M49" ca="1">IF(ROW()-ROW($G$2:$G$52)+1&gt;ROWS($F$2:$F$52)-COUNTBLANK($F$2:$F$52),"",INDIRECT(ADDRESS(SMALL((IF($F$2:$F$52&lt;&gt;"",ROW($F$2:$F$52),ROW()+ROWS($F$2:$F$52))),ROW()-ROW($G$2:$G$52)+1),COLUMN($F$2:$F$52),4)))</f>
        <v/>
      </c>
      <c r="N49" s="299" t="str">
        <f t="array" aca="1" ref="N49" ca="1">IF(ROW()-ROW($H$2:$H$52)+1&gt;ROWS($G$2:$G$52)-COUNTBLANK($G$2:$G$52),"",INDIRECT(ADDRESS(SMALL((IF($G$2:$G$52&lt;&gt;"",ROW($G$2:$G$52),ROW()+ROWS($G$2:$G$52))),ROW()-ROW($H$2:$H$52)+1),COLUMN($G$2:$G$52),4)))</f>
        <v/>
      </c>
      <c r="O49" s="300" t="str">
        <f t="array" aca="1" ref="O49" ca="1">IF(ROW()-ROW($I$2:$I$52)+1&gt;ROWS($H$2:$H$52)-COUNTBLANK($H$2:$H$52),"",INDIRECT(ADDRESS(SMALL((IF($H$2:$H$52&lt;&gt;"",ROW($H$2:$H$52),ROW()+ROWS($H$2:$H$52))),ROW()-ROW($I$2:$I$52)+1),COLUMN($H$2:$H$52),4)))</f>
        <v/>
      </c>
      <c r="P49" s="301" t="str">
        <f t="array" aca="1" ref="P49" ca="1">IF(ROW()-ROW($J$2:$J$52)+1&gt;ROWS($I$2:$I$52)-COUNTBLANK($I$2:$I$52),"",INDIRECT(ADDRESS(SMALL((IF($I$2:$I$52&lt;&gt;"",ROW($I$2:$I$52),ROW()+ROWS($I$2:$I$52))),ROW()-ROW($J$2:$J$52)+1),COLUMN($I$2:$I$52),4)))</f>
        <v/>
      </c>
    </row>
    <row r="50" spans="1:16">
      <c r="A50" s="256"/>
      <c r="B50" s="256"/>
      <c r="C50" s="256"/>
      <c r="D50" s="875"/>
      <c r="E50" s="268" t="str">
        <f>IF(H50="","","2017")</f>
        <v/>
      </c>
      <c r="F50" s="251" t="str">
        <f>IF(H50="","","i")</f>
        <v/>
      </c>
      <c r="G50" s="251" t="str">
        <f>IF(H50="","","6")</f>
        <v/>
      </c>
      <c r="H50" s="38" t="str">
        <f>IF(A6="relevant",IF(Matrix!V23="","",IF(AND(ROUND(Matrix!V23,4)&gt;Berechnung2!$G$35,ROUND(Matrix!V23,4)&lt;Berechnung2!$K$35),Berechnung2!$M$35,"")),"")</f>
        <v/>
      </c>
      <c r="I50" s="292" t="str">
        <f t="array" ref="I50">IF(H50="","",VLOOKUP(F50,Berechnung2!$I$15:$J$23,2,FALSE))</f>
        <v/>
      </c>
      <c r="J50" s="304" t="str">
        <f t="shared" si="2"/>
        <v/>
      </c>
      <c r="L50" s="299" t="str">
        <f t="array" aca="1" ref="L50" ca="1">IF(ROW()-ROW($F$2:$F$52)+1&gt;ROWS($E$2:$E$52)-COUNTBLANK($E$2:$E$52),"",INDIRECT(ADDRESS(SMALL((IF($E$2:$E$52&lt;&gt;"",ROW($E$2:$E$52),ROW()+ROWS($E$2:$E$52))),ROW()-ROW($F$2:$F$52)+1),COLUMN($E$2:$E$52),4)))</f>
        <v/>
      </c>
      <c r="M50" s="299" t="str">
        <f t="array" aca="1" ref="M50" ca="1">IF(ROW()-ROW($G$2:$G$52)+1&gt;ROWS($F$2:$F$52)-COUNTBLANK($F$2:$F$52),"",INDIRECT(ADDRESS(SMALL((IF($F$2:$F$52&lt;&gt;"",ROW($F$2:$F$52),ROW()+ROWS($F$2:$F$52))),ROW()-ROW($G$2:$G$52)+1),COLUMN($F$2:$F$52),4)))</f>
        <v/>
      </c>
      <c r="N50" s="299" t="str">
        <f t="array" aca="1" ref="N50" ca="1">IF(ROW()-ROW($H$2:$H$52)+1&gt;ROWS($G$2:$G$52)-COUNTBLANK($G$2:$G$52),"",INDIRECT(ADDRESS(SMALL((IF($G$2:$G$52&lt;&gt;"",ROW($G$2:$G$52),ROW()+ROWS($G$2:$G$52))),ROW()-ROW($H$2:$H$52)+1),COLUMN($G$2:$G$52),4)))</f>
        <v/>
      </c>
      <c r="O50" s="300" t="str">
        <f t="array" aca="1" ref="O50" ca="1">IF(ROW()-ROW($I$2:$I$52)+1&gt;ROWS($H$2:$H$52)-COUNTBLANK($H$2:$H$52),"",INDIRECT(ADDRESS(SMALL((IF($H$2:$H$52&lt;&gt;"",ROW($H$2:$H$52),ROW()+ROWS($H$2:$H$52))),ROW()-ROW($I$2:$I$52)+1),COLUMN($H$2:$H$52),4)))</f>
        <v/>
      </c>
      <c r="P50" s="301" t="str">
        <f t="array" aca="1" ref="P50" ca="1">IF(ROW()-ROW($J$2:$J$52)+1&gt;ROWS($I$2:$I$52)-COUNTBLANK($I$2:$I$52),"",INDIRECT(ADDRESS(SMALL((IF($I$2:$I$52&lt;&gt;"",ROW($I$2:$I$52),ROW()+ROWS($I$2:$I$52))),ROW()-ROW($J$2:$J$52)+1),COLUMN($I$2:$I$52),4)))</f>
        <v/>
      </c>
    </row>
    <row r="51" spans="1:16">
      <c r="A51" s="256"/>
      <c r="B51" s="256"/>
      <c r="C51" s="256"/>
      <c r="D51" s="478"/>
      <c r="E51" s="268" t="str">
        <f>IF(H51="","","2018")</f>
        <v/>
      </c>
      <c r="F51" s="251" t="str">
        <f t="shared" ref="F51:F52" si="18">IF(H51="","","i")</f>
        <v/>
      </c>
      <c r="G51" s="251" t="str">
        <f t="shared" ref="G51:G52" si="19">IF(H51="","","6")</f>
        <v/>
      </c>
      <c r="H51" s="38" t="str">
        <f>IF(A7="relevant",IF(Matrix!V24="","",IF(AND(ROUND(Matrix!V24,4)&gt;Berechnung2!$G$35,ROUND(Matrix!V24,4)&lt;Berechnung2!$K$35),Berechnung2!$M$35,"")),"")</f>
        <v/>
      </c>
      <c r="I51" s="292" t="str">
        <f t="array" ref="I51">IF(H51="","",VLOOKUP(F51,Berechnung2!$I$15:$J$23,2,FALSE))</f>
        <v/>
      </c>
      <c r="J51" s="304" t="str">
        <f t="shared" ref="J51:J52" si="20">IF(H51&lt;&gt;"",1,"")</f>
        <v/>
      </c>
      <c r="L51" s="299" t="str">
        <f t="array" aca="1" ref="L51" ca="1">IF(ROW()-ROW($F$2:$F$52)+1&gt;ROWS($E$2:$E$52)-COUNTBLANK($E$2:$E$52),"",INDIRECT(ADDRESS(SMALL((IF($E$2:$E$52&lt;&gt;"",ROW($E$2:$E$52),ROW()+ROWS($E$2:$E$52))),ROW()-ROW($F$2:$F$52)+1),COLUMN($E$2:$E$52),4)))</f>
        <v/>
      </c>
      <c r="M51" s="299" t="str">
        <f t="array" aca="1" ref="M51" ca="1">IF(ROW()-ROW($G$2:$G$52)+1&gt;ROWS($F$2:$F$52)-COUNTBLANK($F$2:$F$52),"",INDIRECT(ADDRESS(SMALL((IF($F$2:$F$52&lt;&gt;"",ROW($F$2:$F$52),ROW()+ROWS($F$2:$F$52))),ROW()-ROW($G$2:$G$52)+1),COLUMN($F$2:$F$52),4)))</f>
        <v/>
      </c>
      <c r="N51" s="299" t="str">
        <f t="array" aca="1" ref="N51" ca="1">IF(ROW()-ROW($H$2:$H$52)+1&gt;ROWS($G$2:$G$52)-COUNTBLANK($G$2:$G$52),"",INDIRECT(ADDRESS(SMALL((IF($G$2:$G$52&lt;&gt;"",ROW($G$2:$G$52),ROW()+ROWS($G$2:$G$52))),ROW()-ROW($H$2:$H$52)+1),COLUMN($G$2:$G$52),4)))</f>
        <v/>
      </c>
      <c r="O51" s="300" t="str">
        <f t="array" aca="1" ref="O51" ca="1">IF(ROW()-ROW($I$2:$I$52)+1&gt;ROWS($H$2:$H$52)-COUNTBLANK($H$2:$H$52),"",INDIRECT(ADDRESS(SMALL((IF($H$2:$H$52&lt;&gt;"",ROW($H$2:$H$52),ROW()+ROWS($H$2:$H$52))),ROW()-ROW($I$2:$I$52)+1),COLUMN($H$2:$H$52),4)))</f>
        <v/>
      </c>
      <c r="P51" s="301" t="str">
        <f t="array" aca="1" ref="P51" ca="1">IF(ROW()-ROW($J$2:$J$52)+1&gt;ROWS($I$2:$I$52)-COUNTBLANK($I$2:$I$52),"",INDIRECT(ADDRESS(SMALL((IF($I$2:$I$52&lt;&gt;"",ROW($I$2:$I$52),ROW()+ROWS($I$2:$I$52))),ROW()-ROW($J$2:$J$52)+1),COLUMN($I$2:$I$52),4)))</f>
        <v/>
      </c>
    </row>
    <row r="52" spans="1:16" ht="14.65" thickBot="1">
      <c r="A52" s="256"/>
      <c r="B52" s="256"/>
      <c r="C52" s="256"/>
      <c r="D52" s="285" t="s">
        <v>303</v>
      </c>
      <c r="E52" s="268" t="str">
        <f>IF(H52="","","2019")</f>
        <v/>
      </c>
      <c r="F52" s="251" t="str">
        <f t="shared" si="18"/>
        <v/>
      </c>
      <c r="G52" s="251" t="str">
        <f t="shared" si="19"/>
        <v/>
      </c>
      <c r="H52" s="38" t="str">
        <f>IF(A8="relevant",IF(Matrix!V25="","",IF(AND(ROUND(Matrix!V25,4)&gt;Berechnung2!$G$35,ROUND(Matrix!V25,4)&lt;Berechnung2!$K$35),Berechnung2!$M$35,"")),"")</f>
        <v/>
      </c>
      <c r="I52" s="292" t="str">
        <f t="array" ref="I52">IF(H52="","",VLOOKUP(F52,Berechnung2!$I$15:$J$23,2,FALSE))</f>
        <v/>
      </c>
      <c r="J52" s="304" t="str">
        <f t="shared" si="20"/>
        <v/>
      </c>
      <c r="L52" s="299" t="str">
        <f t="array" aca="1" ref="L52" ca="1">IF(ROW()-ROW($F$2:$F$52)+1&gt;ROWS($E$2:$E$52)-COUNTBLANK($E$2:$E$52),"",INDIRECT(ADDRESS(SMALL((IF($E$2:$E$52&lt;&gt;"",ROW($E$2:$E$52),ROW()+ROWS($E$2:$E$52))),ROW()-ROW($F$2:$F$52)+1),COLUMN($E$2:$E$52),4)))</f>
        <v/>
      </c>
      <c r="M52" s="299" t="str">
        <f t="array" aca="1" ref="M52" ca="1">IF(ROW()-ROW($G$2:$G$52)+1&gt;ROWS($F$2:$F$52)-COUNTBLANK($F$2:$F$52),"",INDIRECT(ADDRESS(SMALL((IF($F$2:$F$52&lt;&gt;"",ROW($F$2:$F$52),ROW()+ROWS($F$2:$F$52))),ROW()-ROW($G$2:$G$52)+1),COLUMN($F$2:$F$52),4)))</f>
        <v/>
      </c>
      <c r="N52" s="299" t="str">
        <f t="array" aca="1" ref="N52" ca="1">IF(ROW()-ROW($H$2:$H$52)+1&gt;ROWS($G$2:$G$52)-COUNTBLANK($G$2:$G$52),"",INDIRECT(ADDRESS(SMALL((IF($G$2:$G$52&lt;&gt;"",ROW($G$2:$G$52),ROW()+ROWS($G$2:$G$52))),ROW()-ROW($H$2:$H$52)+1),COLUMN($G$2:$G$52),4)))</f>
        <v/>
      </c>
      <c r="O52" s="300" t="str">
        <f t="array" aca="1" ref="O52" ca="1">IF(ROW()-ROW($I$2:$I$52)+1&gt;ROWS($H$2:$H$52)-COUNTBLANK($H$2:$H$52),"",INDIRECT(ADDRESS(SMALL((IF($H$2:$H$52&lt;&gt;"",ROW($H$2:$H$52),ROW()+ROWS($H$2:$H$52))),ROW()-ROW($I$2:$I$52)+1),COLUMN($H$2:$H$52),4)))</f>
        <v/>
      </c>
      <c r="P52" s="301" t="str">
        <f t="array" aca="1" ref="P52" ca="1">IF(ROW()-ROW($J$2:$J$52)+1&gt;ROWS($I$2:$I$52)-COUNTBLANK($I$2:$I$52),"",INDIRECT(ADDRESS(SMALL((IF($I$2:$I$52&lt;&gt;"",ROW($I$2:$I$52),ROW()+ROWS($I$2:$I$52))),ROW()-ROW($J$2:$J$52)+1),COLUMN($I$2:$I$52),4)))</f>
        <v/>
      </c>
    </row>
    <row r="53" spans="1:16">
      <c r="I53" s="85"/>
    </row>
    <row r="54" spans="1:16">
      <c r="D54" s="145"/>
      <c r="E54" s="69"/>
      <c r="I54" s="85"/>
    </row>
    <row r="55" spans="1:16">
      <c r="D55" s="273"/>
      <c r="E55" s="27"/>
      <c r="I55" s="315" t="s">
        <v>87</v>
      </c>
      <c r="J55" s="316">
        <f>IF(SUM(J2:J7)=0,0,SUM(J2:J7))</f>
        <v>0</v>
      </c>
    </row>
    <row r="56" spans="1:16">
      <c r="D56" s="1"/>
      <c r="E56" s="1"/>
      <c r="I56" s="317" t="s">
        <v>86</v>
      </c>
      <c r="J56" s="318">
        <f>IF(SUM(J16:J43)=0,0,SUM(J16:J43))</f>
        <v>0</v>
      </c>
    </row>
    <row r="57" spans="1:16">
      <c r="D57" s="145"/>
      <c r="E57" s="145"/>
      <c r="I57" s="319" t="s">
        <v>76</v>
      </c>
      <c r="J57" s="320">
        <f>IF(SUM(J45:J52,J9:J15)=0,0,SUM(J45:J52,J9:J15))</f>
        <v>0</v>
      </c>
    </row>
    <row r="58" spans="1:16">
      <c r="D58" s="69"/>
      <c r="E58" s="27"/>
      <c r="I58" s="321" t="s">
        <v>11</v>
      </c>
      <c r="J58" s="322">
        <f>IF(J44="",0,J44)</f>
        <v>0</v>
      </c>
    </row>
    <row r="59" spans="1:16">
      <c r="J59" s="85"/>
    </row>
    <row r="60" spans="1:16">
      <c r="A60" s="296"/>
      <c r="B60" s="145"/>
      <c r="C60" s="145"/>
      <c r="J60" s="85"/>
    </row>
    <row r="61" spans="1:16">
      <c r="B61" s="273"/>
      <c r="C61" s="273"/>
      <c r="J61" s="85"/>
    </row>
    <row r="62" spans="1:16">
      <c r="A62" s="1"/>
      <c r="B62" s="1"/>
      <c r="C62" s="1"/>
      <c r="J62" s="270"/>
    </row>
    <row r="63" spans="1:16">
      <c r="A63" s="296"/>
      <c r="B63" s="145"/>
      <c r="C63" s="145"/>
      <c r="J63" s="270"/>
    </row>
    <row r="64" spans="1:16">
      <c r="B64" s="69"/>
      <c r="C64" s="69"/>
      <c r="J64" s="270"/>
    </row>
    <row r="66" spans="4:16">
      <c r="D66" s="266"/>
      <c r="G66" s="259"/>
      <c r="I66" s="264"/>
    </row>
    <row r="67" spans="4:16">
      <c r="D67" s="266"/>
      <c r="G67" s="259"/>
      <c r="I67" s="264"/>
    </row>
    <row r="68" spans="4:16">
      <c r="D68" s="266"/>
      <c r="G68" s="259"/>
      <c r="I68" s="264"/>
    </row>
    <row r="69" spans="4:16">
      <c r="D69" s="266"/>
      <c r="G69" s="259"/>
      <c r="I69" s="264"/>
    </row>
    <row r="70" spans="4:16">
      <c r="D70" s="266"/>
      <c r="G70" s="259"/>
      <c r="I70" s="264"/>
    </row>
    <row r="71" spans="4:16">
      <c r="D71" s="266"/>
      <c r="G71" s="259"/>
      <c r="I71" s="264"/>
    </row>
    <row r="72" spans="4:16">
      <c r="D72" s="266"/>
      <c r="G72" s="259"/>
      <c r="I72" s="264"/>
      <c r="J72" s="264"/>
      <c r="K72" s="264"/>
      <c r="M72" s="174"/>
      <c r="N72" s="174"/>
      <c r="O72" s="302"/>
      <c r="P72" s="302"/>
    </row>
    <row r="73" spans="4:16">
      <c r="D73" s="266"/>
      <c r="G73" s="259"/>
      <c r="I73" s="264"/>
      <c r="J73" s="264"/>
      <c r="K73" s="264"/>
      <c r="M73" s="174"/>
      <c r="N73" s="174"/>
      <c r="O73" s="302"/>
      <c r="P73" s="302"/>
    </row>
    <row r="74" spans="4:16">
      <c r="D74" s="266"/>
      <c r="G74" s="259"/>
      <c r="I74" s="264"/>
      <c r="J74" s="264"/>
      <c r="K74" s="264"/>
      <c r="M74" s="174"/>
      <c r="N74" s="174"/>
      <c r="O74" s="302"/>
      <c r="P74" s="302"/>
    </row>
    <row r="75" spans="4:16">
      <c r="J75" s="264"/>
      <c r="K75" s="264"/>
      <c r="M75" s="174"/>
      <c r="N75" s="174"/>
      <c r="O75" s="302"/>
      <c r="P75" s="302"/>
    </row>
    <row r="76" spans="4:16">
      <c r="J76" s="264"/>
      <c r="K76" s="264"/>
      <c r="M76" s="174"/>
      <c r="N76" s="174"/>
      <c r="O76" s="302"/>
      <c r="P76" s="302"/>
    </row>
    <row r="77" spans="4:16">
      <c r="J77" s="264"/>
      <c r="K77" s="264"/>
      <c r="M77" s="174"/>
      <c r="N77" s="174"/>
      <c r="O77" s="302"/>
      <c r="P77" s="302"/>
    </row>
    <row r="78" spans="4:16">
      <c r="J78" s="264"/>
      <c r="K78" s="264"/>
      <c r="M78" s="174"/>
      <c r="N78" s="174"/>
      <c r="O78" s="302"/>
      <c r="P78" s="302"/>
    </row>
    <row r="79" spans="4:16">
      <c r="J79" s="264"/>
      <c r="K79" s="264"/>
      <c r="M79" s="174"/>
      <c r="N79" s="174"/>
      <c r="O79" s="302"/>
      <c r="P79" s="302"/>
    </row>
    <row r="80" spans="4:16">
      <c r="J80" s="264"/>
      <c r="K80" s="264"/>
      <c r="M80" s="174"/>
      <c r="N80" s="174"/>
      <c r="O80" s="302"/>
      <c r="P80" s="302"/>
    </row>
  </sheetData>
  <mergeCells count="7">
    <mergeCell ref="D47:D50"/>
    <mergeCell ref="D3:D6"/>
    <mergeCell ref="D10:D13"/>
    <mergeCell ref="D17:D20"/>
    <mergeCell ref="D24:D27"/>
    <mergeCell ref="D31:D34"/>
    <mergeCell ref="D38:D41"/>
  </mergeCells>
  <phoneticPr fontId="41" type="noConversion"/>
  <conditionalFormatting sqref="A60:B60 B61 B64">
    <cfRule type="expression" dxfId="54" priority="21">
      <formula>$B60="EZ"</formula>
    </cfRule>
    <cfRule type="expression" dxfId="53" priority="22">
      <formula>$B60="nicht relevant"</formula>
    </cfRule>
  </conditionalFormatting>
  <conditionalFormatting sqref="A63:B63 D57:E57">
    <cfRule type="expression" dxfId="52" priority="19">
      <formula>#REF!="EZ"</formula>
    </cfRule>
    <cfRule type="expression" dxfId="51" priority="20">
      <formula>#REF!="nicht relevant"</formula>
    </cfRule>
  </conditionalFormatting>
  <conditionalFormatting sqref="E44:E45">
    <cfRule type="expression" dxfId="50" priority="3238">
      <formula>$B61="EZ"</formula>
    </cfRule>
    <cfRule type="expression" dxfId="49" priority="3239">
      <formula>$B61="nicht relevant"</formula>
    </cfRule>
  </conditionalFormatting>
  <conditionalFormatting sqref="B2:B8 E30:E36 E2:J8">
    <cfRule type="expression" dxfId="48" priority="11">
      <formula>$A2="EZ"</formula>
    </cfRule>
    <cfRule type="expression" dxfId="47" priority="12">
      <formula>$A2="nicht relevant"</formula>
    </cfRule>
  </conditionalFormatting>
  <conditionalFormatting sqref="E37:E43">
    <cfRule type="expression" dxfId="46" priority="9">
      <formula>$A37="EZ"</formula>
    </cfRule>
    <cfRule type="expression" dxfId="45" priority="10">
      <formula>$A37="nicht relevant"</formula>
    </cfRule>
  </conditionalFormatting>
  <conditionalFormatting sqref="E46:E52">
    <cfRule type="expression" dxfId="44" priority="7">
      <formula>$A44="EZ"</formula>
    </cfRule>
    <cfRule type="expression" dxfId="43" priority="8">
      <formula>$A44="nicht relevant"</formula>
    </cfRule>
  </conditionalFormatting>
  <conditionalFormatting sqref="E23:E29">
    <cfRule type="expression" dxfId="42" priority="1">
      <formula>$A23="EZ"</formula>
    </cfRule>
    <cfRule type="expression" dxfId="41" priority="2">
      <formula>$A23="nicht relevant"</formula>
    </cfRule>
  </conditionalFormatting>
  <conditionalFormatting sqref="D54:D55 D58">
    <cfRule type="expression" dxfId="40" priority="3246">
      <formula>$B60="EZ"</formula>
    </cfRule>
    <cfRule type="expression" dxfId="39" priority="3247">
      <formula>$B60="nicht relevant"</formula>
    </cfRule>
  </conditionalFormatting>
  <conditionalFormatting sqref="E9:J15">
    <cfRule type="expression" dxfId="38" priority="3296">
      <formula>$A2="EZ"</formula>
    </cfRule>
    <cfRule type="expression" dxfId="37" priority="3297">
      <formula>$A2="nicht relevant"</formula>
    </cfRule>
  </conditionalFormatting>
  <conditionalFormatting sqref="E16:J22">
    <cfRule type="expression" dxfId="36" priority="3298">
      <formula>$A2="EZ"</formula>
    </cfRule>
    <cfRule type="expression" dxfId="35" priority="3299">
      <formula>$A2="nicht relevant"</formula>
    </cfRule>
  </conditionalFormatting>
  <conditionalFormatting sqref="E23:J29">
    <cfRule type="expression" dxfId="34" priority="3300">
      <formula>$A2="EZ"</formula>
    </cfRule>
    <cfRule type="expression" dxfId="33" priority="3301">
      <formula>$A2="nicht relevant"</formula>
    </cfRule>
  </conditionalFormatting>
  <conditionalFormatting sqref="E30:J36">
    <cfRule type="expression" dxfId="32" priority="3302">
      <formula>$A2="EZ"</formula>
    </cfRule>
    <cfRule type="expression" dxfId="31" priority="3303">
      <formula>$A2="nicht relevant"</formula>
    </cfRule>
  </conditionalFormatting>
  <conditionalFormatting sqref="E37:J43">
    <cfRule type="expression" dxfId="30" priority="3304">
      <formula>$A2="EZ"</formula>
    </cfRule>
    <cfRule type="expression" dxfId="29" priority="3305">
      <formula>$A2="nicht relevant"</formula>
    </cfRule>
  </conditionalFormatting>
  <conditionalFormatting sqref="E46:J52">
    <cfRule type="expression" dxfId="28" priority="3306">
      <formula>$A2="EZ"</formula>
    </cfRule>
    <cfRule type="expression" dxfId="27" priority="3307">
      <formula>$A2="nicht relevant"</formula>
    </cfRule>
  </conditionalFormatting>
  <pageMargins left="0.7" right="0.7" top="0.78740157499999996" bottom="0.78740157499999996" header="0.3" footer="0.3"/>
  <pageSetup orientation="portrait" r:id="rId1"/>
  <ignoredErrors>
    <ignoredError sqref="P2" evalError="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dimension ref="B1:O25"/>
  <sheetViews>
    <sheetView showGridLines="0" zoomScaleNormal="100" zoomScaleSheetLayoutView="80" workbookViewId="0">
      <selection activeCell="D17" sqref="D17:G17"/>
    </sheetView>
  </sheetViews>
  <sheetFormatPr baseColWidth="10" defaultColWidth="9" defaultRowHeight="13.5"/>
  <cols>
    <col min="1" max="1" width="1.73046875" style="1" customWidth="1"/>
    <col min="2" max="2" width="14.1328125" style="1" customWidth="1"/>
    <col min="3" max="3" width="33.265625" style="1" customWidth="1"/>
    <col min="4" max="5" width="23.86328125" style="1" customWidth="1"/>
    <col min="6" max="6" width="22.1328125" style="1" customWidth="1"/>
    <col min="7" max="7" width="22.265625" style="1" customWidth="1"/>
    <col min="8" max="183" width="11.3984375" style="1" customWidth="1"/>
    <col min="184" max="16384" width="9" style="1"/>
  </cols>
  <sheetData>
    <row r="1" spans="2:15" ht="9.9499999999999993" customHeight="1">
      <c r="C1" s="25"/>
      <c r="F1" s="16"/>
    </row>
    <row r="2" spans="2:15" ht="12.95" customHeight="1">
      <c r="B2" s="22" t="s">
        <v>416</v>
      </c>
      <c r="F2" s="16"/>
    </row>
    <row r="3" spans="2:15" ht="16.899999999999999">
      <c r="B3" s="34" t="s">
        <v>250</v>
      </c>
      <c r="F3" s="16"/>
      <c r="G3" s="17"/>
    </row>
    <row r="4" spans="2:15" ht="13.9">
      <c r="B4" s="20"/>
      <c r="K4" s="20"/>
    </row>
    <row r="5" spans="2:15" ht="15" customHeight="1">
      <c r="E5" s="8"/>
      <c r="F5" s="8"/>
      <c r="G5" s="8"/>
      <c r="H5" s="8"/>
      <c r="I5" s="8"/>
      <c r="J5" s="8"/>
      <c r="K5" s="20"/>
    </row>
    <row r="6" spans="2:15" s="22" customFormat="1" ht="15" customHeight="1">
      <c r="B6" s="24" t="s">
        <v>119</v>
      </c>
      <c r="C6" s="785" t="str">
        <f>IF('Basic Data'!C8=0,"",'Basic Data'!C8)</f>
        <v/>
      </c>
      <c r="D6" s="786"/>
      <c r="E6" s="786"/>
      <c r="F6" s="786"/>
      <c r="G6" s="787"/>
      <c r="I6" s="20"/>
      <c r="J6" s="20"/>
      <c r="K6" s="18"/>
      <c r="L6" s="20"/>
      <c r="M6" s="20"/>
    </row>
    <row r="7" spans="2:15" s="22" customFormat="1" ht="6.95" customHeight="1">
      <c r="B7" s="4"/>
      <c r="C7" s="4"/>
      <c r="D7" s="8"/>
      <c r="E7" s="8"/>
      <c r="F7" s="8"/>
      <c r="G7" s="8"/>
      <c r="H7" s="8"/>
      <c r="I7" s="8"/>
      <c r="K7" s="20"/>
      <c r="L7" s="20"/>
      <c r="M7" s="18"/>
      <c r="N7" s="20"/>
      <c r="O7" s="20"/>
    </row>
    <row r="8" spans="2:15" s="22" customFormat="1" ht="15" customHeight="1">
      <c r="B8" s="24" t="s">
        <v>77</v>
      </c>
      <c r="C8" s="127" t="str">
        <f>IF('Basic Data'!C6=0,"",'Basic Data'!C6)</f>
        <v>Not listed</v>
      </c>
      <c r="D8" s="129"/>
      <c r="E8" s="130"/>
      <c r="F8" s="2" t="s">
        <v>262</v>
      </c>
      <c r="G8" s="128" t="str">
        <f>IF('Basic Data'!O12=0,"",'Basic Data'!O12)</f>
        <v/>
      </c>
      <c r="I8" s="20"/>
      <c r="J8" s="20"/>
      <c r="K8" s="18"/>
      <c r="L8" s="20"/>
      <c r="M8" s="20"/>
    </row>
    <row r="9" spans="2:15" s="22" customFormat="1" ht="9.75" customHeight="1">
      <c r="C9" s="23"/>
      <c r="D9" s="1"/>
      <c r="F9" s="1"/>
      <c r="J9" s="11"/>
      <c r="K9" s="28"/>
      <c r="L9" s="28"/>
      <c r="M9" s="28"/>
      <c r="N9" s="28"/>
      <c r="O9" s="28"/>
    </row>
    <row r="10" spans="2:15" ht="6.75" customHeight="1">
      <c r="J10" s="12"/>
      <c r="K10" s="19"/>
      <c r="L10" s="19"/>
      <c r="M10" s="19"/>
      <c r="N10" s="19"/>
      <c r="O10" s="19"/>
    </row>
    <row r="11" spans="2:15" ht="16.5" customHeight="1">
      <c r="B11" s="131" t="s">
        <v>92</v>
      </c>
    </row>
    <row r="12" spans="2:15" ht="13.5" customHeight="1">
      <c r="C12" s="323" t="str">
        <f>IF(OR(C13="",C13="Matrix kann eingereicht werden"),"In Ordnung",IF(C13="die inkorrekten und unvollständigen Einträge beheben","Nicht in Ordnung"))</f>
        <v>In Ordnung</v>
      </c>
      <c r="D12" s="124" t="s">
        <v>76</v>
      </c>
      <c r="E12" s="184" t="s">
        <v>11</v>
      </c>
      <c r="F12" s="126" t="s">
        <v>86</v>
      </c>
      <c r="G12" s="126" t="s">
        <v>327</v>
      </c>
    </row>
    <row r="13" spans="2:15" ht="22.5" customHeight="1">
      <c r="C13" s="191" t="str">
        <f>Berechnung2!B6</f>
        <v/>
      </c>
      <c r="D13" s="75">
        <f>Berechnung2!C6</f>
        <v>0</v>
      </c>
      <c r="E13" s="50">
        <f>Berechnung2!D6</f>
        <v>0</v>
      </c>
      <c r="F13" s="190">
        <f>Berechnung2!E6</f>
        <v>0</v>
      </c>
      <c r="G13" s="190">
        <f>Berechnung2!F6</f>
        <v>0</v>
      </c>
    </row>
    <row r="14" spans="2:15" s="22" customFormat="1" ht="14.25" customHeight="1">
      <c r="C14" s="10"/>
      <c r="D14" s="10"/>
    </row>
    <row r="15" spans="2:15" ht="21.75" customHeight="1">
      <c r="B15" s="869" t="s">
        <v>113</v>
      </c>
      <c r="C15" s="880" t="s">
        <v>59</v>
      </c>
      <c r="D15" s="881" t="s">
        <v>2</v>
      </c>
      <c r="E15" s="882"/>
      <c r="F15" s="882"/>
      <c r="G15" s="882"/>
    </row>
    <row r="16" spans="2:15" ht="12.75" customHeight="1">
      <c r="B16" s="870"/>
      <c r="C16" s="870"/>
      <c r="D16" s="882"/>
      <c r="E16" s="882"/>
      <c r="F16" s="882"/>
      <c r="G16" s="882"/>
    </row>
    <row r="17" spans="2:7" s="37" customFormat="1" ht="66" customHeight="1">
      <c r="B17" s="125" t="str">
        <f>IF(ISERROR(Berechnung2!G15),"",Berechnung2!G15)</f>
        <v/>
      </c>
      <c r="C17" s="125" t="str">
        <f>IF(ISERROR(Berechnung2!H15),"",Berechnung2!H15)</f>
        <v/>
      </c>
      <c r="D17" s="878"/>
      <c r="E17" s="879"/>
      <c r="F17" s="879"/>
      <c r="G17" s="879"/>
    </row>
    <row r="18" spans="2:7" s="37" customFormat="1" ht="66" customHeight="1">
      <c r="B18" s="125" t="str">
        <f>IF(ISERROR(Berechnung2!G16),"",Berechnung2!G16)</f>
        <v/>
      </c>
      <c r="C18" s="125" t="str">
        <f>IF(ISERROR(Berechnung2!H16),"",Berechnung2!H16)</f>
        <v/>
      </c>
      <c r="D18" s="878"/>
      <c r="E18" s="879"/>
      <c r="F18" s="879"/>
      <c r="G18" s="879"/>
    </row>
    <row r="19" spans="2:7" s="37" customFormat="1" ht="66" customHeight="1">
      <c r="B19" s="125" t="str">
        <f>IF(ISERROR(Berechnung2!G17),"",Berechnung2!G17)</f>
        <v/>
      </c>
      <c r="C19" s="125" t="str">
        <f>IF(ISERROR(Berechnung2!H17),"",Berechnung2!H17)</f>
        <v/>
      </c>
      <c r="D19" s="878"/>
      <c r="E19" s="879"/>
      <c r="F19" s="879"/>
      <c r="G19" s="879"/>
    </row>
    <row r="20" spans="2:7" s="37" customFormat="1" ht="66" customHeight="1">
      <c r="B20" s="201" t="str">
        <f>IF(ISERROR(Berechnung2!G18),"",Berechnung2!G18)</f>
        <v/>
      </c>
      <c r="C20" s="201" t="str">
        <f>IF(ISERROR(Berechnung2!H18),"",Berechnung2!H18)</f>
        <v/>
      </c>
      <c r="D20" s="878"/>
      <c r="E20" s="879"/>
      <c r="F20" s="879"/>
      <c r="G20" s="879"/>
    </row>
    <row r="21" spans="2:7" s="37" customFormat="1" ht="66" customHeight="1">
      <c r="B21" s="107" t="str">
        <f>IF(ISERROR(Berechnung2!G19),"",Berechnung2!G19)</f>
        <v/>
      </c>
      <c r="C21" s="107" t="str">
        <f>IF(ISERROR(Berechnung2!H19),"",Berechnung2!H19)</f>
        <v/>
      </c>
      <c r="D21" s="878"/>
      <c r="E21" s="879"/>
      <c r="F21" s="879"/>
      <c r="G21" s="879"/>
    </row>
    <row r="22" spans="2:7" s="37" customFormat="1" ht="66" customHeight="1">
      <c r="B22" s="107" t="str">
        <f>IF(ISERROR(Berechnung2!G20),"",Berechnung2!G20)</f>
        <v/>
      </c>
      <c r="C22" s="107" t="str">
        <f>IF(ISERROR(Berechnung2!H20),"",Berechnung2!H20)</f>
        <v/>
      </c>
      <c r="D22" s="878"/>
      <c r="E22" s="879"/>
      <c r="F22" s="879"/>
      <c r="G22" s="879"/>
    </row>
    <row r="23" spans="2:7" s="37" customFormat="1" ht="66" customHeight="1">
      <c r="B23" s="107" t="str">
        <f>IF(ISERROR(Berechnung2!G21),"",Berechnung2!G21)</f>
        <v/>
      </c>
      <c r="C23" s="107" t="str">
        <f>IF(ISERROR(Berechnung2!H21),"",Berechnung2!H21)</f>
        <v/>
      </c>
      <c r="D23" s="878"/>
      <c r="E23" s="879"/>
      <c r="F23" s="879"/>
      <c r="G23" s="879"/>
    </row>
    <row r="24" spans="2:7" s="37" customFormat="1" ht="66" customHeight="1">
      <c r="B24" s="107" t="str">
        <f>IF(ISERROR(Berechnung2!G22),"",Berechnung2!G22)</f>
        <v/>
      </c>
      <c r="C24" s="107" t="str">
        <f>IF(ISERROR(Berechnung2!H22),"",Berechnung2!H22)</f>
        <v/>
      </c>
      <c r="D24" s="878"/>
      <c r="E24" s="879"/>
      <c r="F24" s="879"/>
      <c r="G24" s="879"/>
    </row>
    <row r="25" spans="2:7" s="37" customFormat="1" ht="66" customHeight="1">
      <c r="B25" s="107" t="str">
        <f>IF(ISERROR(Berechnung2!G23),"",Berechnung2!G23)</f>
        <v/>
      </c>
      <c r="C25" s="107" t="str">
        <f>IF(ISERROR(Berechnung2!H23),"",Berechnung2!H23)</f>
        <v/>
      </c>
      <c r="D25" s="878"/>
      <c r="E25" s="879"/>
      <c r="F25" s="879"/>
      <c r="G25" s="879"/>
    </row>
  </sheetData>
  <sheetProtection algorithmName="SHA-512" hashValue="JBYXP7gvtyvknFCTCtgSBALtoonPwo2k2EUBeoQR21LlrGQkJ3wZNzeq9CPEuY8roYAmZW6T1dVb4TpHdkXlrw==" saltValue="Hml5+qhcjUhqJtaA477c1Q==" spinCount="100000" sheet="1" selectLockedCells="1"/>
  <customSheetViews>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13">
    <mergeCell ref="C6:G6"/>
    <mergeCell ref="D19:G19"/>
    <mergeCell ref="D23:G23"/>
    <mergeCell ref="D20:G20"/>
    <mergeCell ref="D22:G22"/>
    <mergeCell ref="D21:G21"/>
    <mergeCell ref="D24:G24"/>
    <mergeCell ref="D25:G25"/>
    <mergeCell ref="B15:B16"/>
    <mergeCell ref="C15:C16"/>
    <mergeCell ref="D15:G16"/>
    <mergeCell ref="D18:G18"/>
    <mergeCell ref="D17:G17"/>
  </mergeCells>
  <phoneticPr fontId="41" type="noConversion"/>
  <conditionalFormatting sqref="B12:B13 D12:E13 F12:G12 G12:IV13 A11:XFD11 A9:XFD9">
    <cfRule type="cellIs" dxfId="26" priority="223" operator="lessThan">
      <formula>0</formula>
    </cfRule>
  </conditionalFormatting>
  <conditionalFormatting sqref="D17:G17">
    <cfRule type="notContainsBlanks" dxfId="25" priority="59" stopIfTrue="1">
      <formula>LEN(TRIM(D17))&gt;0</formula>
    </cfRule>
    <cfRule type="expression" dxfId="24" priority="2471" stopIfTrue="1">
      <formula>B17&lt;&gt;""</formula>
    </cfRule>
  </conditionalFormatting>
  <conditionalFormatting sqref="D18:G18">
    <cfRule type="notContainsBlanks" dxfId="23" priority="2470" stopIfTrue="1">
      <formula>LEN(TRIM(D18))&gt;0</formula>
    </cfRule>
    <cfRule type="expression" dxfId="22" priority="2472" stopIfTrue="1">
      <formula>B18&lt;&gt;""</formula>
    </cfRule>
  </conditionalFormatting>
  <conditionalFormatting sqref="C17:C25">
    <cfRule type="expression" dxfId="21" priority="37">
      <formula>SEARCH("Unvollständig",$C17,1)</formula>
    </cfRule>
    <cfRule type="expression" dxfId="20" priority="40">
      <formula>SEARCH($D$12,$C17,1)</formula>
    </cfRule>
    <cfRule type="expression" dxfId="19" priority="41">
      <formula>SEARCH($E$12,$C17,1)</formula>
    </cfRule>
    <cfRule type="expression" dxfId="18" priority="42">
      <formula>SEARCH($F$12,$C17,1)</formula>
    </cfRule>
  </conditionalFormatting>
  <conditionalFormatting sqref="D19:G19">
    <cfRule type="notContainsBlanks" dxfId="17" priority="17" stopIfTrue="1">
      <formula>LEN(TRIM(D19))&gt;0</formula>
    </cfRule>
    <cfRule type="expression" dxfId="16" priority="18" stopIfTrue="1">
      <formula>B19&lt;&gt;""</formula>
    </cfRule>
  </conditionalFormatting>
  <conditionalFormatting sqref="D20:G20">
    <cfRule type="notContainsBlanks" dxfId="15" priority="15" stopIfTrue="1">
      <formula>LEN(TRIM(D20))&gt;0</formula>
    </cfRule>
    <cfRule type="expression" dxfId="14" priority="16" stopIfTrue="1">
      <formula>B20&lt;&gt;""</formula>
    </cfRule>
  </conditionalFormatting>
  <conditionalFormatting sqref="D21:G21">
    <cfRule type="notContainsBlanks" dxfId="13" priority="13" stopIfTrue="1">
      <formula>LEN(TRIM(D21))&gt;0</formula>
    </cfRule>
    <cfRule type="expression" dxfId="12" priority="14" stopIfTrue="1">
      <formula>B21&lt;&gt;""</formula>
    </cfRule>
  </conditionalFormatting>
  <conditionalFormatting sqref="D22:G22">
    <cfRule type="notContainsBlanks" dxfId="11" priority="11" stopIfTrue="1">
      <formula>LEN(TRIM(D22))&gt;0</formula>
    </cfRule>
    <cfRule type="expression" dxfId="10" priority="12" stopIfTrue="1">
      <formula>B22&lt;&gt;""</formula>
    </cfRule>
  </conditionalFormatting>
  <conditionalFormatting sqref="D23:G23">
    <cfRule type="notContainsBlanks" dxfId="9" priority="9" stopIfTrue="1">
      <formula>LEN(TRIM(D23))&gt;0</formula>
    </cfRule>
    <cfRule type="expression" dxfId="8" priority="10" stopIfTrue="1">
      <formula>B23&lt;&gt;""</formula>
    </cfRule>
  </conditionalFormatting>
  <conditionalFormatting sqref="D24:G24">
    <cfRule type="notContainsBlanks" dxfId="7" priority="7" stopIfTrue="1">
      <formula>LEN(TRIM(D24))&gt;0</formula>
    </cfRule>
    <cfRule type="expression" dxfId="6" priority="8" stopIfTrue="1">
      <formula>B24&lt;&gt;""</formula>
    </cfRule>
  </conditionalFormatting>
  <conditionalFormatting sqref="D25:G25">
    <cfRule type="notContainsBlanks" dxfId="5" priority="5" stopIfTrue="1">
      <formula>LEN(TRIM(D25))&gt;0</formula>
    </cfRule>
    <cfRule type="expression" dxfId="4" priority="6" stopIfTrue="1">
      <formula>B25&lt;&gt;""</formula>
    </cfRule>
  </conditionalFormatting>
  <conditionalFormatting sqref="C13">
    <cfRule type="expression" dxfId="3" priority="2" stopIfTrue="1">
      <formula>$C$13="die inkorrekten und unvollständigen Einträge beheben"</formula>
    </cfRule>
  </conditionalFormatting>
  <conditionalFormatting sqref="C12">
    <cfRule type="expression" dxfId="2" priority="1" stopIfTrue="1">
      <formula>$C$12="Nicht in Ordnung"</formula>
    </cfRule>
  </conditionalFormatting>
  <dataValidations count="1">
    <dataValidation type="textLength" allowBlank="1" showErrorMessage="1" errorTitle="Zeichenlänge" error="Minimal 30 Zeichen und max. 450 Zeichen." sqref="D17:G25" xr:uid="{00000000-0002-0000-0C00-000000000000}">
      <formula1>30</formula1>
      <formula2>450</formula2>
    </dataValidation>
  </dataValidations>
  <pageMargins left="0.39370078740157483" right="0.11811023622047245" top="0.59055118110236227" bottom="0.39370078740157483" header="0.11811023622047245" footer="3.937007874015748E-2"/>
  <pageSetup paperSize="9" orientation="landscape" r:id="rId3"/>
  <headerFooter>
    <oddFooter>&amp;L&amp;"Arial,Standard"&amp;7&amp;F&amp;C&amp;"Arial,Standard"&amp;7 © DKG  Alle Rechte vorbehalten&amp;R&amp;"Arial,Standard"&amp;7&amp;P</oddFooter>
  </headerFooter>
  <drawing r:id="rId4"/>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1:X8"/>
  <sheetViews>
    <sheetView showGridLines="0" workbookViewId="0">
      <selection activeCell="L1" sqref="L1"/>
    </sheetView>
  </sheetViews>
  <sheetFormatPr baseColWidth="10" defaultColWidth="11.3984375" defaultRowHeight="14.25"/>
  <cols>
    <col min="1" max="1" width="13.3984375" customWidth="1"/>
    <col min="2" max="2" width="11.73046875" customWidth="1"/>
    <col min="3" max="3" width="11" customWidth="1"/>
    <col min="4" max="16" width="8.59765625" customWidth="1"/>
    <col min="17" max="17" width="9" customWidth="1"/>
    <col min="18" max="18" width="13.265625" customWidth="1"/>
    <col min="19" max="19" width="12.59765625" customWidth="1"/>
    <col min="20" max="20" width="10.265625" customWidth="1"/>
    <col min="21" max="21" width="12.1328125" customWidth="1"/>
    <col min="22" max="22" width="16.59765625" customWidth="1"/>
    <col min="23" max="23" width="13.265625" customWidth="1"/>
    <col min="24" max="24" width="9.59765625" customWidth="1"/>
    <col min="25" max="25" width="13.1328125" customWidth="1"/>
    <col min="26" max="26" width="10.73046875" customWidth="1"/>
    <col min="27" max="27" width="12.73046875" customWidth="1"/>
    <col min="28" max="28" width="11.3984375" customWidth="1"/>
    <col min="29" max="29" width="15.86328125" customWidth="1"/>
    <col min="30" max="30" width="15.265625" customWidth="1"/>
    <col min="31" max="37" width="11.3984375" customWidth="1"/>
    <col min="38" max="38" width="7.1328125" customWidth="1"/>
    <col min="39" max="41" width="8.73046875" customWidth="1"/>
    <col min="42" max="42" width="16.265625" customWidth="1"/>
  </cols>
  <sheetData>
    <row r="1" spans="1:24" ht="72" customHeight="1">
      <c r="A1" s="229" t="str">
        <f>Matrix!B17</f>
        <v>Relevante Nachsorgejahre</v>
      </c>
      <c r="B1" s="229" t="str">
        <f>Matrix!C17</f>
        <v>Jahr der Erstdiagnose</v>
      </c>
      <c r="C1" s="229" t="str">
        <f>Matrix!D17</f>
        <v xml:space="preserve">Anzahl Primärfälle 
Malignes kutanes Melanom </v>
      </c>
      <c r="D1" s="229" t="str">
        <f>Matrix!E18</f>
        <v>IA</v>
      </c>
      <c r="E1" s="229" t="str">
        <f>Matrix!F18</f>
        <v>IB</v>
      </c>
      <c r="F1" s="229" t="str">
        <f>Matrix!G18</f>
        <v>IIA</v>
      </c>
      <c r="G1" s="229" t="str">
        <f>Matrix!H18</f>
        <v>IIB</v>
      </c>
      <c r="H1" s="229" t="str">
        <f>Matrix!I18</f>
        <v>IIC</v>
      </c>
      <c r="I1" s="229" t="str">
        <f>Matrix!J18</f>
        <v>IIIA</v>
      </c>
      <c r="J1" s="229" t="str">
        <f>Matrix!K18</f>
        <v>IIIB</v>
      </c>
      <c r="K1" s="229" t="str">
        <f>Matrix!L18</f>
        <v>IIIC</v>
      </c>
      <c r="L1" s="229" t="str">
        <f>LEFT(Matrix!M18,4)</f>
        <v>IIID</v>
      </c>
      <c r="M1" s="229" t="str">
        <f>Matrix!N18</f>
        <v>IV</v>
      </c>
      <c r="N1" s="229" t="s">
        <v>400</v>
      </c>
      <c r="O1" s="229" t="s">
        <v>399</v>
      </c>
      <c r="P1" s="229" t="str">
        <f>Matrix!Q17</f>
        <v>Uvea, Konjunktiva, Schleimhaut</v>
      </c>
      <c r="Q1" s="229" t="str">
        <f>Matrix!R17</f>
        <v>nicht  zuzuordnen (z.B.: pTx)</v>
      </c>
      <c r="R1" s="229" t="str">
        <f>LEFT(Matrix!T17,42)</f>
        <v>Patienten mit aktueller 
Follow-Up-Meldung</v>
      </c>
      <c r="S1" s="229" t="str">
        <f>Matrix!U17</f>
        <v>Keine Rückmeldung</v>
      </c>
      <c r="T1" s="229" t="str">
        <f>Matrix!V17</f>
        <v>Follow-Up Quote in % 
= T / (T + U)</v>
      </c>
      <c r="U1" s="229" t="str">
        <f>LEFT(Matrix!X17,23)</f>
        <v xml:space="preserve">Tumorbedingt gestorben </v>
      </c>
      <c r="V1" s="229" t="str">
        <f>LEFT(Matrix!Y17,60)</f>
        <v xml:space="preserve">Gestorben (Todesursache 
unbekannt bzw. nicht tumorbedingt) </v>
      </c>
      <c r="W1" s="229" t="str">
        <f>Matrix!AA17</f>
        <v>OAS nach Kaplan-Meier    
(Overall Survival) in %</v>
      </c>
    </row>
    <row r="2" spans="1:24" ht="15" customHeight="1">
      <c r="A2" s="186" t="str">
        <f>Matrix!B19</f>
        <v>nicht relevant</v>
      </c>
      <c r="B2" s="186">
        <f>Matrix!C19</f>
        <v>2013</v>
      </c>
      <c r="C2" s="186">
        <f>IF(Matrix!D19="","",Matrix!D19)</f>
        <v>0</v>
      </c>
      <c r="D2" s="38" t="str">
        <f>IF(Matrix!E19="","",Matrix!E19)</f>
        <v/>
      </c>
      <c r="E2" s="38" t="str">
        <f>IF(Matrix!F19="","",Matrix!F19)</f>
        <v/>
      </c>
      <c r="F2" s="38" t="str">
        <f>IF(Matrix!G19="","",Matrix!G19)</f>
        <v/>
      </c>
      <c r="G2" s="38" t="str">
        <f>IF(Matrix!H19="","",Matrix!H19)</f>
        <v/>
      </c>
      <c r="H2" s="38" t="str">
        <f>IF(Matrix!I19="","",Matrix!I19)</f>
        <v/>
      </c>
      <c r="I2" s="38" t="str">
        <f>IF(Matrix!J19="","",Matrix!J19)</f>
        <v/>
      </c>
      <c r="J2" s="38" t="str">
        <f>IF(Matrix!K19="","",Matrix!K19)</f>
        <v/>
      </c>
      <c r="K2" s="38" t="str">
        <f>IF(Matrix!L19="","",Matrix!L19)</f>
        <v/>
      </c>
      <c r="L2" s="38" t="str">
        <f>IF(Matrix!M19="","",Matrix!M19)</f>
        <v/>
      </c>
      <c r="M2" s="38" t="str">
        <f>IF(Matrix!N19="","",Matrix!N19)</f>
        <v/>
      </c>
      <c r="N2" s="38" t="str">
        <f>IF(Matrix!O19="","",Matrix!O19)</f>
        <v/>
      </c>
      <c r="O2" s="38" t="str">
        <f>IF(Matrix!P19="","",Matrix!P19)</f>
        <v/>
      </c>
      <c r="P2" s="38" t="str">
        <f>IF(Matrix!Q19="","",Matrix!Q19)</f>
        <v/>
      </c>
      <c r="Q2" s="38" t="str">
        <f>IF(Matrix!R19="","",Matrix!R19)</f>
        <v/>
      </c>
      <c r="R2" s="38" t="str">
        <f>IF(Matrix!T19="","",Matrix!T19)</f>
        <v/>
      </c>
      <c r="S2" s="38" t="str">
        <f>IF(Matrix!U19="","",Matrix!U19)</f>
        <v/>
      </c>
      <c r="T2" s="314" t="str">
        <f>IF(Matrix!V19="","",Matrix!V19*100)</f>
        <v/>
      </c>
      <c r="U2" s="38" t="str">
        <f>IF(Matrix!X19="","",Matrix!X19)</f>
        <v/>
      </c>
      <c r="V2" s="38" t="str">
        <f>IF(Matrix!Y19="","",Matrix!Y19)</f>
        <v/>
      </c>
      <c r="W2" s="314" t="str">
        <f>IF(Matrix!AA19="","",Matrix!AA19*100)</f>
        <v/>
      </c>
    </row>
    <row r="3" spans="1:24" ht="15" customHeight="1">
      <c r="A3" s="186" t="str">
        <f>Matrix!B20</f>
        <v>nicht relevant</v>
      </c>
      <c r="B3" s="186">
        <f>Matrix!C20</f>
        <v>2014</v>
      </c>
      <c r="C3" s="186">
        <f>IF(Matrix!D20="","",Matrix!D20)</f>
        <v>0</v>
      </c>
      <c r="D3" s="38" t="str">
        <f>IF(Matrix!E20="","",Matrix!E20)</f>
        <v/>
      </c>
      <c r="E3" s="38" t="str">
        <f>IF(Matrix!F20="","",Matrix!F20)</f>
        <v/>
      </c>
      <c r="F3" s="38" t="str">
        <f>IF(Matrix!G20="","",Matrix!G20)</f>
        <v/>
      </c>
      <c r="G3" s="38" t="str">
        <f>IF(Matrix!H20="","",Matrix!H20)</f>
        <v/>
      </c>
      <c r="H3" s="38" t="str">
        <f>IF(Matrix!I20="","",Matrix!I20)</f>
        <v/>
      </c>
      <c r="I3" s="38" t="str">
        <f>IF(Matrix!J20="","",Matrix!J20)</f>
        <v/>
      </c>
      <c r="J3" s="38" t="str">
        <f>IF(Matrix!K20="","",Matrix!K20)</f>
        <v/>
      </c>
      <c r="K3" s="38" t="str">
        <f>IF(Matrix!L20="","",Matrix!L20)</f>
        <v/>
      </c>
      <c r="L3" s="38" t="str">
        <f>IF(Matrix!M20="","",Matrix!M20)</f>
        <v/>
      </c>
      <c r="M3" s="38" t="str">
        <f>IF(Matrix!N20="","",Matrix!N20)</f>
        <v/>
      </c>
      <c r="N3" s="38" t="str">
        <f>IF(Matrix!O20="","",Matrix!O20)</f>
        <v/>
      </c>
      <c r="O3" s="38" t="str">
        <f>IF(Matrix!P20="","",Matrix!P20)</f>
        <v/>
      </c>
      <c r="P3" s="38" t="str">
        <f>IF(Matrix!Q20="","",Matrix!Q20)</f>
        <v/>
      </c>
      <c r="Q3" s="38" t="str">
        <f>IF(Matrix!R20="","",Matrix!R20)</f>
        <v/>
      </c>
      <c r="R3" s="38" t="str">
        <f>IF(Matrix!T20="","",Matrix!T20)</f>
        <v/>
      </c>
      <c r="S3" s="38" t="str">
        <f>IF(Matrix!U20="","",Matrix!U20)</f>
        <v/>
      </c>
      <c r="T3" s="314" t="str">
        <f>IF(Matrix!V20="","",Matrix!V20*100)</f>
        <v/>
      </c>
      <c r="U3" s="38" t="str">
        <f>IF(Matrix!X20="","",Matrix!X20)</f>
        <v/>
      </c>
      <c r="V3" s="38" t="str">
        <f>IF(Matrix!Y20="","",Matrix!Y20)</f>
        <v/>
      </c>
      <c r="W3" s="314" t="str">
        <f>IF(Matrix!AA20="","",Matrix!AA20*100)</f>
        <v/>
      </c>
    </row>
    <row r="4" spans="1:24" ht="15" customHeight="1">
      <c r="A4" s="186" t="str">
        <f>Matrix!B21</f>
        <v>nicht relevant</v>
      </c>
      <c r="B4" s="186">
        <f>Matrix!C21</f>
        <v>2015</v>
      </c>
      <c r="C4" s="186">
        <f>IF(Matrix!D21="","",Matrix!D21)</f>
        <v>0</v>
      </c>
      <c r="D4" s="38" t="str">
        <f>IF(Matrix!E21="","",Matrix!E21)</f>
        <v/>
      </c>
      <c r="E4" s="38" t="str">
        <f>IF(Matrix!F21="","",Matrix!F21)</f>
        <v/>
      </c>
      <c r="F4" s="38" t="str">
        <f>IF(Matrix!G21="","",Matrix!G21)</f>
        <v/>
      </c>
      <c r="G4" s="38" t="str">
        <f>IF(Matrix!H21="","",Matrix!H21)</f>
        <v/>
      </c>
      <c r="H4" s="38" t="str">
        <f>IF(Matrix!I21="","",Matrix!I21)</f>
        <v/>
      </c>
      <c r="I4" s="38" t="str">
        <f>IF(Matrix!J21="","",Matrix!J21)</f>
        <v/>
      </c>
      <c r="J4" s="38" t="str">
        <f>IF(Matrix!K21="","",Matrix!K21)</f>
        <v/>
      </c>
      <c r="K4" s="38" t="str">
        <f>IF(Matrix!L21="","",Matrix!L21)</f>
        <v/>
      </c>
      <c r="L4" s="38" t="str">
        <f>IF(Matrix!M21="","",Matrix!M21)</f>
        <v/>
      </c>
      <c r="M4" s="38" t="str">
        <f>IF(Matrix!N21="","",Matrix!N21)</f>
        <v/>
      </c>
      <c r="N4" s="38" t="str">
        <f>IF(Matrix!O21="","",Matrix!O21)</f>
        <v/>
      </c>
      <c r="O4" s="38" t="str">
        <f>IF(Matrix!P21="","",Matrix!P21)</f>
        <v/>
      </c>
      <c r="P4" s="38" t="str">
        <f>IF(Matrix!Q21="","",Matrix!Q21)</f>
        <v/>
      </c>
      <c r="Q4" s="38" t="str">
        <f>IF(Matrix!R21="","",Matrix!R21)</f>
        <v/>
      </c>
      <c r="R4" s="38" t="str">
        <f>IF(Matrix!T21="","",Matrix!T21)</f>
        <v/>
      </c>
      <c r="S4" s="38" t="str">
        <f>IF(Matrix!U21="","",Matrix!U21)</f>
        <v/>
      </c>
      <c r="T4" s="314" t="str">
        <f>IF(Matrix!V21="","",Matrix!V21*100)</f>
        <v/>
      </c>
      <c r="U4" s="38" t="str">
        <f>IF(Matrix!X21="","",Matrix!X21)</f>
        <v/>
      </c>
      <c r="V4" s="38" t="str">
        <f>IF(Matrix!Y21="","",Matrix!Y21)</f>
        <v/>
      </c>
      <c r="W4" s="314" t="str">
        <f>IF(Matrix!AA21="","",Matrix!AA21*100)</f>
        <v/>
      </c>
    </row>
    <row r="5" spans="1:24" ht="15" customHeight="1">
      <c r="A5" s="186" t="str">
        <f>Matrix!B22</f>
        <v>nicht relevant</v>
      </c>
      <c r="B5" s="186">
        <f>Matrix!C22</f>
        <v>2016</v>
      </c>
      <c r="C5" s="186">
        <f>IF(Matrix!D22="","",Matrix!D22)</f>
        <v>0</v>
      </c>
      <c r="D5" s="38" t="str">
        <f>IF(Matrix!E22="","",Matrix!E22)</f>
        <v/>
      </c>
      <c r="E5" s="38" t="str">
        <f>IF(Matrix!F22="","",Matrix!F22)</f>
        <v/>
      </c>
      <c r="F5" s="38" t="str">
        <f>IF(Matrix!G22="","",Matrix!G22)</f>
        <v/>
      </c>
      <c r="G5" s="38" t="str">
        <f>IF(Matrix!H22="","",Matrix!H22)</f>
        <v/>
      </c>
      <c r="H5" s="38" t="str">
        <f>IF(Matrix!I22="","",Matrix!I22)</f>
        <v/>
      </c>
      <c r="I5" s="38" t="str">
        <f>IF(Matrix!J22="","",Matrix!J22)</f>
        <v/>
      </c>
      <c r="J5" s="38" t="str">
        <f>IF(Matrix!K22="","",Matrix!K22)</f>
        <v/>
      </c>
      <c r="K5" s="38" t="str">
        <f>IF(Matrix!L22="","",Matrix!L22)</f>
        <v/>
      </c>
      <c r="L5" s="38" t="str">
        <f>IF(Matrix!M22="","",Matrix!M22)</f>
        <v/>
      </c>
      <c r="M5" s="38" t="str">
        <f>IF(Matrix!N22="","",Matrix!N22)</f>
        <v/>
      </c>
      <c r="N5" s="38" t="str">
        <f>IF(Matrix!O22="","",Matrix!O22)</f>
        <v/>
      </c>
      <c r="O5" s="38" t="str">
        <f>IF(Matrix!P22="","",Matrix!P22)</f>
        <v/>
      </c>
      <c r="P5" s="38" t="str">
        <f>IF(Matrix!Q22="","",Matrix!Q22)</f>
        <v/>
      </c>
      <c r="Q5" s="38" t="str">
        <f>IF(Matrix!R22="","",Matrix!R22)</f>
        <v/>
      </c>
      <c r="R5" s="38" t="str">
        <f>IF(Matrix!T22="","",Matrix!T22)</f>
        <v/>
      </c>
      <c r="S5" s="38" t="str">
        <f>IF(Matrix!U22="","",Matrix!U22)</f>
        <v/>
      </c>
      <c r="T5" s="314" t="str">
        <f>IF(Matrix!V22="","",Matrix!V22*100)</f>
        <v/>
      </c>
      <c r="U5" s="38" t="str">
        <f>IF(Matrix!X22="","",Matrix!X22)</f>
        <v/>
      </c>
      <c r="V5" s="38" t="str">
        <f>IF(Matrix!Y22="","",Matrix!Y22)</f>
        <v/>
      </c>
      <c r="W5" s="314" t="str">
        <f>IF(Matrix!AA22="","",Matrix!AA22*100)</f>
        <v/>
      </c>
    </row>
    <row r="6" spans="1:24">
      <c r="A6" s="186" t="str">
        <f>Matrix!B23</f>
        <v>nicht relevant</v>
      </c>
      <c r="B6" s="186">
        <f>Matrix!C23</f>
        <v>2017</v>
      </c>
      <c r="C6" s="186">
        <f>IF(Matrix!D23="","",Matrix!D23)</f>
        <v>0</v>
      </c>
      <c r="D6" s="38" t="str">
        <f>IF(Matrix!E23="","",Matrix!E23)</f>
        <v/>
      </c>
      <c r="E6" s="38" t="str">
        <f>IF(Matrix!F23="","",Matrix!F23)</f>
        <v/>
      </c>
      <c r="F6" s="38" t="str">
        <f>IF(Matrix!G23="","",Matrix!G23)</f>
        <v/>
      </c>
      <c r="G6" s="38" t="str">
        <f>IF(Matrix!H23="","",Matrix!H23)</f>
        <v/>
      </c>
      <c r="H6" s="38" t="str">
        <f>IF(Matrix!I23="","",Matrix!I23)</f>
        <v/>
      </c>
      <c r="I6" s="38" t="str">
        <f>IF(Matrix!J23="","",Matrix!J23)</f>
        <v/>
      </c>
      <c r="J6" s="38" t="str">
        <f>IF(Matrix!K23="","",Matrix!K23)</f>
        <v/>
      </c>
      <c r="K6" s="38" t="str">
        <f>IF(Matrix!L23="","",Matrix!L23)</f>
        <v/>
      </c>
      <c r="L6" s="38" t="str">
        <f>IF(Matrix!M23="","",Matrix!M23)</f>
        <v/>
      </c>
      <c r="M6" s="38" t="str">
        <f>IF(Matrix!N23="","",Matrix!N23)</f>
        <v/>
      </c>
      <c r="N6" s="38" t="str">
        <f>IF(Matrix!O23="","",Matrix!O23)</f>
        <v/>
      </c>
      <c r="O6" s="38" t="str">
        <f>IF(Matrix!P23="","",Matrix!P23)</f>
        <v/>
      </c>
      <c r="P6" s="38" t="str">
        <f>IF(Matrix!Q23="","",Matrix!Q23)</f>
        <v/>
      </c>
      <c r="Q6" s="38" t="str">
        <f>IF(Matrix!R23="","",Matrix!R23)</f>
        <v/>
      </c>
      <c r="R6" s="38" t="str">
        <f>IF(Matrix!T23="","",Matrix!T23)</f>
        <v/>
      </c>
      <c r="S6" s="38" t="str">
        <f>IF(Matrix!U23="","",Matrix!U23)</f>
        <v/>
      </c>
      <c r="T6" s="314" t="str">
        <f>IF(Matrix!V23="","",Matrix!V23*100)</f>
        <v/>
      </c>
      <c r="U6" s="38" t="str">
        <f>IF(Matrix!X23="","",Matrix!X23)</f>
        <v/>
      </c>
      <c r="V6" s="38" t="str">
        <f>IF(Matrix!Y23="","",Matrix!Y23)</f>
        <v/>
      </c>
      <c r="W6" s="314" t="str">
        <f>IF(Matrix!AA23="","",Matrix!AA23*100)</f>
        <v/>
      </c>
    </row>
    <row r="7" spans="1:24">
      <c r="A7" s="186" t="str">
        <f>Matrix!B24</f>
        <v>nicht relevant</v>
      </c>
      <c r="B7" s="186">
        <v>2018</v>
      </c>
      <c r="C7" s="186">
        <f>IF(Matrix!D24="","",Matrix!D24)</f>
        <v>0</v>
      </c>
      <c r="D7" s="38" t="str">
        <f>IF(Matrix!E24="","",Matrix!E24)</f>
        <v/>
      </c>
      <c r="E7" s="38" t="str">
        <f>IF(Matrix!F24="","",Matrix!F24)</f>
        <v/>
      </c>
      <c r="F7" s="38" t="str">
        <f>IF(Matrix!G24="","",Matrix!G24)</f>
        <v/>
      </c>
      <c r="G7" s="38" t="str">
        <f>IF(Matrix!H24="","",Matrix!H24)</f>
        <v/>
      </c>
      <c r="H7" s="38" t="str">
        <f>IF(Matrix!I24="","",Matrix!I24)</f>
        <v/>
      </c>
      <c r="I7" s="38" t="str">
        <f>IF(Matrix!J24="","",Matrix!J24)</f>
        <v/>
      </c>
      <c r="J7" s="38" t="str">
        <f>IF(Matrix!K24="","",Matrix!K24)</f>
        <v/>
      </c>
      <c r="K7" s="38" t="str">
        <f>IF(Matrix!L24="","",Matrix!L24)</f>
        <v/>
      </c>
      <c r="L7" s="38" t="str">
        <f>IF(Matrix!M24="","",Matrix!M24)</f>
        <v/>
      </c>
      <c r="M7" s="38" t="str">
        <f>IF(Matrix!N24="","",Matrix!N24)</f>
        <v/>
      </c>
      <c r="N7" s="38" t="str">
        <f>IF(Matrix!O24="","",Matrix!O24)</f>
        <v/>
      </c>
      <c r="O7" s="38" t="str">
        <f>IF(Matrix!P24="","",Matrix!P24)</f>
        <v/>
      </c>
      <c r="P7" s="38" t="str">
        <f>IF(Matrix!Q24="","",Matrix!Q24)</f>
        <v/>
      </c>
      <c r="Q7" s="38" t="str">
        <f>IF(Matrix!R24="","",Matrix!R24)</f>
        <v/>
      </c>
      <c r="R7" s="38" t="str">
        <f>IF(Matrix!T24="","",Matrix!T24)</f>
        <v/>
      </c>
      <c r="S7" s="38" t="str">
        <f>IF(Matrix!U24="","",Matrix!U24)</f>
        <v/>
      </c>
      <c r="T7" s="314" t="str">
        <f>IF(Matrix!V24="","",Matrix!V24*100)</f>
        <v/>
      </c>
      <c r="U7" s="38" t="str">
        <f>IF(Matrix!X24="","",Matrix!X24)</f>
        <v/>
      </c>
      <c r="V7" s="38" t="str">
        <f>IF(Matrix!Y24="","",Matrix!Y24)</f>
        <v/>
      </c>
      <c r="W7" s="314" t="str">
        <f>IF(Matrix!AA24="","",Matrix!AA24*100)</f>
        <v/>
      </c>
    </row>
    <row r="8" spans="1:24">
      <c r="A8" s="186" t="str">
        <f>Matrix!B25</f>
        <v>nicht relevant</v>
      </c>
      <c r="B8" s="186">
        <v>2019</v>
      </c>
      <c r="C8" s="186">
        <f>IF(Matrix!D25="","",Matrix!D25)</f>
        <v>0</v>
      </c>
      <c r="D8" s="38" t="str">
        <f>IF(Matrix!E25="","",Matrix!E25)</f>
        <v/>
      </c>
      <c r="E8" s="38" t="str">
        <f>IF(Matrix!F25="","",Matrix!F25)</f>
        <v/>
      </c>
      <c r="F8" s="38" t="str">
        <f>IF(Matrix!G25="","",Matrix!G25)</f>
        <v/>
      </c>
      <c r="G8" s="38" t="str">
        <f>IF(Matrix!H25="","",Matrix!H25)</f>
        <v/>
      </c>
      <c r="H8" s="38" t="str">
        <f>IF(Matrix!I25="","",Matrix!I25)</f>
        <v/>
      </c>
      <c r="I8" s="38" t="str">
        <f>IF(Matrix!J25="","",Matrix!J25)</f>
        <v/>
      </c>
      <c r="J8" s="38" t="str">
        <f>IF(Matrix!K25="","",Matrix!K25)</f>
        <v/>
      </c>
      <c r="K8" s="38" t="str">
        <f>IF(Matrix!L25="","",Matrix!L25)</f>
        <v/>
      </c>
      <c r="L8" s="38" t="str">
        <f>IF(Matrix!M25="","",Matrix!M25)</f>
        <v/>
      </c>
      <c r="M8" s="38" t="str">
        <f>IF(Matrix!N25="","",Matrix!N25)</f>
        <v/>
      </c>
      <c r="N8" s="38" t="str">
        <f>IF(Matrix!O25="","",Matrix!O25)</f>
        <v/>
      </c>
      <c r="O8" s="38" t="str">
        <f>IF(Matrix!P25="","",Matrix!P25)</f>
        <v/>
      </c>
      <c r="P8" s="38" t="str">
        <f>IF(Matrix!Q25="","",Matrix!Q25)</f>
        <v/>
      </c>
      <c r="Q8" s="38" t="str">
        <f>IF(Matrix!R25="","",Matrix!R25)</f>
        <v/>
      </c>
      <c r="R8" s="38" t="str">
        <f>IF(Matrix!T25="","",Matrix!T25)</f>
        <v/>
      </c>
      <c r="S8" s="38" t="str">
        <f>IF(Matrix!U25="","",Matrix!U25)</f>
        <v/>
      </c>
      <c r="T8" s="314" t="str">
        <f>IF(Matrix!V25="","",Matrix!V25*100)</f>
        <v/>
      </c>
      <c r="U8" s="38" t="str">
        <f>IF(Matrix!X25="","",Matrix!X25)</f>
        <v/>
      </c>
      <c r="V8" s="38" t="str">
        <f>IF(Matrix!Y25="","",Matrix!Y25)</f>
        <v/>
      </c>
      <c r="W8" s="314" t="str">
        <f>IF(Matrix!AA25="","",Matrix!AA25*100)</f>
        <v/>
      </c>
      <c r="X8" s="1"/>
    </row>
  </sheetData>
  <phoneticPr fontId="41" type="noConversion"/>
  <conditionalFormatting sqref="B2:C8">
    <cfRule type="expression" dxfId="1" priority="82" stopIfTrue="1">
      <formula>OR($B2="nicht relevant",$B2="EZ")</formula>
    </cfRule>
  </conditionalFormatting>
  <conditionalFormatting sqref="X8">
    <cfRule type="cellIs" dxfId="0" priority="81" operator="lessThan">
      <formula>0</formula>
    </cfRule>
  </conditionalFormatting>
  <pageMargins left="0.7" right="0.7" top="0.78740157499999996" bottom="0.78740157499999996"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4"/>
  <dimension ref="A1:D45"/>
  <sheetViews>
    <sheetView workbookViewId="0">
      <selection activeCell="B3" sqref="B3"/>
    </sheetView>
  </sheetViews>
  <sheetFormatPr baseColWidth="10" defaultColWidth="11.3984375" defaultRowHeight="27.75" customHeight="1"/>
  <cols>
    <col min="1" max="1" width="14.1328125" style="262" customWidth="1"/>
    <col min="2" max="2" width="22.265625" style="262" customWidth="1"/>
    <col min="3" max="3" width="47.1328125" style="261" customWidth="1"/>
    <col min="4" max="4" width="89.3984375" style="261" customWidth="1"/>
    <col min="5" max="16384" width="11.3984375" style="263"/>
  </cols>
  <sheetData>
    <row r="1" spans="1:4" ht="27.75" customHeight="1">
      <c r="A1" s="260" t="s">
        <v>113</v>
      </c>
      <c r="B1" s="231" t="s">
        <v>296</v>
      </c>
      <c r="C1" s="231" t="s">
        <v>59</v>
      </c>
      <c r="D1" s="260" t="s">
        <v>2</v>
      </c>
    </row>
    <row r="2" spans="1:4" ht="27.75" customHeight="1">
      <c r="A2" s="262" t="str">
        <f ca="1">Berechnung3!L2</f>
        <v/>
      </c>
      <c r="B2" s="262" t="str">
        <f ca="1">Berechnung3!N2</f>
        <v/>
      </c>
      <c r="C2" s="261" t="str">
        <f ca="1">Berechnung3!O2</f>
        <v/>
      </c>
      <c r="D2" s="261" t="str">
        <f ca="1">Berechnung3!P2</f>
        <v/>
      </c>
    </row>
    <row r="3" spans="1:4" ht="27.75" customHeight="1">
      <c r="A3" s="262" t="str">
        <f ca="1">Berechnung3!L3</f>
        <v/>
      </c>
      <c r="B3" s="262" t="str">
        <f ca="1">Berechnung3!N3</f>
        <v/>
      </c>
      <c r="C3" s="261" t="str">
        <f ca="1">Berechnung3!O3</f>
        <v/>
      </c>
      <c r="D3" s="261" t="str">
        <f ca="1">Berechnung3!P3</f>
        <v/>
      </c>
    </row>
    <row r="4" spans="1:4" ht="27.75" customHeight="1">
      <c r="A4" s="262" t="str">
        <f ca="1">Berechnung3!L4</f>
        <v/>
      </c>
      <c r="B4" s="262" t="str">
        <f ca="1">Berechnung3!N4</f>
        <v/>
      </c>
      <c r="C4" s="261" t="str">
        <f ca="1">Berechnung3!O4</f>
        <v/>
      </c>
      <c r="D4" s="261" t="str">
        <f ca="1">Berechnung3!P4</f>
        <v/>
      </c>
    </row>
    <row r="5" spans="1:4" ht="27.75" customHeight="1">
      <c r="A5" s="262" t="str">
        <f ca="1">Berechnung3!L5</f>
        <v/>
      </c>
      <c r="B5" s="262" t="str">
        <f ca="1">Berechnung3!N5</f>
        <v/>
      </c>
      <c r="C5" s="261" t="str">
        <f ca="1">Berechnung3!O5</f>
        <v/>
      </c>
      <c r="D5" s="261" t="str">
        <f ca="1">Berechnung3!P5</f>
        <v/>
      </c>
    </row>
    <row r="6" spans="1:4" ht="27.75" customHeight="1">
      <c r="A6" s="262" t="str">
        <f ca="1">Berechnung3!L6</f>
        <v/>
      </c>
      <c r="B6" s="262" t="str">
        <f ca="1">Berechnung3!N6</f>
        <v/>
      </c>
      <c r="C6" s="261" t="str">
        <f ca="1">Berechnung3!O6</f>
        <v/>
      </c>
      <c r="D6" s="261" t="str">
        <f ca="1">Berechnung3!P6</f>
        <v/>
      </c>
    </row>
    <row r="7" spans="1:4" ht="27.75" customHeight="1">
      <c r="A7" s="262" t="str">
        <f ca="1">Berechnung3!L7</f>
        <v/>
      </c>
      <c r="B7" s="262" t="str">
        <f ca="1">Berechnung3!N7</f>
        <v/>
      </c>
      <c r="C7" s="261" t="str">
        <f ca="1">Berechnung3!O7</f>
        <v/>
      </c>
      <c r="D7" s="261" t="str">
        <f ca="1">Berechnung3!P7</f>
        <v/>
      </c>
    </row>
    <row r="8" spans="1:4" ht="27.75" customHeight="1">
      <c r="A8" s="262" t="str">
        <f ca="1">Berechnung3!L9</f>
        <v/>
      </c>
      <c r="B8" s="262" t="str">
        <f ca="1">Berechnung3!N9</f>
        <v/>
      </c>
      <c r="C8" s="261" t="str">
        <f ca="1">Berechnung3!O9</f>
        <v/>
      </c>
      <c r="D8" s="261" t="str">
        <f ca="1">Berechnung3!P9</f>
        <v/>
      </c>
    </row>
    <row r="9" spans="1:4" ht="27.75" customHeight="1">
      <c r="A9" s="262" t="str">
        <f ca="1">Berechnung3!L10</f>
        <v/>
      </c>
      <c r="B9" s="262" t="str">
        <f ca="1">Berechnung3!N10</f>
        <v/>
      </c>
      <c r="C9" s="261" t="str">
        <f ca="1">Berechnung3!O10</f>
        <v/>
      </c>
      <c r="D9" s="261" t="str">
        <f ca="1">Berechnung3!P10</f>
        <v/>
      </c>
    </row>
    <row r="10" spans="1:4" ht="27.75" customHeight="1">
      <c r="A10" s="262" t="str">
        <f ca="1">Berechnung3!L11</f>
        <v/>
      </c>
      <c r="B10" s="262" t="str">
        <f ca="1">Berechnung3!N11</f>
        <v/>
      </c>
      <c r="C10" s="261" t="str">
        <f ca="1">Berechnung3!O11</f>
        <v/>
      </c>
      <c r="D10" s="261" t="str">
        <f ca="1">Berechnung3!P11</f>
        <v/>
      </c>
    </row>
    <row r="11" spans="1:4" ht="27.75" customHeight="1">
      <c r="A11" s="262" t="str">
        <f ca="1">Berechnung3!L12</f>
        <v/>
      </c>
      <c r="B11" s="262" t="str">
        <f ca="1">Berechnung3!N12</f>
        <v/>
      </c>
      <c r="C11" s="261" t="str">
        <f ca="1">Berechnung3!O12</f>
        <v/>
      </c>
      <c r="D11" s="261" t="str">
        <f ca="1">Berechnung3!P12</f>
        <v/>
      </c>
    </row>
    <row r="12" spans="1:4" ht="27.75" customHeight="1">
      <c r="A12" s="262" t="str">
        <f ca="1">Berechnung3!L13</f>
        <v/>
      </c>
      <c r="B12" s="262" t="str">
        <f ca="1">Berechnung3!N13</f>
        <v/>
      </c>
      <c r="C12" s="261" t="str">
        <f ca="1">Berechnung3!O13</f>
        <v/>
      </c>
      <c r="D12" s="261" t="str">
        <f ca="1">Berechnung3!P13</f>
        <v/>
      </c>
    </row>
    <row r="13" spans="1:4" ht="27.75" customHeight="1">
      <c r="A13" s="262" t="str">
        <f ca="1">Berechnung3!L15</f>
        <v/>
      </c>
      <c r="B13" s="262" t="str">
        <f ca="1">Berechnung3!N15</f>
        <v/>
      </c>
      <c r="C13" s="261" t="str">
        <f ca="1">Berechnung3!O15</f>
        <v/>
      </c>
      <c r="D13" s="261" t="str">
        <f ca="1">Berechnung3!P15</f>
        <v/>
      </c>
    </row>
    <row r="14" spans="1:4" ht="27.75" customHeight="1">
      <c r="A14" s="262" t="str">
        <f ca="1">Berechnung3!L16</f>
        <v/>
      </c>
      <c r="B14" s="262" t="str">
        <f ca="1">Berechnung3!N16</f>
        <v/>
      </c>
      <c r="C14" s="261" t="str">
        <f ca="1">Berechnung3!O16</f>
        <v/>
      </c>
      <c r="D14" s="261" t="str">
        <f ca="1">Berechnung3!P16</f>
        <v/>
      </c>
    </row>
    <row r="15" spans="1:4" ht="27.75" customHeight="1">
      <c r="A15" s="262" t="str">
        <f ca="1">Berechnung3!L17</f>
        <v/>
      </c>
      <c r="B15" s="262" t="str">
        <f ca="1">Berechnung3!N17</f>
        <v/>
      </c>
      <c r="C15" s="261" t="str">
        <f ca="1">Berechnung3!O17</f>
        <v/>
      </c>
      <c r="D15" s="261" t="str">
        <f ca="1">Berechnung3!P17</f>
        <v/>
      </c>
    </row>
    <row r="16" spans="1:4" ht="27.75" customHeight="1">
      <c r="A16" s="262" t="str">
        <f ca="1">Berechnung3!L18</f>
        <v/>
      </c>
      <c r="B16" s="262" t="str">
        <f ca="1">Berechnung3!N18</f>
        <v/>
      </c>
      <c r="C16" s="261" t="str">
        <f ca="1">Berechnung3!O18</f>
        <v/>
      </c>
      <c r="D16" s="261" t="str">
        <f ca="1">Berechnung3!P18</f>
        <v/>
      </c>
    </row>
    <row r="17" spans="1:4" ht="27.75" customHeight="1">
      <c r="A17" s="262" t="str">
        <f ca="1">Berechnung3!L19</f>
        <v/>
      </c>
      <c r="B17" s="262" t="str">
        <f ca="1">Berechnung3!N19</f>
        <v/>
      </c>
      <c r="C17" s="261" t="str">
        <f ca="1">Berechnung3!O19</f>
        <v/>
      </c>
      <c r="D17" s="261" t="str">
        <f ca="1">Berechnung3!P19</f>
        <v/>
      </c>
    </row>
    <row r="18" spans="1:4" ht="27.75" customHeight="1">
      <c r="A18" s="262" t="str">
        <f ca="1">Berechnung3!L20</f>
        <v/>
      </c>
      <c r="B18" s="262" t="str">
        <f ca="1">Berechnung3!N20</f>
        <v/>
      </c>
      <c r="C18" s="261" t="str">
        <f ca="1">Berechnung3!O20</f>
        <v/>
      </c>
      <c r="D18" s="261" t="str">
        <f ca="1">Berechnung3!P20</f>
        <v/>
      </c>
    </row>
    <row r="19" spans="1:4" ht="27.75" customHeight="1">
      <c r="A19" s="262" t="str">
        <f ca="1">Berechnung3!L22</f>
        <v/>
      </c>
      <c r="B19" s="262" t="str">
        <f ca="1">Berechnung3!N22</f>
        <v/>
      </c>
      <c r="C19" s="261" t="str">
        <f ca="1">Berechnung3!O22</f>
        <v/>
      </c>
      <c r="D19" s="261" t="str">
        <f ca="1">Berechnung3!P22</f>
        <v/>
      </c>
    </row>
    <row r="20" spans="1:4" ht="27.75" customHeight="1">
      <c r="A20" s="262" t="str">
        <f ca="1">Berechnung3!L23</f>
        <v/>
      </c>
      <c r="B20" s="262" t="str">
        <f ca="1">Berechnung3!N23</f>
        <v/>
      </c>
      <c r="C20" s="261" t="str">
        <f ca="1">Berechnung3!O23</f>
        <v/>
      </c>
      <c r="D20" s="261" t="str">
        <f ca="1">Berechnung3!P23</f>
        <v/>
      </c>
    </row>
    <row r="21" spans="1:4" ht="27.75" customHeight="1">
      <c r="A21" s="262" t="str">
        <f ca="1">Berechnung3!L24</f>
        <v/>
      </c>
      <c r="B21" s="262" t="str">
        <f ca="1">Berechnung3!N24</f>
        <v/>
      </c>
      <c r="C21" s="261" t="str">
        <f ca="1">Berechnung3!O24</f>
        <v/>
      </c>
      <c r="D21" s="261" t="str">
        <f ca="1">Berechnung3!P24</f>
        <v/>
      </c>
    </row>
    <row r="22" spans="1:4" ht="27.75" customHeight="1">
      <c r="A22" s="262" t="str">
        <f ca="1">Berechnung3!L25</f>
        <v/>
      </c>
      <c r="B22" s="262" t="str">
        <f ca="1">Berechnung3!N25</f>
        <v/>
      </c>
      <c r="C22" s="261" t="str">
        <f ca="1">Berechnung3!O25</f>
        <v/>
      </c>
      <c r="D22" s="261" t="str">
        <f ca="1">Berechnung3!P25</f>
        <v/>
      </c>
    </row>
    <row r="23" spans="1:4" ht="27.75" customHeight="1">
      <c r="A23" s="262" t="str">
        <f ca="1">Berechnung3!L26</f>
        <v/>
      </c>
      <c r="B23" s="262" t="str">
        <f ca="1">Berechnung3!N26</f>
        <v/>
      </c>
      <c r="C23" s="261" t="str">
        <f ca="1">Berechnung3!O26</f>
        <v/>
      </c>
      <c r="D23" s="261" t="str">
        <f ca="1">Berechnung3!P26</f>
        <v/>
      </c>
    </row>
    <row r="24" spans="1:4" ht="27.75" customHeight="1">
      <c r="A24" s="262" t="str">
        <f ca="1">Berechnung3!L27</f>
        <v/>
      </c>
      <c r="B24" s="262" t="str">
        <f ca="1">Berechnung3!N27</f>
        <v/>
      </c>
      <c r="C24" s="261" t="str">
        <f ca="1">Berechnung3!O27</f>
        <v/>
      </c>
      <c r="D24" s="261" t="str">
        <f ca="1">Berechnung3!P27</f>
        <v/>
      </c>
    </row>
    <row r="25" spans="1:4" ht="27.75" customHeight="1">
      <c r="A25" s="262" t="str">
        <f ca="1">Berechnung3!L29</f>
        <v/>
      </c>
      <c r="B25" s="262" t="str">
        <f ca="1">Berechnung3!N29</f>
        <v/>
      </c>
      <c r="C25" s="261" t="str">
        <f ca="1">Berechnung3!O29</f>
        <v/>
      </c>
      <c r="D25" s="261" t="str">
        <f ca="1">Berechnung3!P29</f>
        <v/>
      </c>
    </row>
    <row r="26" spans="1:4" ht="27.75" customHeight="1">
      <c r="A26" s="262" t="str">
        <f ca="1">Berechnung3!L30</f>
        <v/>
      </c>
      <c r="B26" s="262" t="str">
        <f ca="1">Berechnung3!N30</f>
        <v/>
      </c>
      <c r="C26" s="261" t="str">
        <f ca="1">Berechnung3!O30</f>
        <v/>
      </c>
      <c r="D26" s="261" t="str">
        <f ca="1">Berechnung3!P30</f>
        <v/>
      </c>
    </row>
    <row r="27" spans="1:4" ht="27.75" customHeight="1">
      <c r="A27" s="262" t="str">
        <f ca="1">Berechnung3!L31</f>
        <v/>
      </c>
      <c r="B27" s="262" t="str">
        <f ca="1">Berechnung3!N31</f>
        <v/>
      </c>
      <c r="C27" s="261" t="str">
        <f ca="1">Berechnung3!O31</f>
        <v/>
      </c>
      <c r="D27" s="261" t="str">
        <f ca="1">Berechnung3!P31</f>
        <v/>
      </c>
    </row>
    <row r="28" spans="1:4" ht="27.75" customHeight="1">
      <c r="A28" s="262" t="str">
        <f ca="1">Berechnung3!L32</f>
        <v/>
      </c>
      <c r="B28" s="262" t="str">
        <f ca="1">Berechnung3!N32</f>
        <v/>
      </c>
      <c r="C28" s="261" t="str">
        <f ca="1">Berechnung3!O32</f>
        <v/>
      </c>
      <c r="D28" s="261" t="str">
        <f ca="1">Berechnung3!P32</f>
        <v/>
      </c>
    </row>
    <row r="29" spans="1:4" ht="27.75" customHeight="1">
      <c r="A29" s="262" t="str">
        <f ca="1">Berechnung3!L33</f>
        <v/>
      </c>
      <c r="B29" s="262" t="str">
        <f ca="1">Berechnung3!N33</f>
        <v/>
      </c>
      <c r="C29" s="261" t="str">
        <f ca="1">Berechnung3!O33</f>
        <v/>
      </c>
      <c r="D29" s="261" t="str">
        <f ca="1">Berechnung3!P33</f>
        <v/>
      </c>
    </row>
    <row r="30" spans="1:4" ht="27.75" customHeight="1">
      <c r="A30" s="262" t="str">
        <f ca="1">Berechnung3!L34</f>
        <v/>
      </c>
      <c r="B30" s="262" t="str">
        <f ca="1">Berechnung3!N34</f>
        <v/>
      </c>
      <c r="C30" s="261" t="str">
        <f ca="1">Berechnung3!O34</f>
        <v/>
      </c>
      <c r="D30" s="261" t="str">
        <f ca="1">Berechnung3!P34</f>
        <v/>
      </c>
    </row>
    <row r="31" spans="1:4" ht="27.75" customHeight="1">
      <c r="A31" s="262" t="str">
        <f ca="1">Berechnung3!L36</f>
        <v/>
      </c>
      <c r="B31" s="262" t="str">
        <f ca="1">Berechnung3!N36</f>
        <v/>
      </c>
      <c r="C31" s="261" t="str">
        <f ca="1">Berechnung3!O36</f>
        <v/>
      </c>
      <c r="D31" s="261" t="str">
        <f ca="1">Berechnung3!P36</f>
        <v/>
      </c>
    </row>
    <row r="32" spans="1:4" ht="27.75" customHeight="1">
      <c r="A32" s="262" t="str">
        <f ca="1">Berechnung3!L37</f>
        <v/>
      </c>
      <c r="B32" s="262" t="str">
        <f ca="1">Berechnung3!N37</f>
        <v/>
      </c>
      <c r="C32" s="261" t="str">
        <f ca="1">Berechnung3!O37</f>
        <v/>
      </c>
      <c r="D32" s="261" t="str">
        <f ca="1">Berechnung3!P37</f>
        <v/>
      </c>
    </row>
    <row r="33" spans="1:4" ht="27.75" customHeight="1">
      <c r="A33" s="262" t="str">
        <f ca="1">Berechnung3!L38</f>
        <v/>
      </c>
      <c r="B33" s="262" t="str">
        <f ca="1">Berechnung3!N38</f>
        <v/>
      </c>
      <c r="C33" s="261" t="str">
        <f ca="1">Berechnung3!O38</f>
        <v/>
      </c>
      <c r="D33" s="261" t="str">
        <f ca="1">Berechnung3!P38</f>
        <v/>
      </c>
    </row>
    <row r="34" spans="1:4" ht="27.75" customHeight="1">
      <c r="A34" s="262" t="str">
        <f ca="1">Berechnung3!L39</f>
        <v/>
      </c>
      <c r="B34" s="262" t="str">
        <f ca="1">Berechnung3!N39</f>
        <v/>
      </c>
      <c r="C34" s="261" t="str">
        <f ca="1">Berechnung3!O39</f>
        <v/>
      </c>
      <c r="D34" s="261" t="str">
        <f ca="1">Berechnung3!P39</f>
        <v/>
      </c>
    </row>
    <row r="35" spans="1:4" ht="27.75" customHeight="1">
      <c r="A35" s="262" t="str">
        <f ca="1">Berechnung3!L40</f>
        <v/>
      </c>
      <c r="B35" s="262" t="str">
        <f ca="1">Berechnung3!N40</f>
        <v/>
      </c>
      <c r="C35" s="261" t="str">
        <f ca="1">Berechnung3!O40</f>
        <v/>
      </c>
      <c r="D35" s="261" t="str">
        <f ca="1">Berechnung3!P40</f>
        <v/>
      </c>
    </row>
    <row r="36" spans="1:4" ht="27.75" customHeight="1">
      <c r="A36" s="262" t="str">
        <f ca="1">Berechnung3!L41</f>
        <v/>
      </c>
      <c r="B36" s="262" t="str">
        <f ca="1">Berechnung3!N41</f>
        <v/>
      </c>
      <c r="C36" s="261" t="str">
        <f ca="1">Berechnung3!O41</f>
        <v/>
      </c>
      <c r="D36" s="261" t="str">
        <f ca="1">Berechnung3!P41</f>
        <v/>
      </c>
    </row>
    <row r="37" spans="1:4" ht="27.75" customHeight="1">
      <c r="A37" s="262" t="str">
        <f ca="1">Berechnung3!L43</f>
        <v/>
      </c>
      <c r="B37" s="262" t="str">
        <f ca="1">Berechnung3!N43</f>
        <v/>
      </c>
      <c r="C37" s="261" t="str">
        <f ca="1">Berechnung3!O43</f>
        <v/>
      </c>
      <c r="D37" s="261" t="str">
        <f ca="1">Berechnung3!P43</f>
        <v/>
      </c>
    </row>
    <row r="38" spans="1:4" ht="27.75" customHeight="1">
      <c r="A38" s="262" t="str">
        <f ca="1">Berechnung3!L44</f>
        <v/>
      </c>
      <c r="B38" s="262" t="str">
        <f ca="1">Berechnung3!N44</f>
        <v/>
      </c>
      <c r="C38" s="261" t="str">
        <f ca="1">Berechnung3!O44</f>
        <v/>
      </c>
      <c r="D38" s="261" t="str">
        <f ca="1">Berechnung3!P44</f>
        <v/>
      </c>
    </row>
    <row r="39" spans="1:4" ht="27.75" customHeight="1">
      <c r="A39" s="262" t="str">
        <f ca="1">Berechnung3!L45</f>
        <v/>
      </c>
      <c r="B39" s="262" t="str">
        <f ca="1">Berechnung3!N45</f>
        <v/>
      </c>
      <c r="C39" s="261" t="str">
        <f ca="1">Berechnung3!O45</f>
        <v/>
      </c>
      <c r="D39" s="261" t="str">
        <f ca="1">Berechnung3!P45</f>
        <v/>
      </c>
    </row>
    <row r="40" spans="1:4" ht="27.75" customHeight="1">
      <c r="A40" s="262" t="str">
        <f ca="1">Berechnung3!L46</f>
        <v/>
      </c>
      <c r="B40" s="262" t="str">
        <f ca="1">Berechnung3!N46</f>
        <v/>
      </c>
      <c r="C40" s="261" t="str">
        <f ca="1">Berechnung3!O46</f>
        <v/>
      </c>
      <c r="D40" s="261" t="str">
        <f ca="1">Berechnung3!P46</f>
        <v/>
      </c>
    </row>
    <row r="41" spans="1:4" ht="27.75" customHeight="1">
      <c r="A41" s="262" t="str">
        <f ca="1">Berechnung3!L47</f>
        <v/>
      </c>
      <c r="B41" s="262" t="str">
        <f ca="1">Berechnung3!N47</f>
        <v/>
      </c>
      <c r="C41" s="261" t="str">
        <f ca="1">Berechnung3!O47</f>
        <v/>
      </c>
      <c r="D41" s="261" t="str">
        <f ca="1">Berechnung3!P47</f>
        <v/>
      </c>
    </row>
    <row r="42" spans="1:4" ht="27.75" customHeight="1">
      <c r="A42" s="262" t="str">
        <f ca="1">Berechnung3!L48</f>
        <v/>
      </c>
      <c r="B42" s="262" t="str">
        <f ca="1">Berechnung3!N48</f>
        <v/>
      </c>
      <c r="C42" s="261" t="str">
        <f ca="1">Berechnung3!O48</f>
        <v/>
      </c>
      <c r="D42" s="261" t="str">
        <f ca="1">Berechnung3!P48</f>
        <v/>
      </c>
    </row>
    <row r="43" spans="1:4" ht="27.75" customHeight="1">
      <c r="A43" s="262" t="str">
        <f ca="1">Berechnung3!L49</f>
        <v/>
      </c>
      <c r="B43" s="262" t="str">
        <f ca="1">Berechnung3!N49</f>
        <v/>
      </c>
      <c r="C43" s="261" t="str">
        <f ca="1">Berechnung3!O49</f>
        <v/>
      </c>
      <c r="D43" s="261" t="str">
        <f ca="1">Berechnung3!P49</f>
        <v/>
      </c>
    </row>
    <row r="44" spans="1:4" ht="27.75" customHeight="1">
      <c r="A44" s="262" t="str">
        <f ca="1">Berechnung3!L50</f>
        <v/>
      </c>
      <c r="B44" s="262" t="str">
        <f ca="1">Berechnung3!N50</f>
        <v/>
      </c>
      <c r="C44" s="261" t="str">
        <f ca="1">Berechnung3!O50</f>
        <v/>
      </c>
      <c r="D44" s="261" t="str">
        <f ca="1">Berechnung3!P50</f>
        <v/>
      </c>
    </row>
    <row r="45" spans="1:4" ht="27.75" customHeight="1">
      <c r="A45" s="262" t="str">
        <f ca="1">Berechnung3!L52</f>
        <v/>
      </c>
      <c r="B45" s="262" t="str">
        <f ca="1">Berechnung3!N52</f>
        <v/>
      </c>
      <c r="C45" s="261" t="str">
        <f ca="1">Berechnung3!O52</f>
        <v/>
      </c>
      <c r="D45" s="261" t="str">
        <f ca="1">Berechnung3!P52</f>
        <v/>
      </c>
    </row>
  </sheetData>
  <phoneticPr fontId="41"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17</vt:i4>
      </vt:variant>
    </vt:vector>
  </HeadingPairs>
  <TitlesOfParts>
    <vt:vector size="32" baseType="lpstr">
      <vt:lpstr>Basic Data</vt:lpstr>
      <vt:lpstr>HilfstabelleSD</vt:lpstr>
      <vt:lpstr>HilfstabelleB</vt:lpstr>
      <vt:lpstr>Datenquelle</vt:lpstr>
      <vt:lpstr>Indicators Sheet_(IS)</vt:lpstr>
      <vt:lpstr>Berechnung1</vt:lpstr>
      <vt:lpstr>HilfstabelleKB</vt:lpstr>
      <vt:lpstr>Datendefizite_KB</vt:lpstr>
      <vt:lpstr>Hilfstabelle Datendef KB</vt:lpstr>
      <vt:lpstr>Matrix</vt:lpstr>
      <vt:lpstr>Berechnung2</vt:lpstr>
      <vt:lpstr>Berechnung3</vt:lpstr>
      <vt:lpstr>Datendefizite_Matrix</vt:lpstr>
      <vt:lpstr>HilfstabelleM</vt:lpstr>
      <vt:lpstr>HilfstabelleDM</vt:lpstr>
      <vt:lpstr>'Basic Data'!Druckbereich</vt:lpstr>
      <vt:lpstr>Datendefizite_Matrix!Druckbereich</vt:lpstr>
      <vt:lpstr>'Indicators Sheet_(IS)'!Druckbereich</vt:lpstr>
      <vt:lpstr>Matrix!Druckbereich</vt:lpstr>
      <vt:lpstr>Druckbereich</vt:lpstr>
      <vt:lpstr>'Basic Data'!Drucktitel</vt:lpstr>
      <vt:lpstr>Datendefizite_KB!Drucktitel</vt:lpstr>
      <vt:lpstr>Datendefizite_Matrix!Drucktitel</vt:lpstr>
      <vt:lpstr>'Hilfstabelle Datendef KB'!Drucktitel</vt:lpstr>
      <vt:lpstr>'Indicators Sheet_(IS)'!Drucktitel</vt:lpstr>
      <vt:lpstr>Keine_Zusammenarbeit</vt:lpstr>
      <vt:lpstr>KlinischesKrebsregister</vt:lpstr>
      <vt:lpstr>KrebsregisterZusammenarbeit</vt:lpstr>
      <vt:lpstr>land</vt:lpstr>
      <vt:lpstr>myCategory</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Nele Grapentin</cp:lastModifiedBy>
  <cp:lastPrinted>2023-01-04T13:58:20Z</cp:lastPrinted>
  <dcterms:created xsi:type="dcterms:W3CDTF">2012-04-12T09:13:43Z</dcterms:created>
  <dcterms:modified xsi:type="dcterms:W3CDTF">2023-03-20T09:53:02Z</dcterms:modified>
</cp:coreProperties>
</file>