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comments6.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omments7.xml" ContentType="application/vnd.openxmlformats-officedocument.spreadsheetml.comments+xml"/>
  <Override PartName="/xl/drawings/drawing9.xml" ContentType="application/vnd.openxmlformats-officedocument.drawing+xml"/>
  <Override PartName="/xl/comments8.xml" ContentType="application/vnd.openxmlformats-officedocument.spreadsheetml.comments+xml"/>
  <Override PartName="/xl/drawings/drawing10.xml" ContentType="application/vnd.openxmlformats-officedocument.drawing+xml"/>
  <Override PartName="/xl/comments9.xml" ContentType="application/vnd.openxmlformats-officedocument.spreadsheetml.comments+xml"/>
  <Override PartName="/xl/drawings/drawing11.xml" ContentType="application/vnd.openxmlformats-officedocument.drawing+xml"/>
  <Override PartName="/xl/comments10.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updateLinks="never" codeName="ThisWorkbook" defaultThemeVersion="124226"/>
  <mc:AlternateContent xmlns:mc="http://schemas.openxmlformats.org/markup-compatibility/2006">
    <mc:Choice Requires="x15">
      <x15ac:absPath xmlns:x15ac="http://schemas.microsoft.com/office/spreadsheetml/2010/11/ac" url="L:\06_daten\09_excel-kennzahlenbögen\15_excel-kb auditjahr 2026\organe\viszeral\darm\"/>
    </mc:Choice>
  </mc:AlternateContent>
  <xr:revisionPtr revIDLastSave="0" documentId="13_ncr:1_{C7D12899-B5E4-4BE7-8D76-981BBB7E0E02}" xr6:coauthVersionLast="47" xr6:coauthVersionMax="47" xr10:uidLastSave="{00000000-0000-0000-0000-000000000000}"/>
  <workbookProtection workbookAlgorithmName="SHA-512" workbookHashValue="hriuKsvQUXn+DUKZgDVx6vCHhlXsd89HnSk6UYA3TBVKtsgv8pcvPKHFg75Qr83ohwOxuHMtGtTyJBqDWOyVVQ==" workbookSaltValue="IaKF5c3Vdv+xWcyCDqFN6w==" workbookSpinCount="100000" lockStructure="1"/>
  <bookViews>
    <workbookView xWindow="-120" yWindow="-120" windowWidth="29040" windowHeight="15840" tabRatio="819" xr2:uid="{00000000-000D-0000-FFFF-FFFF00000000}"/>
  </bookViews>
  <sheets>
    <sheet name="Basisdaten" sheetId="54" r:id="rId1"/>
    <sheet name="HilfstabelleB" sheetId="57" state="hidden" r:id="rId2"/>
    <sheet name="HilfstabelleSD" sheetId="59" state="hidden" r:id="rId3"/>
    <sheet name="Datenquelle" sheetId="53" state="hidden" r:id="rId4"/>
    <sheet name="Studien" sheetId="78" r:id="rId5"/>
    <sheet name="HilfstabelleStudien" sheetId="79" state="hidden" r:id="rId6"/>
    <sheet name="Untersucher" sheetId="81" r:id="rId7"/>
    <sheet name="Operateure" sheetId="82" r:id="rId8"/>
    <sheet name="Kennzahlenbogen_(KB)" sheetId="63" r:id="rId9"/>
    <sheet name="HilfstabelleKB" sheetId="66" state="hidden" r:id="rId10"/>
    <sheet name="Berechnung1" sheetId="62" state="hidden" r:id="rId11"/>
    <sheet name="Hilfstabelle DatendefKB" sheetId="73" state="hidden" r:id="rId12"/>
    <sheet name="Datendefizite_KB" sheetId="75" r:id="rId13"/>
    <sheet name="Kennzahlenbogen plus" sheetId="76" state="hidden" r:id="rId14"/>
    <sheet name="HilfstabellePlus" sheetId="77" state="hidden" r:id="rId15"/>
    <sheet name="Matrix-Kolon" sheetId="47" r:id="rId16"/>
    <sheet name="Berechnung2" sheetId="51" state="hidden" r:id="rId17"/>
    <sheet name="Berechnung3" sheetId="67" state="hidden" r:id="rId18"/>
    <sheet name="Datendefizite_Matrix-Kolon" sheetId="49" r:id="rId19"/>
    <sheet name="HilfstabelleDMK" sheetId="69" state="hidden" r:id="rId20"/>
    <sheet name="Matrix-Rektum" sheetId="48" r:id="rId21"/>
    <sheet name="Berechnung4" sheetId="52" state="hidden" r:id="rId22"/>
    <sheet name="Berechnung5" sheetId="68" state="hidden" r:id="rId23"/>
    <sheet name="Datendefizite_Matrix-Rektum" sheetId="50" r:id="rId24"/>
    <sheet name="HilfstabelleMR" sheetId="60" state="hidden" r:id="rId25"/>
    <sheet name="HilfstabelleDMR" sheetId="70" state="hidden" r:id="rId26"/>
    <sheet name="HilfstabelleMK" sheetId="58" state="hidden" r:id="rId27"/>
  </sheets>
  <externalReferences>
    <externalReference r:id="rId28"/>
  </externalReferences>
  <definedNames>
    <definedName name="_xlnm._FilterDatabase" localSheetId="16" hidden="1">Berechnung2!#REF!</definedName>
    <definedName name="_xlnm._FilterDatabase" localSheetId="21" hidden="1">Berechnung4!#REF!</definedName>
    <definedName name="_xlnm._FilterDatabase" localSheetId="3" hidden="1">Datenquelle!$A$47:$IF$382</definedName>
    <definedName name="_xlnm._FilterDatabase" localSheetId="14" hidden="1">HilfstabellePlus!$A$1:$D$181</definedName>
    <definedName name="Keine_Zusammenarbeit">Datenquelle!$B$36</definedName>
    <definedName name="KrebsregisterZusammenarbeit">Datenquelle!$B$35:$B$40</definedName>
    <definedName name="myItem" localSheetId="13">OFFSET([1]!myItemList,0,0,COUNTA([1]!myItemList),1)</definedName>
    <definedName name="myItem">OFFSET(myItemList,0,0,COUNTA(myItemList),1)</definedName>
    <definedName name="myItemList">INDEX(Datenquelle!#REF!,0,MATCH(Datenquelle!$D$45,Datenquelle!#REF!,0))</definedName>
    <definedName name="OncoBox">Datenquelle!$B$30:$B$31</definedName>
    <definedName name="_xlnm.Print_Area" localSheetId="0">Basisdaten!$A$1:$H$33</definedName>
    <definedName name="_xlnm.Print_Area" localSheetId="12">OFFSET(Datendefizite_KB!$A$1,0,0,SUMPRODUCT((Datendefizite_KB!$A$14:$A$45&lt;&gt;"")+0)+13,11)</definedName>
    <definedName name="_xlnm.Print_Area" localSheetId="8">'Kennzahlenbogen_(KB)'!$A$1:$P$116</definedName>
    <definedName name="_xlnm.Print_Area" localSheetId="15">'Matrix-Kolon'!$A$1:$AA$80</definedName>
    <definedName name="_xlnm.Print_Area" localSheetId="20">'Matrix-Rektum'!$A$1:$AA$80</definedName>
    <definedName name="_xlnm.Print_Area" localSheetId="7">Operateure!$A$1:$H$22</definedName>
    <definedName name="_xlnm.Print_Area" localSheetId="4">Studien!$A$1:$E$40</definedName>
    <definedName name="_xlnm.Print_Area" localSheetId="6">Untersucher!$A$1:$H$22</definedName>
    <definedName name="_xlnm.Print_Titles" localSheetId="12">Datendefizite_KB!$12:$13</definedName>
    <definedName name="_xlnm.Print_Titles" localSheetId="18">'Datendefizite_Matrix-Kolon'!$1:$18</definedName>
    <definedName name="_xlnm.Print_Titles" localSheetId="23">'Datendefizite_Matrix-Rektum'!$1:$18</definedName>
    <definedName name="_xlnm.Print_Titles" localSheetId="11">'Hilfstabelle DatendefKB'!$1:$1</definedName>
    <definedName name="_xlnm.Print_Titles" localSheetId="13">'Kennzahlenbogen plus'!$1:$9</definedName>
    <definedName name="_xlnm.Print_Titles" localSheetId="8">'Kennzahlenbogen_(KB)'!$6:$7</definedName>
    <definedName name="Tumordokumentation">Datenquelle!$B$1:$B$26</definedName>
    <definedName name="Zentrum">Datenquelle!$A$48:$A$382</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52" i="68" l="1"/>
  <c r="E51" i="68"/>
  <c r="E45" i="68"/>
  <c r="E44" i="68"/>
  <c r="E52" i="67"/>
  <c r="E51" i="67"/>
  <c r="E45" i="67"/>
  <c r="E44" i="67"/>
  <c r="F6" i="59"/>
  <c r="E6" i="59"/>
  <c r="O100" i="63"/>
  <c r="G23" i="82" l="1"/>
  <c r="F23" i="82"/>
  <c r="A2" i="82" l="1"/>
  <c r="A2" i="81"/>
  <c r="A2" i="78"/>
  <c r="J40" i="78"/>
  <c r="I40" i="78"/>
  <c r="J39" i="78"/>
  <c r="I39" i="78"/>
  <c r="K39" i="78" s="1"/>
  <c r="B30" i="79" s="1"/>
  <c r="J38" i="78"/>
  <c r="I38" i="78"/>
  <c r="J37" i="78"/>
  <c r="I37" i="78"/>
  <c r="K37" i="78" s="1"/>
  <c r="J36" i="78"/>
  <c r="I36" i="78"/>
  <c r="J35" i="78"/>
  <c r="I35" i="78"/>
  <c r="J34" i="78"/>
  <c r="I34" i="78"/>
  <c r="K34" i="78" s="1"/>
  <c r="J33" i="78"/>
  <c r="I33" i="78"/>
  <c r="K33" i="78" s="1"/>
  <c r="D24" i="79" s="1"/>
  <c r="J32" i="78"/>
  <c r="I32" i="78"/>
  <c r="J31" i="78"/>
  <c r="I31" i="78"/>
  <c r="K31" i="78" s="1"/>
  <c r="J30" i="78"/>
  <c r="I30" i="78"/>
  <c r="K30" i="78" s="1"/>
  <c r="B21" i="79" s="1"/>
  <c r="J29" i="78"/>
  <c r="I29" i="78"/>
  <c r="J28" i="78"/>
  <c r="I28" i="78"/>
  <c r="J27" i="78"/>
  <c r="I27" i="78"/>
  <c r="K27" i="78" s="1"/>
  <c r="J26" i="78"/>
  <c r="I26" i="78"/>
  <c r="J25" i="78"/>
  <c r="I25" i="78"/>
  <c r="J24" i="78"/>
  <c r="I24" i="78"/>
  <c r="K24" i="78" s="1"/>
  <c r="J23" i="78"/>
  <c r="I23" i="78"/>
  <c r="K23" i="78" s="1"/>
  <c r="D14" i="79" s="1"/>
  <c r="J22" i="78"/>
  <c r="I22" i="78"/>
  <c r="J21" i="78"/>
  <c r="I21" i="78"/>
  <c r="K21" i="78" s="1"/>
  <c r="J20" i="78"/>
  <c r="I20" i="78"/>
  <c r="K20" i="78" s="1"/>
  <c r="B11" i="79" s="1"/>
  <c r="J19" i="78"/>
  <c r="I19" i="78"/>
  <c r="K19" i="78" s="1"/>
  <c r="J18" i="78"/>
  <c r="I18" i="78"/>
  <c r="J17" i="78"/>
  <c r="I17" i="78"/>
  <c r="K17" i="78" s="1"/>
  <c r="J16" i="78"/>
  <c r="I16" i="78"/>
  <c r="J15" i="78"/>
  <c r="I15" i="78"/>
  <c r="J14" i="78"/>
  <c r="I14" i="78"/>
  <c r="K14" i="78" s="1"/>
  <c r="J13" i="78"/>
  <c r="I13" i="78"/>
  <c r="K13" i="78" s="1"/>
  <c r="D4" i="79" s="1"/>
  <c r="J12" i="78"/>
  <c r="I12" i="78"/>
  <c r="J11" i="78"/>
  <c r="I11" i="78"/>
  <c r="K28" i="78" l="1"/>
  <c r="K38" i="78"/>
  <c r="K40" i="78"/>
  <c r="B31" i="79" s="1"/>
  <c r="K25" i="78"/>
  <c r="E16" i="79" s="1"/>
  <c r="K32" i="78"/>
  <c r="E23" i="79" s="1"/>
  <c r="K18" i="78"/>
  <c r="C9" i="79" s="1"/>
  <c r="K11" i="78"/>
  <c r="E2" i="79" s="1"/>
  <c r="A11" i="79"/>
  <c r="K29" i="78"/>
  <c r="A30" i="79"/>
  <c r="C23" i="79"/>
  <c r="E22" i="79"/>
  <c r="D22" i="79"/>
  <c r="K36" i="78"/>
  <c r="E12" i="79"/>
  <c r="B23" i="79"/>
  <c r="A23" i="79"/>
  <c r="E15" i="79"/>
  <c r="A15" i="79"/>
  <c r="C14" i="79"/>
  <c r="B14" i="79"/>
  <c r="K22" i="78"/>
  <c r="A14" i="79"/>
  <c r="E5" i="79"/>
  <c r="C24" i="79"/>
  <c r="B24" i="79"/>
  <c r="K15" i="78"/>
  <c r="A24" i="79"/>
  <c r="D5" i="79"/>
  <c r="K16" i="78"/>
  <c r="K26" i="78"/>
  <c r="K35" i="78"/>
  <c r="D23" i="79"/>
  <c r="C5" i="79"/>
  <c r="E10" i="79"/>
  <c r="D10" i="79"/>
  <c r="C10" i="79"/>
  <c r="A21" i="79"/>
  <c r="B10" i="79"/>
  <c r="A10" i="79"/>
  <c r="E30" i="79"/>
  <c r="D30" i="79"/>
  <c r="D15" i="79"/>
  <c r="B5" i="79"/>
  <c r="C30" i="79"/>
  <c r="C15" i="79"/>
  <c r="A5" i="79"/>
  <c r="B15" i="79"/>
  <c r="C4" i="79"/>
  <c r="E25" i="79"/>
  <c r="D25" i="79"/>
  <c r="C25" i="79"/>
  <c r="B25" i="79"/>
  <c r="A25" i="79"/>
  <c r="B4" i="79"/>
  <c r="A31" i="79"/>
  <c r="A4" i="79"/>
  <c r="K12" i="78"/>
  <c r="A8" i="79"/>
  <c r="B8" i="79"/>
  <c r="C8" i="79"/>
  <c r="D8" i="79"/>
  <c r="E8" i="79"/>
  <c r="A18" i="79"/>
  <c r="B18" i="79"/>
  <c r="C18" i="79"/>
  <c r="D18" i="79"/>
  <c r="E18" i="79"/>
  <c r="E29" i="79"/>
  <c r="E19" i="79"/>
  <c r="D29" i="79"/>
  <c r="D19" i="79"/>
  <c r="D9" i="79"/>
  <c r="C29" i="79"/>
  <c r="C19" i="79"/>
  <c r="B29" i="79"/>
  <c r="B19" i="79"/>
  <c r="D12" i="79"/>
  <c r="B9" i="79"/>
  <c r="A29" i="79"/>
  <c r="C22" i="79"/>
  <c r="A19" i="79"/>
  <c r="C12" i="79"/>
  <c r="B22" i="79"/>
  <c r="B12" i="79"/>
  <c r="E28" i="79"/>
  <c r="A22" i="79"/>
  <c r="A12" i="79"/>
  <c r="D28" i="79"/>
  <c r="E31" i="79"/>
  <c r="C28" i="79"/>
  <c r="E21" i="79"/>
  <c r="E11" i="79"/>
  <c r="D31" i="79"/>
  <c r="B28" i="79"/>
  <c r="D21" i="79"/>
  <c r="D11" i="79"/>
  <c r="C31" i="79"/>
  <c r="A28" i="79"/>
  <c r="E24" i="79"/>
  <c r="C21" i="79"/>
  <c r="E14" i="79"/>
  <c r="C11" i="79"/>
  <c r="E4" i="79"/>
  <c r="E9" i="79" l="1"/>
  <c r="A9" i="79"/>
  <c r="B2" i="79"/>
  <c r="D2" i="79"/>
  <c r="C2" i="79"/>
  <c r="D16" i="79"/>
  <c r="A16" i="79"/>
  <c r="B16" i="79"/>
  <c r="C16" i="79"/>
  <c r="A2" i="79"/>
  <c r="D20" i="79"/>
  <c r="C20" i="79"/>
  <c r="B27" i="79"/>
  <c r="B17" i="79"/>
  <c r="C7" i="79"/>
  <c r="B7" i="79"/>
  <c r="A6" i="79"/>
  <c r="B3" i="79"/>
  <c r="A20" i="79"/>
  <c r="E20" i="79"/>
  <c r="B20" i="79"/>
  <c r="A27" i="79"/>
  <c r="D27" i="79"/>
  <c r="E27" i="79"/>
  <c r="C27" i="79"/>
  <c r="C13" i="79"/>
  <c r="D13" i="79"/>
  <c r="E17" i="79"/>
  <c r="B6" i="79"/>
  <c r="A7" i="79"/>
  <c r="C6" i="79"/>
  <c r="D17" i="79"/>
  <c r="D6" i="79"/>
  <c r="D7" i="79"/>
  <c r="D26" i="79"/>
  <c r="A13" i="79"/>
  <c r="E7" i="79"/>
  <c r="C26" i="79"/>
  <c r="B26" i="79"/>
  <c r="A26" i="79"/>
  <c r="E6" i="79"/>
  <c r="E26" i="79"/>
  <c r="B13" i="79"/>
  <c r="A17" i="79"/>
  <c r="C17" i="79"/>
  <c r="E13" i="79"/>
  <c r="E3" i="79"/>
  <c r="D3" i="79"/>
  <c r="C3" i="79"/>
  <c r="E5" i="78"/>
  <c r="O26" i="63" s="1"/>
  <c r="A3" i="79"/>
  <c r="S13" i="63"/>
  <c r="C6" i="59"/>
  <c r="B6" i="59"/>
  <c r="M1" i="58" l="1"/>
  <c r="M1" i="60"/>
  <c r="O80" i="63" l="1"/>
  <c r="O22" i="63" l="1"/>
  <c r="P20" i="63" s="1"/>
  <c r="M37" i="62" l="1"/>
  <c r="A6" i="73"/>
  <c r="S1" i="58"/>
  <c r="S1" i="60"/>
  <c r="O1" i="58"/>
  <c r="H1" i="58"/>
  <c r="O1" i="60"/>
  <c r="H1" i="60"/>
  <c r="P77" i="63"/>
  <c r="M94" i="62" s="1"/>
  <c r="O103" i="63"/>
  <c r="P101" i="63" s="1"/>
  <c r="A33" i="73" s="1"/>
  <c r="J6" i="73" l="1"/>
  <c r="F6" i="73"/>
  <c r="M6" i="73"/>
  <c r="E6" i="73"/>
  <c r="C6" i="73"/>
  <c r="L6" i="73"/>
  <c r="H6" i="73"/>
  <c r="D6" i="73"/>
  <c r="K6" i="73"/>
  <c r="G6" i="73"/>
  <c r="C33" i="73"/>
  <c r="F33" i="73"/>
  <c r="H33" i="73"/>
  <c r="M33" i="73"/>
  <c r="L33" i="73"/>
  <c r="M118" i="62"/>
  <c r="A25" i="73"/>
  <c r="M25" i="73" s="1"/>
  <c r="J33" i="73"/>
  <c r="E33" i="73"/>
  <c r="D33" i="73"/>
  <c r="K33" i="73"/>
  <c r="G33" i="73"/>
  <c r="P80" i="63"/>
  <c r="H25" i="73" l="1"/>
  <c r="D25" i="73"/>
  <c r="E25" i="73"/>
  <c r="C25" i="73"/>
  <c r="K25" i="73"/>
  <c r="I25" i="73"/>
  <c r="L25" i="73"/>
  <c r="G25" i="73"/>
  <c r="A26" i="73"/>
  <c r="M97" i="62"/>
  <c r="F25" i="73"/>
  <c r="J25" i="73"/>
  <c r="H30" i="54"/>
  <c r="H29" i="54"/>
  <c r="E26" i="73" l="1"/>
  <c r="J26" i="73"/>
  <c r="M26" i="73"/>
  <c r="K26" i="73"/>
  <c r="D26" i="73"/>
  <c r="F26" i="73"/>
  <c r="G26" i="73"/>
  <c r="L26" i="73"/>
  <c r="I26" i="73"/>
  <c r="C26" i="73"/>
  <c r="H26" i="73"/>
  <c r="B12" i="66"/>
  <c r="G13" i="66"/>
  <c r="G12" i="66"/>
  <c r="F13" i="66"/>
  <c r="F12" i="66"/>
  <c r="G43" i="66" l="1"/>
  <c r="F43" i="66"/>
  <c r="B43" i="66"/>
  <c r="O118" i="62"/>
  <c r="H43" i="66" s="1"/>
  <c r="C13" i="66"/>
  <c r="B13" i="66"/>
  <c r="P8" i="63"/>
  <c r="M25" i="62" l="1"/>
  <c r="N25" i="62" s="1"/>
  <c r="E12" i="66" s="1"/>
  <c r="A2" i="73"/>
  <c r="L118" i="62"/>
  <c r="D43" i="66"/>
  <c r="O15" i="63"/>
  <c r="L25" i="62"/>
  <c r="O25" i="62"/>
  <c r="H12" i="66" s="1"/>
  <c r="N118" i="62" l="1"/>
  <c r="E43" i="66" s="1"/>
  <c r="M2" i="73"/>
  <c r="I2" i="73"/>
  <c r="K2" i="73"/>
  <c r="G2" i="73"/>
  <c r="D2" i="73"/>
  <c r="E2" i="73"/>
  <c r="J2" i="73"/>
  <c r="H2" i="73"/>
  <c r="L2" i="73"/>
  <c r="C2" i="73"/>
  <c r="F2" i="73"/>
  <c r="B8" i="58"/>
  <c r="D8" i="58"/>
  <c r="E8" i="58"/>
  <c r="F8" i="58"/>
  <c r="G8" i="58"/>
  <c r="H8" i="58"/>
  <c r="I8" i="58"/>
  <c r="J8" i="58"/>
  <c r="K8" i="58"/>
  <c r="L8" i="58"/>
  <c r="M8" i="58"/>
  <c r="N8" i="58"/>
  <c r="O8" i="58"/>
  <c r="P8" i="58"/>
  <c r="Q8" i="58"/>
  <c r="R8" i="58"/>
  <c r="S8" i="58"/>
  <c r="T8" i="58"/>
  <c r="U8" i="58"/>
  <c r="V8" i="58"/>
  <c r="W8" i="58"/>
  <c r="B8" i="60"/>
  <c r="D8" i="60"/>
  <c r="E8" i="60"/>
  <c r="F8" i="60"/>
  <c r="G8" i="60"/>
  <c r="H8" i="60"/>
  <c r="I8" i="60"/>
  <c r="J8" i="60"/>
  <c r="K8" i="60"/>
  <c r="L8" i="60"/>
  <c r="M8" i="60"/>
  <c r="N8" i="60"/>
  <c r="O8" i="60"/>
  <c r="P8" i="60"/>
  <c r="Q8" i="60"/>
  <c r="R8" i="60"/>
  <c r="S8" i="60"/>
  <c r="T8" i="60"/>
  <c r="U8" i="60"/>
  <c r="V8" i="60"/>
  <c r="W8" i="60"/>
  <c r="L94" i="62" l="1"/>
  <c r="O27" i="48" l="1"/>
  <c r="I27" i="48"/>
  <c r="M27" i="48" s="1"/>
  <c r="O27" i="47"/>
  <c r="I27" i="47"/>
  <c r="M27" i="47" s="1"/>
  <c r="I26" i="47"/>
  <c r="S48" i="63" l="1"/>
  <c r="O47" i="63" s="1"/>
  <c r="L64" i="62" s="1"/>
  <c r="F52" i="68" l="1"/>
  <c r="G52" i="68"/>
  <c r="I52" i="68"/>
  <c r="J52" i="68"/>
  <c r="F45" i="68"/>
  <c r="G45" i="68"/>
  <c r="I45" i="68"/>
  <c r="J45" i="68"/>
  <c r="Q80" i="48"/>
  <c r="Q75" i="48"/>
  <c r="C29" i="48"/>
  <c r="C8" i="60" s="1"/>
  <c r="F52" i="67" l="1"/>
  <c r="G52" i="67"/>
  <c r="I52" i="67"/>
  <c r="J52" i="67"/>
  <c r="F45" i="67"/>
  <c r="G45" i="67"/>
  <c r="I45" i="67"/>
  <c r="J45" i="67"/>
  <c r="Q80" i="47"/>
  <c r="Q75" i="47"/>
  <c r="C29" i="47"/>
  <c r="C8" i="58" s="1"/>
  <c r="C28" i="54"/>
  <c r="G28" i="54" l="1"/>
  <c r="B35" i="66" l="1"/>
  <c r="L97" i="62" l="1"/>
  <c r="O88" i="63" l="1"/>
  <c r="B24" i="66"/>
  <c r="P86" i="63" l="1"/>
  <c r="D38" i="66"/>
  <c r="G42" i="66"/>
  <c r="G41" i="66"/>
  <c r="G40" i="66"/>
  <c r="G39" i="66"/>
  <c r="G38" i="66"/>
  <c r="G37" i="66"/>
  <c r="G36" i="66"/>
  <c r="G35" i="66"/>
  <c r="G34" i="66"/>
  <c r="G33" i="66"/>
  <c r="G32" i="66"/>
  <c r="G31" i="66"/>
  <c r="G30" i="66"/>
  <c r="G29" i="66"/>
  <c r="G28" i="66"/>
  <c r="G27" i="66"/>
  <c r="G26" i="66"/>
  <c r="G25" i="66"/>
  <c r="G24" i="66"/>
  <c r="G23" i="66"/>
  <c r="G22" i="66"/>
  <c r="G21" i="66"/>
  <c r="G20" i="66"/>
  <c r="G19" i="66"/>
  <c r="G18" i="66"/>
  <c r="G17" i="66"/>
  <c r="G16" i="66"/>
  <c r="G15" i="66"/>
  <c r="G14" i="66"/>
  <c r="F25" i="66"/>
  <c r="F24" i="66"/>
  <c r="F42" i="66"/>
  <c r="F41" i="66"/>
  <c r="F40" i="66"/>
  <c r="F39" i="66"/>
  <c r="F38" i="66"/>
  <c r="F37" i="66"/>
  <c r="F36" i="66"/>
  <c r="F35" i="66"/>
  <c r="F34" i="66"/>
  <c r="F33" i="66"/>
  <c r="F32" i="66"/>
  <c r="F31" i="66"/>
  <c r="F30" i="66"/>
  <c r="F29" i="66"/>
  <c r="F28" i="66"/>
  <c r="F27" i="66"/>
  <c r="F26" i="66"/>
  <c r="F23" i="66"/>
  <c r="F22" i="66"/>
  <c r="F21" i="66"/>
  <c r="F20" i="66"/>
  <c r="F19" i="66"/>
  <c r="F18" i="66"/>
  <c r="F17" i="66"/>
  <c r="F16" i="66"/>
  <c r="F15" i="66"/>
  <c r="F14" i="66"/>
  <c r="N94" i="62"/>
  <c r="M103" i="62" l="1"/>
  <c r="A28" i="73"/>
  <c r="J28" i="73" s="1"/>
  <c r="O40" i="63"/>
  <c r="P38" i="63" l="1"/>
  <c r="I28" i="73"/>
  <c r="M28" i="73"/>
  <c r="C28" i="73"/>
  <c r="H28" i="73"/>
  <c r="G28" i="73"/>
  <c r="L28" i="73"/>
  <c r="D28" i="73"/>
  <c r="E28" i="73"/>
  <c r="F28" i="73"/>
  <c r="K28" i="73"/>
  <c r="D22" i="66"/>
  <c r="O88" i="62"/>
  <c r="O31" i="62"/>
  <c r="O34" i="62"/>
  <c r="O37" i="62"/>
  <c r="O40" i="62"/>
  <c r="O43" i="62"/>
  <c r="O46" i="62"/>
  <c r="O49" i="62"/>
  <c r="O52" i="62"/>
  <c r="O55" i="62"/>
  <c r="H22" i="66" s="1"/>
  <c r="O58" i="62"/>
  <c r="H23" i="66" s="1"/>
  <c r="O61" i="62"/>
  <c r="H24" i="66" s="1"/>
  <c r="O64" i="62"/>
  <c r="H25" i="66" s="1"/>
  <c r="O67" i="62"/>
  <c r="H26" i="66" s="1"/>
  <c r="O70" i="62"/>
  <c r="H27" i="66" s="1"/>
  <c r="O73" i="62"/>
  <c r="H28" i="66" s="1"/>
  <c r="O76" i="62"/>
  <c r="H29" i="66" s="1"/>
  <c r="O79" i="62"/>
  <c r="H30" i="66" s="1"/>
  <c r="O82" i="62"/>
  <c r="H31" i="66" s="1"/>
  <c r="O85" i="62"/>
  <c r="O91" i="62"/>
  <c r="O94" i="62"/>
  <c r="H35" i="66" s="1"/>
  <c r="O97" i="62"/>
  <c r="H36" i="66" s="1"/>
  <c r="O100" i="62"/>
  <c r="H37" i="66" s="1"/>
  <c r="N103" i="62"/>
  <c r="E38" i="66" s="1"/>
  <c r="O103" i="62"/>
  <c r="H38" i="66" s="1"/>
  <c r="O106" i="62"/>
  <c r="H39" i="66" s="1"/>
  <c r="O109" i="62"/>
  <c r="H40" i="66" s="1"/>
  <c r="O112" i="62"/>
  <c r="H41" i="66" s="1"/>
  <c r="O115" i="62"/>
  <c r="H42" i="66" s="1"/>
  <c r="L55" i="62"/>
  <c r="C41" i="66"/>
  <c r="C40" i="66"/>
  <c r="C39" i="66"/>
  <c r="C38" i="66"/>
  <c r="C37" i="66"/>
  <c r="C36" i="66"/>
  <c r="C35" i="66"/>
  <c r="C30" i="66"/>
  <c r="C29" i="66"/>
  <c r="C24" i="66"/>
  <c r="C23" i="66"/>
  <c r="C22" i="66"/>
  <c r="C14" i="66"/>
  <c r="C20" i="66"/>
  <c r="C21" i="66"/>
  <c r="C25" i="66"/>
  <c r="C33" i="66"/>
  <c r="C34" i="66"/>
  <c r="B42" i="66"/>
  <c r="B41" i="66"/>
  <c r="B40" i="66"/>
  <c r="B39" i="66"/>
  <c r="B38" i="66"/>
  <c r="B37" i="66"/>
  <c r="B31" i="66"/>
  <c r="B30" i="66"/>
  <c r="B29" i="66"/>
  <c r="B28" i="66"/>
  <c r="B27" i="66"/>
  <c r="B14" i="66"/>
  <c r="B15" i="66"/>
  <c r="B16" i="66"/>
  <c r="B17" i="66"/>
  <c r="B18" i="66"/>
  <c r="B19" i="66"/>
  <c r="B20" i="66"/>
  <c r="B21" i="66"/>
  <c r="B22" i="66"/>
  <c r="B23" i="66"/>
  <c r="B32" i="66"/>
  <c r="B33" i="66"/>
  <c r="B34" i="66"/>
  <c r="A12" i="73" l="1"/>
  <c r="J12" i="73" s="1"/>
  <c r="M55" i="62"/>
  <c r="N55" i="62" s="1"/>
  <c r="E22" i="66" s="1"/>
  <c r="E35" i="66"/>
  <c r="M12" i="73" l="1"/>
  <c r="C12" i="73"/>
  <c r="D12" i="73"/>
  <c r="E12" i="73"/>
  <c r="F12" i="73"/>
  <c r="G12" i="73"/>
  <c r="H12" i="73"/>
  <c r="I12" i="73"/>
  <c r="K12" i="73"/>
  <c r="L12" i="73"/>
  <c r="L103" i="62"/>
  <c r="A2" i="48"/>
  <c r="A2" i="47"/>
  <c r="A2" i="76"/>
  <c r="A2" i="63"/>
  <c r="D181" i="77" l="1"/>
  <c r="C181" i="77"/>
  <c r="D178" i="77"/>
  <c r="C178" i="77"/>
  <c r="D175" i="77"/>
  <c r="C175" i="77"/>
  <c r="D172" i="77"/>
  <c r="C172" i="77"/>
  <c r="D169" i="77"/>
  <c r="C169" i="77"/>
  <c r="D166" i="77"/>
  <c r="C166" i="77"/>
  <c r="D163" i="77"/>
  <c r="C163" i="77"/>
  <c r="D160" i="77"/>
  <c r="C160" i="77"/>
  <c r="D157" i="77"/>
  <c r="C157" i="77"/>
  <c r="D154" i="77"/>
  <c r="C154" i="77"/>
  <c r="D151" i="77"/>
  <c r="C151" i="77"/>
  <c r="D148" i="77"/>
  <c r="C148" i="77"/>
  <c r="D145" i="77"/>
  <c r="C145" i="77"/>
  <c r="D142" i="77"/>
  <c r="C142" i="77"/>
  <c r="D139" i="77"/>
  <c r="C139" i="77"/>
  <c r="D136" i="77"/>
  <c r="C136" i="77"/>
  <c r="D133" i="77"/>
  <c r="C133" i="77"/>
  <c r="D130" i="77"/>
  <c r="C130" i="77"/>
  <c r="D127" i="77"/>
  <c r="C127" i="77"/>
  <c r="D124" i="77"/>
  <c r="C124" i="77"/>
  <c r="D121" i="77"/>
  <c r="C121" i="77"/>
  <c r="D118" i="77"/>
  <c r="C118" i="77"/>
  <c r="D115" i="77"/>
  <c r="C115" i="77"/>
  <c r="D112" i="77"/>
  <c r="C112" i="77"/>
  <c r="D109" i="77"/>
  <c r="C109" i="77"/>
  <c r="D106" i="77"/>
  <c r="C106" i="77"/>
  <c r="D103" i="77"/>
  <c r="C103" i="77"/>
  <c r="D100" i="77"/>
  <c r="C100" i="77"/>
  <c r="D97" i="77"/>
  <c r="C97" i="77"/>
  <c r="D94" i="77"/>
  <c r="C94" i="77"/>
  <c r="D91" i="77"/>
  <c r="C91" i="77"/>
  <c r="D88" i="77"/>
  <c r="C88" i="77"/>
  <c r="D85" i="77"/>
  <c r="C85" i="77"/>
  <c r="D82" i="77"/>
  <c r="C82" i="77"/>
  <c r="D79" i="77"/>
  <c r="C79" i="77"/>
  <c r="D76" i="77"/>
  <c r="C76" i="77"/>
  <c r="D73" i="77"/>
  <c r="C73" i="77"/>
  <c r="D70" i="77"/>
  <c r="C70" i="77"/>
  <c r="D67" i="77"/>
  <c r="C67" i="77"/>
  <c r="D64" i="77"/>
  <c r="C64" i="77"/>
  <c r="D61" i="77"/>
  <c r="C61" i="77"/>
  <c r="D58" i="77"/>
  <c r="C58" i="77"/>
  <c r="D55" i="77"/>
  <c r="C55" i="77"/>
  <c r="D52" i="77"/>
  <c r="C52" i="77"/>
  <c r="D49" i="77"/>
  <c r="C49" i="77"/>
  <c r="D46" i="77"/>
  <c r="C46" i="77"/>
  <c r="D43" i="77"/>
  <c r="C43" i="77"/>
  <c r="D40" i="77"/>
  <c r="C40" i="77"/>
  <c r="D37" i="77"/>
  <c r="C37" i="77"/>
  <c r="D34" i="77"/>
  <c r="C34" i="77"/>
  <c r="D31" i="77"/>
  <c r="C31" i="77"/>
  <c r="D28" i="77"/>
  <c r="C28" i="77"/>
  <c r="D25" i="77"/>
  <c r="C25" i="77"/>
  <c r="D22" i="77"/>
  <c r="C22" i="77"/>
  <c r="C19" i="77"/>
  <c r="D19" i="77"/>
  <c r="D13" i="77" l="1"/>
  <c r="C13" i="77"/>
  <c r="D16" i="77"/>
  <c r="C16" i="77"/>
  <c r="D7" i="77" l="1"/>
  <c r="D10" i="77"/>
  <c r="C10" i="77"/>
  <c r="C7" i="77"/>
  <c r="C4" i="77"/>
  <c r="D4" i="77" l="1"/>
  <c r="C3" i="77"/>
  <c r="C72" i="77" l="1"/>
  <c r="D72" i="77"/>
  <c r="C74" i="77"/>
  <c r="D74" i="77"/>
  <c r="C75" i="77"/>
  <c r="D75" i="77"/>
  <c r="C77" i="77"/>
  <c r="D77" i="77"/>
  <c r="C78" i="77"/>
  <c r="D78" i="77"/>
  <c r="C80" i="77"/>
  <c r="D80" i="77"/>
  <c r="C81" i="77"/>
  <c r="D81" i="77"/>
  <c r="C83" i="77"/>
  <c r="D83" i="77"/>
  <c r="C84" i="77"/>
  <c r="D84" i="77"/>
  <c r="C86" i="77"/>
  <c r="D86" i="77"/>
  <c r="C87" i="77"/>
  <c r="D87" i="77"/>
  <c r="C89" i="77"/>
  <c r="D89" i="77"/>
  <c r="C90" i="77"/>
  <c r="D90" i="77"/>
  <c r="C92" i="77"/>
  <c r="D92" i="77"/>
  <c r="C93" i="77"/>
  <c r="D93" i="77"/>
  <c r="C95" i="77"/>
  <c r="D95" i="77"/>
  <c r="C96" i="77"/>
  <c r="D96" i="77"/>
  <c r="C98" i="77"/>
  <c r="D98" i="77"/>
  <c r="C99" i="77"/>
  <c r="D99" i="77"/>
  <c r="C101" i="77"/>
  <c r="D101" i="77"/>
  <c r="C102" i="77"/>
  <c r="D102" i="77"/>
  <c r="C104" i="77"/>
  <c r="D104" i="77"/>
  <c r="C105" i="77"/>
  <c r="D105" i="77"/>
  <c r="C107" i="77"/>
  <c r="D107" i="77"/>
  <c r="C108" i="77"/>
  <c r="D108" i="77"/>
  <c r="D180" i="77"/>
  <c r="C180" i="77"/>
  <c r="D177" i="77"/>
  <c r="C177" i="77"/>
  <c r="D174" i="77"/>
  <c r="C174" i="77"/>
  <c r="D171" i="77"/>
  <c r="D168" i="77"/>
  <c r="C171" i="77"/>
  <c r="C168" i="77"/>
  <c r="C165" i="77"/>
  <c r="D165" i="77"/>
  <c r="C162" i="77"/>
  <c r="D162" i="77"/>
  <c r="D159" i="77"/>
  <c r="D156" i="77"/>
  <c r="C159" i="77"/>
  <c r="C156" i="77"/>
  <c r="D153" i="77"/>
  <c r="C153" i="77"/>
  <c r="D150" i="77"/>
  <c r="C150" i="77"/>
  <c r="D147" i="77"/>
  <c r="C147" i="77"/>
  <c r="C146" i="77"/>
  <c r="D149" i="77"/>
  <c r="D152" i="77"/>
  <c r="D155" i="77"/>
  <c r="D158" i="77"/>
  <c r="D161" i="77"/>
  <c r="D164" i="77"/>
  <c r="D167" i="77"/>
  <c r="D170" i="77"/>
  <c r="D173" i="77"/>
  <c r="D176" i="77"/>
  <c r="D179" i="77"/>
  <c r="C179" i="77"/>
  <c r="C176" i="77"/>
  <c r="C173" i="77"/>
  <c r="C170" i="77"/>
  <c r="C167" i="77"/>
  <c r="C164" i="77"/>
  <c r="C161" i="77"/>
  <c r="C158" i="77"/>
  <c r="C155" i="77"/>
  <c r="C152" i="77"/>
  <c r="C149" i="77"/>
  <c r="D146" i="77"/>
  <c r="C144" i="77"/>
  <c r="D144" i="77"/>
  <c r="D141" i="77"/>
  <c r="C141" i="77"/>
  <c r="D138" i="77"/>
  <c r="C138" i="77"/>
  <c r="D135" i="77"/>
  <c r="C135" i="77"/>
  <c r="D132" i="77"/>
  <c r="C132" i="77"/>
  <c r="C129" i="77"/>
  <c r="D129" i="77"/>
  <c r="D126" i="77"/>
  <c r="C126" i="77"/>
  <c r="D123" i="77"/>
  <c r="C123" i="77"/>
  <c r="D120" i="77"/>
  <c r="C120" i="77"/>
  <c r="D117" i="77"/>
  <c r="D114" i="77"/>
  <c r="C117" i="77"/>
  <c r="C114" i="77"/>
  <c r="C111" i="77"/>
  <c r="D111" i="77"/>
  <c r="C110" i="77"/>
  <c r="D113" i="77"/>
  <c r="D116" i="77"/>
  <c r="D119" i="77"/>
  <c r="D122" i="77"/>
  <c r="D125" i="77"/>
  <c r="D128" i="77"/>
  <c r="D131" i="77"/>
  <c r="D134" i="77"/>
  <c r="D137" i="77"/>
  <c r="D140" i="77"/>
  <c r="D143" i="77"/>
  <c r="C143" i="77"/>
  <c r="C140" i="77"/>
  <c r="C137" i="77"/>
  <c r="C134" i="77"/>
  <c r="C131" i="77"/>
  <c r="C128" i="77"/>
  <c r="C125" i="77"/>
  <c r="C122" i="77"/>
  <c r="C119" i="77"/>
  <c r="C116" i="77"/>
  <c r="C113" i="77"/>
  <c r="D110" i="77"/>
  <c r="C71" i="77"/>
  <c r="D71" i="77"/>
  <c r="D69" i="77"/>
  <c r="C69" i="77"/>
  <c r="C68" i="77"/>
  <c r="D68" i="77"/>
  <c r="D66" i="77"/>
  <c r="C66" i="77"/>
  <c r="D65" i="77"/>
  <c r="C65" i="77"/>
  <c r="C62" i="77"/>
  <c r="D63" i="77"/>
  <c r="C63" i="77"/>
  <c r="D62" i="77"/>
  <c r="D60" i="77"/>
  <c r="C60" i="77"/>
  <c r="C59" i="77"/>
  <c r="D59" i="77"/>
  <c r="D57" i="77"/>
  <c r="C57" i="77"/>
  <c r="C56" i="77"/>
  <c r="D56" i="77"/>
  <c r="D54" i="77"/>
  <c r="C54" i="77"/>
  <c r="C53" i="77"/>
  <c r="D53" i="77"/>
  <c r="D51" i="77"/>
  <c r="C51" i="77"/>
  <c r="D50" i="77"/>
  <c r="C50" i="77"/>
  <c r="D48" i="77"/>
  <c r="C48" i="77"/>
  <c r="D47" i="77"/>
  <c r="C47" i="77"/>
  <c r="C44" i="77"/>
  <c r="D45" i="77"/>
  <c r="C45" i="77"/>
  <c r="D44" i="77"/>
  <c r="D42" i="77"/>
  <c r="C42" i="77"/>
  <c r="D41" i="77"/>
  <c r="C41" i="77"/>
  <c r="D39" i="77"/>
  <c r="C39" i="77"/>
  <c r="D38" i="77"/>
  <c r="C38" i="77"/>
  <c r="C35" i="77"/>
  <c r="D36" i="77"/>
  <c r="C36" i="77"/>
  <c r="D35" i="77"/>
  <c r="D33" i="77"/>
  <c r="C33" i="77"/>
  <c r="D32" i="77"/>
  <c r="C32" i="77"/>
  <c r="D30" i="77"/>
  <c r="C30" i="77"/>
  <c r="C29" i="77"/>
  <c r="D29" i="77"/>
  <c r="D27" i="77"/>
  <c r="C27" i="77"/>
  <c r="D26" i="77"/>
  <c r="C26" i="77"/>
  <c r="D24" i="77"/>
  <c r="C24" i="77"/>
  <c r="D23" i="77"/>
  <c r="C23" i="77"/>
  <c r="D21" i="77"/>
  <c r="C21" i="77"/>
  <c r="C20" i="77"/>
  <c r="D20" i="77"/>
  <c r="C17" i="77"/>
  <c r="D3" i="77"/>
  <c r="D2" i="77"/>
  <c r="C2" i="77"/>
  <c r="C5" i="77"/>
  <c r="D18" i="77"/>
  <c r="C18" i="77"/>
  <c r="D17" i="77"/>
  <c r="D15" i="77"/>
  <c r="C15" i="77"/>
  <c r="D14" i="77"/>
  <c r="C14" i="77"/>
  <c r="D12" i="77"/>
  <c r="C12" i="77"/>
  <c r="D11" i="77"/>
  <c r="C11" i="77"/>
  <c r="D9" i="77"/>
  <c r="C9" i="77"/>
  <c r="D8" i="77"/>
  <c r="C8" i="77"/>
  <c r="D6" i="77"/>
  <c r="C6" i="77"/>
  <c r="D5" i="77"/>
  <c r="A45" i="53" l="1"/>
  <c r="C45" i="53" l="1"/>
  <c r="D45" i="53"/>
  <c r="B45" i="53"/>
  <c r="F45" i="53"/>
  <c r="D6" i="59" l="1"/>
  <c r="B3" i="66" l="1"/>
  <c r="F8" i="50" l="1"/>
  <c r="T8" i="48"/>
  <c r="F8" i="49"/>
  <c r="T8" i="47"/>
  <c r="J8" i="75"/>
  <c r="O37" i="63" l="1"/>
  <c r="P35" i="63" s="1"/>
  <c r="M52" i="62" l="1"/>
  <c r="A11" i="73"/>
  <c r="J11" i="73" s="1"/>
  <c r="D21" i="66"/>
  <c r="L52" i="62"/>
  <c r="B2" i="59"/>
  <c r="M11" i="73" l="1"/>
  <c r="L11" i="73"/>
  <c r="K11" i="73"/>
  <c r="I11" i="73"/>
  <c r="H11" i="73"/>
  <c r="F11" i="73"/>
  <c r="E11" i="73"/>
  <c r="G11" i="73"/>
  <c r="C11" i="73"/>
  <c r="D11" i="73"/>
  <c r="O99" i="63"/>
  <c r="C42" i="66" l="1"/>
  <c r="S45" i="63" l="1"/>
  <c r="H28" i="54"/>
  <c r="B25" i="66"/>
  <c r="O50" i="63"/>
  <c r="S12" i="63" l="1"/>
  <c r="B26" i="66"/>
  <c r="L67" i="62"/>
  <c r="D3" i="57"/>
  <c r="D4" i="57"/>
  <c r="D28" i="54"/>
  <c r="D2" i="57" s="1"/>
  <c r="B28" i="54"/>
  <c r="O54" i="63" l="1"/>
  <c r="P98" i="63" l="1"/>
  <c r="D42" i="66"/>
  <c r="C27" i="66"/>
  <c r="L115" i="62"/>
  <c r="Q79" i="47"/>
  <c r="M115" i="62" l="1"/>
  <c r="N115" i="62" s="1"/>
  <c r="E42" i="66" s="1"/>
  <c r="A32" i="73"/>
  <c r="J32" i="73" s="1"/>
  <c r="B6" i="58"/>
  <c r="B6" i="60"/>
  <c r="E32" i="73" l="1"/>
  <c r="F32" i="73"/>
  <c r="C32" i="73"/>
  <c r="M32" i="73"/>
  <c r="L32" i="73"/>
  <c r="D32" i="73"/>
  <c r="I32" i="73"/>
  <c r="G32" i="73"/>
  <c r="K32" i="73"/>
  <c r="H32" i="73"/>
  <c r="B83" i="47"/>
  <c r="A84" i="47"/>
  <c r="C84" i="47"/>
  <c r="D84" i="47"/>
  <c r="E84" i="47"/>
  <c r="F84" i="47"/>
  <c r="G84" i="47"/>
  <c r="H84" i="47"/>
  <c r="I84" i="47"/>
  <c r="J84" i="47"/>
  <c r="K84" i="47"/>
  <c r="L84" i="47"/>
  <c r="M84" i="47"/>
  <c r="N84" i="47"/>
  <c r="A85" i="47"/>
  <c r="C85" i="47"/>
  <c r="D85" i="47"/>
  <c r="E85" i="47"/>
  <c r="F85" i="47"/>
  <c r="G85" i="47"/>
  <c r="H85" i="47"/>
  <c r="I85" i="47"/>
  <c r="J85" i="47"/>
  <c r="K85" i="47"/>
  <c r="L85" i="47"/>
  <c r="M85" i="47"/>
  <c r="N85" i="47"/>
  <c r="A86" i="47"/>
  <c r="C86" i="47"/>
  <c r="D86" i="47"/>
  <c r="E86" i="47"/>
  <c r="F86" i="47"/>
  <c r="G86" i="47"/>
  <c r="H86" i="47"/>
  <c r="I86" i="47"/>
  <c r="J86" i="47"/>
  <c r="K86" i="47"/>
  <c r="L86" i="47"/>
  <c r="M86" i="47"/>
  <c r="N86" i="47"/>
  <c r="A87" i="47"/>
  <c r="C87" i="47"/>
  <c r="D87" i="47"/>
  <c r="E87" i="47"/>
  <c r="F87" i="47"/>
  <c r="G87" i="47"/>
  <c r="H87" i="47"/>
  <c r="I87" i="47"/>
  <c r="J87" i="47"/>
  <c r="K87" i="47"/>
  <c r="L87" i="47"/>
  <c r="M87" i="47"/>
  <c r="N87" i="47"/>
  <c r="A88" i="47"/>
  <c r="C88" i="47"/>
  <c r="D88" i="47"/>
  <c r="E88" i="47"/>
  <c r="F88" i="47"/>
  <c r="G88" i="47"/>
  <c r="H88" i="47"/>
  <c r="I88" i="47"/>
  <c r="J88" i="47"/>
  <c r="K88" i="47"/>
  <c r="L88" i="47"/>
  <c r="M88" i="47"/>
  <c r="N88" i="47"/>
  <c r="A89" i="47"/>
  <c r="C89" i="47"/>
  <c r="D89" i="47"/>
  <c r="E89" i="47"/>
  <c r="F89" i="47"/>
  <c r="G89" i="47"/>
  <c r="H89" i="47"/>
  <c r="I89" i="47"/>
  <c r="J89" i="47"/>
  <c r="K89" i="47"/>
  <c r="L89" i="47"/>
  <c r="M89" i="47"/>
  <c r="N89" i="47"/>
  <c r="A90" i="47"/>
  <c r="C90" i="47"/>
  <c r="D90" i="47"/>
  <c r="E90" i="47"/>
  <c r="F90" i="47"/>
  <c r="G90" i="47"/>
  <c r="H90" i="47"/>
  <c r="I90" i="47"/>
  <c r="J90" i="47"/>
  <c r="K90" i="47"/>
  <c r="L90" i="47"/>
  <c r="M90" i="47"/>
  <c r="N90" i="47"/>
  <c r="A91" i="47"/>
  <c r="C91" i="47"/>
  <c r="D91" i="47"/>
  <c r="E91" i="47"/>
  <c r="F91" i="47"/>
  <c r="G91" i="47"/>
  <c r="H91" i="47"/>
  <c r="I91" i="47"/>
  <c r="J91" i="47"/>
  <c r="K91" i="47"/>
  <c r="L91" i="47"/>
  <c r="M91" i="47"/>
  <c r="N91" i="47"/>
  <c r="A92" i="47"/>
  <c r="C92" i="47"/>
  <c r="D92" i="47"/>
  <c r="E92" i="47"/>
  <c r="F92" i="47"/>
  <c r="G92" i="47"/>
  <c r="H92" i="47"/>
  <c r="I92" i="47"/>
  <c r="J92" i="47"/>
  <c r="K92" i="47"/>
  <c r="L92" i="47"/>
  <c r="M92" i="47"/>
  <c r="N92" i="47"/>
  <c r="A93" i="47"/>
  <c r="C93" i="47"/>
  <c r="D93" i="47"/>
  <c r="E93" i="47"/>
  <c r="F93" i="47"/>
  <c r="G93" i="47"/>
  <c r="H93" i="47"/>
  <c r="I93" i="47"/>
  <c r="J93" i="47"/>
  <c r="K93" i="47"/>
  <c r="L93" i="47"/>
  <c r="M93" i="47"/>
  <c r="N93" i="47"/>
  <c r="A94" i="47"/>
  <c r="C94" i="47"/>
  <c r="D94" i="47"/>
  <c r="E94" i="47"/>
  <c r="F94" i="47"/>
  <c r="G94" i="47"/>
  <c r="H94" i="47"/>
  <c r="I94" i="47"/>
  <c r="J94" i="47"/>
  <c r="K94" i="47"/>
  <c r="L94" i="47"/>
  <c r="M94" i="47"/>
  <c r="N94" i="47"/>
  <c r="A95" i="47"/>
  <c r="C95" i="47"/>
  <c r="D95" i="47"/>
  <c r="E95" i="47"/>
  <c r="F95" i="47"/>
  <c r="G95" i="47"/>
  <c r="H95" i="47"/>
  <c r="I95" i="47"/>
  <c r="J95" i="47"/>
  <c r="K95" i="47"/>
  <c r="L95" i="47"/>
  <c r="M95" i="47"/>
  <c r="N95" i="47"/>
  <c r="A96" i="47"/>
  <c r="C96" i="47"/>
  <c r="D96" i="47"/>
  <c r="E96" i="47"/>
  <c r="F96" i="47"/>
  <c r="G96" i="47"/>
  <c r="H96" i="47"/>
  <c r="I96" i="47"/>
  <c r="J96" i="47"/>
  <c r="K96" i="47"/>
  <c r="L96" i="47"/>
  <c r="M96" i="47"/>
  <c r="A97" i="47"/>
  <c r="C97" i="47"/>
  <c r="D97" i="47"/>
  <c r="E97" i="47"/>
  <c r="F97" i="47"/>
  <c r="G97" i="47"/>
  <c r="H97" i="47"/>
  <c r="I97" i="47"/>
  <c r="J97" i="47"/>
  <c r="K97" i="47"/>
  <c r="L97" i="47"/>
  <c r="M97" i="47"/>
  <c r="N97" i="47"/>
  <c r="A98" i="47"/>
  <c r="C98" i="47"/>
  <c r="D98" i="47"/>
  <c r="E98" i="47"/>
  <c r="F98" i="47"/>
  <c r="G98" i="47"/>
  <c r="H98" i="47"/>
  <c r="I98" i="47"/>
  <c r="J98" i="47"/>
  <c r="K98" i="47"/>
  <c r="L98" i="47"/>
  <c r="N98" i="47"/>
  <c r="N99" i="47"/>
  <c r="N100" i="47"/>
  <c r="A101" i="47"/>
  <c r="C101" i="47"/>
  <c r="D101" i="47"/>
  <c r="E101" i="47"/>
  <c r="F101" i="47"/>
  <c r="G101" i="47"/>
  <c r="H101" i="47"/>
  <c r="I101" i="47"/>
  <c r="J101" i="47"/>
  <c r="K101" i="47"/>
  <c r="L101" i="47"/>
  <c r="N101" i="47"/>
  <c r="A102" i="47"/>
  <c r="C102" i="47"/>
  <c r="D102" i="47"/>
  <c r="E102" i="47"/>
  <c r="F102" i="47"/>
  <c r="G102" i="47"/>
  <c r="H102" i="47"/>
  <c r="I102" i="47"/>
  <c r="J102" i="47"/>
  <c r="K102" i="47"/>
  <c r="L102" i="47"/>
  <c r="N102" i="47"/>
  <c r="A103" i="47"/>
  <c r="C103" i="47"/>
  <c r="D103" i="47"/>
  <c r="E103" i="47"/>
  <c r="F103" i="47"/>
  <c r="G103" i="47"/>
  <c r="H103" i="47"/>
  <c r="I103" i="47"/>
  <c r="J103" i="47"/>
  <c r="K103" i="47"/>
  <c r="L103" i="47"/>
  <c r="N103" i="47"/>
  <c r="A104" i="47"/>
  <c r="C104" i="47"/>
  <c r="D104" i="47"/>
  <c r="E104" i="47"/>
  <c r="F104" i="47"/>
  <c r="G104" i="47"/>
  <c r="H104" i="47"/>
  <c r="I104" i="47"/>
  <c r="J104" i="47"/>
  <c r="K104" i="47"/>
  <c r="L104" i="47"/>
  <c r="N104" i="47"/>
  <c r="A105" i="47"/>
  <c r="C105" i="47"/>
  <c r="D105" i="47"/>
  <c r="E105" i="47"/>
  <c r="F105" i="47"/>
  <c r="G105" i="47"/>
  <c r="H105" i="47"/>
  <c r="I105" i="47"/>
  <c r="J105" i="47"/>
  <c r="K105" i="47"/>
  <c r="L105" i="47"/>
  <c r="N105" i="47"/>
  <c r="A106" i="47"/>
  <c r="C106" i="47"/>
  <c r="D106" i="47"/>
  <c r="E106" i="47"/>
  <c r="F106" i="47"/>
  <c r="G106" i="47"/>
  <c r="H106" i="47"/>
  <c r="I106" i="47"/>
  <c r="J106" i="47"/>
  <c r="K106" i="47"/>
  <c r="L106" i="47"/>
  <c r="N106" i="47"/>
  <c r="A107" i="47"/>
  <c r="C107" i="47"/>
  <c r="D107" i="47"/>
  <c r="E107" i="47"/>
  <c r="F107" i="47"/>
  <c r="G107" i="47"/>
  <c r="H107" i="47"/>
  <c r="I107" i="47"/>
  <c r="J107" i="47"/>
  <c r="K107" i="47"/>
  <c r="L107" i="47"/>
  <c r="N107" i="47"/>
  <c r="N108" i="47"/>
  <c r="Q71" i="47" l="1"/>
  <c r="O76" i="63" l="1"/>
  <c r="P74" i="63" s="1"/>
  <c r="O46" i="63"/>
  <c r="P44" i="63" s="1"/>
  <c r="M61" i="62" s="1"/>
  <c r="A1" i="58"/>
  <c r="B1" i="58"/>
  <c r="C1" i="58"/>
  <c r="D1" i="58"/>
  <c r="E1" i="58"/>
  <c r="F1" i="58"/>
  <c r="G1" i="58"/>
  <c r="I1" i="58"/>
  <c r="J1" i="58"/>
  <c r="K1" i="58"/>
  <c r="L1" i="58"/>
  <c r="N1" i="58"/>
  <c r="P1" i="58"/>
  <c r="Q1" i="58"/>
  <c r="R1" i="58"/>
  <c r="T1" i="58"/>
  <c r="U1" i="58"/>
  <c r="V1" i="58"/>
  <c r="W1" i="58"/>
  <c r="B2" i="58"/>
  <c r="D2" i="58"/>
  <c r="E2" i="58"/>
  <c r="F2" i="58"/>
  <c r="G2" i="58"/>
  <c r="I2" i="58"/>
  <c r="J2" i="58"/>
  <c r="K2" i="58"/>
  <c r="O2" i="58"/>
  <c r="P2" i="58"/>
  <c r="Q2" i="58"/>
  <c r="R2" i="58"/>
  <c r="S2" i="58"/>
  <c r="T2" i="58"/>
  <c r="U2" i="58"/>
  <c r="V2" i="58"/>
  <c r="W2" i="58"/>
  <c r="B3" i="58"/>
  <c r="D3" i="58"/>
  <c r="E3" i="58"/>
  <c r="F3" i="58"/>
  <c r="G3" i="58"/>
  <c r="I3" i="58"/>
  <c r="J3" i="58"/>
  <c r="K3" i="58"/>
  <c r="O3" i="58"/>
  <c r="P3" i="58"/>
  <c r="Q3" i="58"/>
  <c r="R3" i="58"/>
  <c r="S3" i="58"/>
  <c r="T3" i="58"/>
  <c r="U3" i="58"/>
  <c r="V3" i="58"/>
  <c r="W3" i="58"/>
  <c r="B4" i="58"/>
  <c r="D4" i="58"/>
  <c r="E4" i="58"/>
  <c r="F4" i="58"/>
  <c r="G4" i="58"/>
  <c r="I4" i="58"/>
  <c r="J4" i="58"/>
  <c r="K4" i="58"/>
  <c r="O4" i="58"/>
  <c r="P4" i="58"/>
  <c r="Q4" i="58"/>
  <c r="R4" i="58"/>
  <c r="S4" i="58"/>
  <c r="T4" i="58"/>
  <c r="U4" i="58"/>
  <c r="V4" i="58"/>
  <c r="W4" i="58"/>
  <c r="B5" i="58"/>
  <c r="D5" i="58"/>
  <c r="E5" i="58"/>
  <c r="F5" i="58"/>
  <c r="G5" i="58"/>
  <c r="I5" i="58"/>
  <c r="J5" i="58"/>
  <c r="K5" i="58"/>
  <c r="O5" i="58"/>
  <c r="P5" i="58"/>
  <c r="Q5" i="58"/>
  <c r="R5" i="58"/>
  <c r="S5" i="58"/>
  <c r="T5" i="58"/>
  <c r="U5" i="58"/>
  <c r="V5" i="58"/>
  <c r="W5" i="58"/>
  <c r="D6" i="58"/>
  <c r="E6" i="58"/>
  <c r="F6" i="58"/>
  <c r="G6" i="58"/>
  <c r="I6" i="58"/>
  <c r="J6" i="58"/>
  <c r="K6" i="58"/>
  <c r="O6" i="58"/>
  <c r="P6" i="58"/>
  <c r="Q6" i="58"/>
  <c r="R6" i="58"/>
  <c r="S6" i="58"/>
  <c r="T6" i="58"/>
  <c r="U6" i="58"/>
  <c r="V6" i="58"/>
  <c r="W6" i="58"/>
  <c r="B7" i="58"/>
  <c r="D7" i="58"/>
  <c r="E7" i="58"/>
  <c r="F7" i="58"/>
  <c r="G7" i="58"/>
  <c r="H7" i="58"/>
  <c r="I7" i="58"/>
  <c r="J7" i="58"/>
  <c r="K7" i="58"/>
  <c r="L7" i="58"/>
  <c r="M7" i="58"/>
  <c r="N7" i="58"/>
  <c r="O7" i="58"/>
  <c r="P7" i="58"/>
  <c r="Q7" i="58"/>
  <c r="R7" i="58"/>
  <c r="S7" i="58"/>
  <c r="T7" i="58"/>
  <c r="U7" i="58"/>
  <c r="V7" i="58"/>
  <c r="W7" i="58"/>
  <c r="A1" i="60"/>
  <c r="B1" i="60"/>
  <c r="C1" i="60"/>
  <c r="D1" i="60"/>
  <c r="E1" i="60"/>
  <c r="F1" i="60"/>
  <c r="G1" i="60"/>
  <c r="I1" i="60"/>
  <c r="J1" i="60"/>
  <c r="K1" i="60"/>
  <c r="L1" i="60"/>
  <c r="N1" i="60"/>
  <c r="P1" i="60"/>
  <c r="Q1" i="60"/>
  <c r="R1" i="60"/>
  <c r="T1" i="60"/>
  <c r="U1" i="60"/>
  <c r="V1" i="60"/>
  <c r="W1" i="60"/>
  <c r="B2" i="60"/>
  <c r="D2" i="60"/>
  <c r="E2" i="60"/>
  <c r="F2" i="60"/>
  <c r="G2" i="60"/>
  <c r="I2" i="60"/>
  <c r="J2" i="60"/>
  <c r="K2" i="60"/>
  <c r="O2" i="60"/>
  <c r="P2" i="60"/>
  <c r="Q2" i="60"/>
  <c r="R2" i="60"/>
  <c r="S2" i="60"/>
  <c r="T2" i="60"/>
  <c r="U2" i="60"/>
  <c r="V2" i="60"/>
  <c r="W2" i="60"/>
  <c r="B3" i="60"/>
  <c r="D3" i="60"/>
  <c r="E3" i="60"/>
  <c r="F3" i="60"/>
  <c r="G3" i="60"/>
  <c r="I3" i="60"/>
  <c r="J3" i="60"/>
  <c r="K3" i="60"/>
  <c r="O3" i="60"/>
  <c r="P3" i="60"/>
  <c r="Q3" i="60"/>
  <c r="R3" i="60"/>
  <c r="S3" i="60"/>
  <c r="T3" i="60"/>
  <c r="U3" i="60"/>
  <c r="V3" i="60"/>
  <c r="W3" i="60"/>
  <c r="B4" i="60"/>
  <c r="D4" i="60"/>
  <c r="E4" i="60"/>
  <c r="F4" i="60"/>
  <c r="G4" i="60"/>
  <c r="I4" i="60"/>
  <c r="J4" i="60"/>
  <c r="K4" i="60"/>
  <c r="O4" i="60"/>
  <c r="P4" i="60"/>
  <c r="Q4" i="60"/>
  <c r="R4" i="60"/>
  <c r="S4" i="60"/>
  <c r="T4" i="60"/>
  <c r="U4" i="60"/>
  <c r="V4" i="60"/>
  <c r="W4" i="60"/>
  <c r="B5" i="60"/>
  <c r="D5" i="60"/>
  <c r="E5" i="60"/>
  <c r="F5" i="60"/>
  <c r="G5" i="60"/>
  <c r="I5" i="60"/>
  <c r="J5" i="60"/>
  <c r="K5" i="60"/>
  <c r="O5" i="60"/>
  <c r="P5" i="60"/>
  <c r="Q5" i="60"/>
  <c r="R5" i="60"/>
  <c r="S5" i="60"/>
  <c r="T5" i="60"/>
  <c r="U5" i="60"/>
  <c r="V5" i="60"/>
  <c r="W5" i="60"/>
  <c r="D6" i="60"/>
  <c r="E6" i="60"/>
  <c r="F6" i="60"/>
  <c r="G6" i="60"/>
  <c r="I6" i="60"/>
  <c r="J6" i="60"/>
  <c r="K6" i="60"/>
  <c r="O6" i="60"/>
  <c r="P6" i="60"/>
  <c r="Q6" i="60"/>
  <c r="R6" i="60"/>
  <c r="S6" i="60"/>
  <c r="T6" i="60"/>
  <c r="U6" i="60"/>
  <c r="V6" i="60"/>
  <c r="W6" i="60"/>
  <c r="B7" i="60"/>
  <c r="D7" i="60"/>
  <c r="E7" i="60"/>
  <c r="F7" i="60"/>
  <c r="G7" i="60"/>
  <c r="H7" i="60"/>
  <c r="I7" i="60"/>
  <c r="J7" i="60"/>
  <c r="K7" i="60"/>
  <c r="L7" i="60"/>
  <c r="M7" i="60"/>
  <c r="N7" i="60"/>
  <c r="O7" i="60"/>
  <c r="P7" i="60"/>
  <c r="Q7" i="60"/>
  <c r="R7" i="60"/>
  <c r="S7" i="60"/>
  <c r="T7" i="60"/>
  <c r="U7" i="60"/>
  <c r="V7" i="60"/>
  <c r="W7" i="60"/>
  <c r="A1" i="57"/>
  <c r="H1" i="57"/>
  <c r="A2" i="57"/>
  <c r="A3" i="57"/>
  <c r="B3" i="57"/>
  <c r="C3" i="57"/>
  <c r="E3" i="57"/>
  <c r="F3" i="57"/>
  <c r="G3" i="57"/>
  <c r="A4" i="57"/>
  <c r="B4" i="57"/>
  <c r="C4" i="57"/>
  <c r="E4" i="57"/>
  <c r="F4" i="57"/>
  <c r="G4" i="57"/>
  <c r="F44" i="68"/>
  <c r="G44" i="68"/>
  <c r="I44" i="68"/>
  <c r="J44" i="68"/>
  <c r="F51" i="68"/>
  <c r="G51" i="68"/>
  <c r="I51" i="68"/>
  <c r="J51" i="68"/>
  <c r="F44" i="67"/>
  <c r="G44" i="67"/>
  <c r="I44" i="67"/>
  <c r="J44" i="67"/>
  <c r="F51" i="67"/>
  <c r="G51" i="67"/>
  <c r="I51" i="67"/>
  <c r="J51" i="67"/>
  <c r="B10" i="54"/>
  <c r="C8" i="50"/>
  <c r="F8" i="48"/>
  <c r="C23" i="48"/>
  <c r="C2" i="60" s="1"/>
  <c r="I23" i="48"/>
  <c r="M23" i="48" s="1"/>
  <c r="L2" i="60" s="1"/>
  <c r="O23" i="48"/>
  <c r="P23" i="48" s="1"/>
  <c r="N2" i="60" s="1"/>
  <c r="C24" i="48"/>
  <c r="C3" i="60" s="1"/>
  <c r="I24" i="48"/>
  <c r="O24" i="48"/>
  <c r="M3" i="60" s="1"/>
  <c r="C25" i="48"/>
  <c r="C4" i="60" s="1"/>
  <c r="I25" i="48"/>
  <c r="H4" i="60" s="1"/>
  <c r="O25" i="48"/>
  <c r="P25" i="48" s="1"/>
  <c r="N4" i="60" s="1"/>
  <c r="C26" i="48"/>
  <c r="C5" i="60" s="1"/>
  <c r="I26" i="48"/>
  <c r="M26" i="48" s="1"/>
  <c r="L5" i="60" s="1"/>
  <c r="O26" i="48"/>
  <c r="C27" i="48"/>
  <c r="C6" i="60" s="1"/>
  <c r="P27" i="48"/>
  <c r="N6" i="60" s="1"/>
  <c r="C28" i="48"/>
  <c r="C7" i="60" s="1"/>
  <c r="Q71" i="48"/>
  <c r="Q72" i="48"/>
  <c r="Q73" i="48"/>
  <c r="Q74" i="48"/>
  <c r="Q76" i="48"/>
  <c r="Q77" i="48"/>
  <c r="Q78" i="48"/>
  <c r="Q79" i="48"/>
  <c r="B83" i="48"/>
  <c r="A84" i="48"/>
  <c r="C84" i="48"/>
  <c r="D84" i="48"/>
  <c r="E84" i="48"/>
  <c r="F84" i="48"/>
  <c r="G84" i="48"/>
  <c r="H84" i="48"/>
  <c r="I84" i="48"/>
  <c r="J84" i="48"/>
  <c r="K84" i="48"/>
  <c r="L84" i="48"/>
  <c r="M84" i="48"/>
  <c r="N84" i="48"/>
  <c r="A85" i="48"/>
  <c r="C85" i="48"/>
  <c r="D85" i="48"/>
  <c r="E85" i="48"/>
  <c r="F85" i="48"/>
  <c r="G85" i="48"/>
  <c r="H85" i="48"/>
  <c r="I85" i="48"/>
  <c r="J85" i="48"/>
  <c r="K85" i="48"/>
  <c r="L85" i="48"/>
  <c r="M85" i="48"/>
  <c r="N85" i="48"/>
  <c r="A86" i="48"/>
  <c r="C86" i="48"/>
  <c r="D86" i="48"/>
  <c r="E86" i="48"/>
  <c r="F86" i="48"/>
  <c r="G86" i="48"/>
  <c r="H86" i="48"/>
  <c r="I86" i="48"/>
  <c r="J86" i="48"/>
  <c r="K86" i="48"/>
  <c r="L86" i="48"/>
  <c r="M86" i="48"/>
  <c r="N86" i="48"/>
  <c r="A87" i="48"/>
  <c r="C87" i="48"/>
  <c r="D87" i="48"/>
  <c r="E87" i="48"/>
  <c r="F87" i="48"/>
  <c r="G87" i="48"/>
  <c r="H87" i="48"/>
  <c r="I87" i="48"/>
  <c r="J87" i="48"/>
  <c r="K87" i="48"/>
  <c r="L87" i="48"/>
  <c r="M87" i="48"/>
  <c r="N87" i="48"/>
  <c r="A88" i="48"/>
  <c r="C88" i="48"/>
  <c r="D88" i="48"/>
  <c r="E88" i="48"/>
  <c r="F88" i="48"/>
  <c r="G88" i="48"/>
  <c r="H88" i="48"/>
  <c r="I88" i="48"/>
  <c r="J88" i="48"/>
  <c r="K88" i="48"/>
  <c r="L88" i="48"/>
  <c r="M88" i="48"/>
  <c r="N88" i="48"/>
  <c r="A89" i="48"/>
  <c r="C89" i="48"/>
  <c r="D89" i="48"/>
  <c r="E89" i="48"/>
  <c r="F89" i="48"/>
  <c r="G89" i="48"/>
  <c r="H89" i="48"/>
  <c r="I89" i="48"/>
  <c r="J89" i="48"/>
  <c r="K89" i="48"/>
  <c r="L89" i="48"/>
  <c r="M89" i="48"/>
  <c r="N89" i="48"/>
  <c r="A90" i="48"/>
  <c r="C90" i="48"/>
  <c r="D90" i="48"/>
  <c r="E90" i="48"/>
  <c r="F90" i="48"/>
  <c r="G90" i="48"/>
  <c r="H90" i="48"/>
  <c r="I90" i="48"/>
  <c r="J90" i="48"/>
  <c r="K90" i="48"/>
  <c r="L90" i="48"/>
  <c r="M90" i="48"/>
  <c r="N90" i="48"/>
  <c r="A91" i="48"/>
  <c r="C91" i="48"/>
  <c r="D91" i="48"/>
  <c r="E91" i="48"/>
  <c r="F91" i="48"/>
  <c r="G91" i="48"/>
  <c r="H91" i="48"/>
  <c r="I91" i="48"/>
  <c r="J91" i="48"/>
  <c r="K91" i="48"/>
  <c r="L91" i="48"/>
  <c r="M91" i="48"/>
  <c r="N91" i="48"/>
  <c r="A92" i="48"/>
  <c r="C92" i="48"/>
  <c r="D92" i="48"/>
  <c r="E92" i="48"/>
  <c r="F92" i="48"/>
  <c r="G92" i="48"/>
  <c r="H92" i="48"/>
  <c r="I92" i="48"/>
  <c r="J92" i="48"/>
  <c r="K92" i="48"/>
  <c r="L92" i="48"/>
  <c r="M92" i="48"/>
  <c r="N92" i="48"/>
  <c r="A93" i="48"/>
  <c r="C93" i="48"/>
  <c r="D93" i="48"/>
  <c r="E93" i="48"/>
  <c r="F93" i="48"/>
  <c r="G93" i="48"/>
  <c r="H93" i="48"/>
  <c r="I93" i="48"/>
  <c r="J93" i="48"/>
  <c r="K93" i="48"/>
  <c r="L93" i="48"/>
  <c r="M93" i="48"/>
  <c r="N93" i="48"/>
  <c r="A94" i="48"/>
  <c r="C94" i="48"/>
  <c r="D94" i="48"/>
  <c r="E94" i="48"/>
  <c r="F94" i="48"/>
  <c r="G94" i="48"/>
  <c r="H94" i="48"/>
  <c r="I94" i="48"/>
  <c r="J94" i="48"/>
  <c r="K94" i="48"/>
  <c r="L94" i="48"/>
  <c r="M94" i="48"/>
  <c r="N94" i="48"/>
  <c r="A95" i="48"/>
  <c r="C95" i="48"/>
  <c r="D95" i="48"/>
  <c r="E95" i="48"/>
  <c r="F95" i="48"/>
  <c r="G95" i="48"/>
  <c r="H95" i="48"/>
  <c r="I95" i="48"/>
  <c r="J95" i="48"/>
  <c r="K95" i="48"/>
  <c r="L95" i="48"/>
  <c r="M95" i="48"/>
  <c r="N95" i="48"/>
  <c r="A96" i="48"/>
  <c r="C96" i="48"/>
  <c r="D96" i="48"/>
  <c r="E96" i="48"/>
  <c r="F96" i="48"/>
  <c r="G96" i="48"/>
  <c r="H96" i="48"/>
  <c r="I96" i="48"/>
  <c r="J96" i="48"/>
  <c r="K96" i="48"/>
  <c r="L96" i="48"/>
  <c r="M96" i="48"/>
  <c r="A97" i="48"/>
  <c r="C97" i="48"/>
  <c r="D97" i="48"/>
  <c r="E97" i="48"/>
  <c r="F97" i="48"/>
  <c r="G97" i="48"/>
  <c r="H97" i="48"/>
  <c r="I97" i="48"/>
  <c r="J97" i="48"/>
  <c r="K97" i="48"/>
  <c r="L97" i="48"/>
  <c r="M97" i="48"/>
  <c r="N97" i="48"/>
  <c r="A98" i="48"/>
  <c r="C98" i="48"/>
  <c r="D98" i="48"/>
  <c r="E98" i="48"/>
  <c r="F98" i="48"/>
  <c r="G98" i="48"/>
  <c r="H98" i="48"/>
  <c r="I98" i="48"/>
  <c r="J98" i="48"/>
  <c r="K98" i="48"/>
  <c r="L98" i="48"/>
  <c r="N98" i="48"/>
  <c r="N99" i="48"/>
  <c r="N100" i="48"/>
  <c r="A101" i="48"/>
  <c r="C101" i="48"/>
  <c r="D101" i="48"/>
  <c r="E101" i="48"/>
  <c r="F101" i="48"/>
  <c r="G101" i="48"/>
  <c r="H101" i="48"/>
  <c r="I101" i="48"/>
  <c r="J101" i="48"/>
  <c r="K101" i="48"/>
  <c r="L101" i="48"/>
  <c r="N101" i="48"/>
  <c r="A102" i="48"/>
  <c r="C102" i="48"/>
  <c r="D102" i="48"/>
  <c r="E102" i="48"/>
  <c r="F102" i="48"/>
  <c r="G102" i="48"/>
  <c r="H102" i="48"/>
  <c r="I102" i="48"/>
  <c r="J102" i="48"/>
  <c r="K102" i="48"/>
  <c r="L102" i="48"/>
  <c r="N102" i="48"/>
  <c r="A103" i="48"/>
  <c r="C103" i="48"/>
  <c r="D103" i="48"/>
  <c r="E103" i="48"/>
  <c r="F103" i="48"/>
  <c r="G103" i="48"/>
  <c r="H103" i="48"/>
  <c r="I103" i="48"/>
  <c r="J103" i="48"/>
  <c r="K103" i="48"/>
  <c r="L103" i="48"/>
  <c r="N103" i="48"/>
  <c r="A104" i="48"/>
  <c r="C104" i="48"/>
  <c r="D104" i="48"/>
  <c r="E104" i="48"/>
  <c r="F104" i="48"/>
  <c r="G104" i="48"/>
  <c r="H104" i="48"/>
  <c r="I104" i="48"/>
  <c r="J104" i="48"/>
  <c r="K104" i="48"/>
  <c r="L104" i="48"/>
  <c r="N104" i="48"/>
  <c r="A105" i="48"/>
  <c r="C105" i="48"/>
  <c r="D105" i="48"/>
  <c r="E105" i="48"/>
  <c r="F105" i="48"/>
  <c r="G105" i="48"/>
  <c r="H105" i="48"/>
  <c r="I105" i="48"/>
  <c r="J105" i="48"/>
  <c r="K105" i="48"/>
  <c r="L105" i="48"/>
  <c r="N105" i="48"/>
  <c r="A106" i="48"/>
  <c r="C106" i="48"/>
  <c r="D106" i="48"/>
  <c r="E106" i="48"/>
  <c r="F106" i="48"/>
  <c r="G106" i="48"/>
  <c r="H106" i="48"/>
  <c r="I106" i="48"/>
  <c r="J106" i="48"/>
  <c r="K106" i="48"/>
  <c r="L106" i="48"/>
  <c r="N106" i="48"/>
  <c r="A107" i="48"/>
  <c r="C107" i="48"/>
  <c r="D107" i="48"/>
  <c r="E107" i="48"/>
  <c r="F107" i="48"/>
  <c r="G107" i="48"/>
  <c r="H107" i="48"/>
  <c r="I107" i="48"/>
  <c r="J107" i="48"/>
  <c r="K107" i="48"/>
  <c r="L107" i="48"/>
  <c r="N107" i="48"/>
  <c r="N108" i="48"/>
  <c r="N109" i="48"/>
  <c r="A110" i="48"/>
  <c r="C110" i="48"/>
  <c r="D110" i="48"/>
  <c r="E110" i="48"/>
  <c r="F110" i="48"/>
  <c r="G110" i="48"/>
  <c r="H110" i="48"/>
  <c r="I110" i="48"/>
  <c r="J110" i="48"/>
  <c r="K110" i="48"/>
  <c r="L110" i="48"/>
  <c r="N110" i="48"/>
  <c r="A111" i="48"/>
  <c r="C111" i="48"/>
  <c r="D111" i="48"/>
  <c r="E111" i="48"/>
  <c r="F111" i="48"/>
  <c r="G111" i="48"/>
  <c r="H111" i="48"/>
  <c r="I111" i="48"/>
  <c r="J111" i="48"/>
  <c r="K111" i="48"/>
  <c r="L111" i="48"/>
  <c r="N111" i="48"/>
  <c r="A112" i="48"/>
  <c r="C112" i="48"/>
  <c r="D112" i="48"/>
  <c r="E112" i="48"/>
  <c r="F112" i="48"/>
  <c r="G112" i="48"/>
  <c r="H112" i="48"/>
  <c r="I112" i="48"/>
  <c r="J112" i="48"/>
  <c r="K112" i="48"/>
  <c r="L112" i="48"/>
  <c r="N112" i="48"/>
  <c r="A113" i="48"/>
  <c r="C113" i="48"/>
  <c r="D113" i="48"/>
  <c r="E113" i="48"/>
  <c r="F113" i="48"/>
  <c r="G113" i="48"/>
  <c r="H113" i="48"/>
  <c r="I113" i="48"/>
  <c r="J113" i="48"/>
  <c r="K113" i="48"/>
  <c r="L113" i="48"/>
  <c r="N113" i="48"/>
  <c r="A114" i="48"/>
  <c r="C114" i="48"/>
  <c r="D114" i="48"/>
  <c r="E114" i="48"/>
  <c r="F114" i="48"/>
  <c r="G114" i="48"/>
  <c r="H114" i="48"/>
  <c r="I114" i="48"/>
  <c r="J114" i="48"/>
  <c r="K114" i="48"/>
  <c r="L114" i="48"/>
  <c r="N114" i="48"/>
  <c r="A115" i="48"/>
  <c r="C115" i="48"/>
  <c r="D115" i="48"/>
  <c r="E115" i="48"/>
  <c r="F115" i="48"/>
  <c r="G115" i="48"/>
  <c r="H115" i="48"/>
  <c r="I115" i="48"/>
  <c r="J115" i="48"/>
  <c r="K115" i="48"/>
  <c r="L115" i="48"/>
  <c r="N115" i="48"/>
  <c r="A116" i="48"/>
  <c r="C116" i="48"/>
  <c r="D116" i="48"/>
  <c r="E116" i="48"/>
  <c r="F116" i="48"/>
  <c r="G116" i="48"/>
  <c r="H116" i="48"/>
  <c r="I116" i="48"/>
  <c r="J116" i="48"/>
  <c r="K116" i="48"/>
  <c r="L116" i="48"/>
  <c r="N116" i="48"/>
  <c r="C8" i="49"/>
  <c r="F8" i="47"/>
  <c r="C23" i="47"/>
  <c r="C2" i="58" s="1"/>
  <c r="I23" i="47"/>
  <c r="M23" i="47" s="1"/>
  <c r="L2" i="58" s="1"/>
  <c r="O23" i="47"/>
  <c r="M2" i="58" s="1"/>
  <c r="C24" i="47"/>
  <c r="C3" i="58" s="1"/>
  <c r="I24" i="47"/>
  <c r="O24" i="47"/>
  <c r="C25" i="47"/>
  <c r="C4" i="58" s="1"/>
  <c r="I25" i="47"/>
  <c r="O25" i="47"/>
  <c r="P25" i="47" s="1"/>
  <c r="N4" i="58" s="1"/>
  <c r="C26" i="47"/>
  <c r="C5" i="58" s="1"/>
  <c r="M26" i="47"/>
  <c r="L5" i="58" s="1"/>
  <c r="O26" i="47"/>
  <c r="P26" i="47" s="1"/>
  <c r="N5" i="58" s="1"/>
  <c r="C27" i="47"/>
  <c r="C6" i="58" s="1"/>
  <c r="L6" i="58"/>
  <c r="P27" i="47"/>
  <c r="N6" i="58" s="1"/>
  <c r="C28" i="47"/>
  <c r="C7" i="58" s="1"/>
  <c r="Q72" i="47"/>
  <c r="Q73" i="47"/>
  <c r="Q74" i="47"/>
  <c r="Q76" i="47"/>
  <c r="Q77" i="47"/>
  <c r="Q78" i="47"/>
  <c r="N109" i="47"/>
  <c r="A110" i="47"/>
  <c r="C110" i="47"/>
  <c r="D110" i="47"/>
  <c r="E110" i="47"/>
  <c r="F110" i="47"/>
  <c r="G110" i="47"/>
  <c r="H110" i="47"/>
  <c r="I110" i="47"/>
  <c r="J110" i="47"/>
  <c r="K110" i="47"/>
  <c r="L110" i="47"/>
  <c r="N110" i="47"/>
  <c r="A111" i="47"/>
  <c r="C111" i="47"/>
  <c r="D111" i="47"/>
  <c r="E111" i="47"/>
  <c r="F111" i="47"/>
  <c r="G111" i="47"/>
  <c r="H111" i="47"/>
  <c r="I111" i="47"/>
  <c r="J111" i="47"/>
  <c r="K111" i="47"/>
  <c r="L111" i="47"/>
  <c r="N111" i="47"/>
  <c r="A112" i="47"/>
  <c r="C112" i="47"/>
  <c r="D112" i="47"/>
  <c r="E112" i="47"/>
  <c r="F112" i="47"/>
  <c r="G112" i="47"/>
  <c r="H112" i="47"/>
  <c r="I112" i="47"/>
  <c r="J112" i="47"/>
  <c r="K112" i="47"/>
  <c r="L112" i="47"/>
  <c r="N112" i="47"/>
  <c r="A113" i="47"/>
  <c r="C113" i="47"/>
  <c r="D113" i="47"/>
  <c r="E113" i="47"/>
  <c r="F113" i="47"/>
  <c r="G113" i="47"/>
  <c r="H113" i="47"/>
  <c r="I113" i="47"/>
  <c r="J113" i="47"/>
  <c r="K113" i="47"/>
  <c r="L113" i="47"/>
  <c r="N113" i="47"/>
  <c r="A114" i="47"/>
  <c r="C114" i="47"/>
  <c r="D114" i="47"/>
  <c r="E114" i="47"/>
  <c r="F114" i="47"/>
  <c r="G114" i="47"/>
  <c r="H114" i="47"/>
  <c r="I114" i="47"/>
  <c r="J114" i="47"/>
  <c r="K114" i="47"/>
  <c r="L114" i="47"/>
  <c r="N114" i="47"/>
  <c r="B2" i="66"/>
  <c r="C8" i="75"/>
  <c r="O28" i="62"/>
  <c r="H13" i="66" s="1"/>
  <c r="H14" i="66"/>
  <c r="H15" i="66"/>
  <c r="H16" i="66"/>
  <c r="H17" i="66"/>
  <c r="H18" i="66"/>
  <c r="H19" i="66"/>
  <c r="H20" i="66"/>
  <c r="H21" i="66"/>
  <c r="H32" i="66"/>
  <c r="H33" i="66"/>
  <c r="H34" i="66"/>
  <c r="C4" i="63"/>
  <c r="O13" i="63"/>
  <c r="D13" i="66" s="1"/>
  <c r="O16" i="63"/>
  <c r="P14" i="63" s="1"/>
  <c r="O34" i="63"/>
  <c r="P32" i="63" s="1"/>
  <c r="O43" i="63"/>
  <c r="P50" i="63"/>
  <c r="M67" i="62" s="1"/>
  <c r="N67" i="62" s="1"/>
  <c r="O57" i="63"/>
  <c r="O61" i="63"/>
  <c r="O64" i="63"/>
  <c r="O69" i="63"/>
  <c r="O73" i="63"/>
  <c r="O85" i="63"/>
  <c r="O91" i="63"/>
  <c r="P89" i="63" s="1"/>
  <c r="A29" i="73" s="1"/>
  <c r="O94" i="63"/>
  <c r="O97" i="63"/>
  <c r="B1" i="59"/>
  <c r="B2" i="57"/>
  <c r="C2" i="57"/>
  <c r="E28" i="54"/>
  <c r="E2" i="57" s="1"/>
  <c r="F28" i="54"/>
  <c r="F2" i="57" s="1"/>
  <c r="G2" i="57"/>
  <c r="H3" i="57"/>
  <c r="M6" i="58"/>
  <c r="M6" i="60"/>
  <c r="M49" i="62" l="1"/>
  <c r="A10" i="73"/>
  <c r="J10" i="73" s="1"/>
  <c r="P41" i="63"/>
  <c r="F29" i="73"/>
  <c r="I29" i="73"/>
  <c r="K29" i="73"/>
  <c r="D29" i="73"/>
  <c r="M29" i="73"/>
  <c r="J29" i="73"/>
  <c r="G29" i="73"/>
  <c r="E29" i="73"/>
  <c r="C29" i="73"/>
  <c r="H29" i="73"/>
  <c r="L29" i="73"/>
  <c r="A24" i="73"/>
  <c r="J24" i="73" s="1"/>
  <c r="M91" i="62"/>
  <c r="P83" i="63"/>
  <c r="D37" i="66"/>
  <c r="P92" i="63"/>
  <c r="A30" i="73" s="1"/>
  <c r="M31" i="62"/>
  <c r="N31" i="62" s="1"/>
  <c r="L91" i="62"/>
  <c r="C32" i="66"/>
  <c r="E26" i="66"/>
  <c r="C28" i="66"/>
  <c r="L112" i="62"/>
  <c r="D41" i="66"/>
  <c r="D40" i="66"/>
  <c r="L109" i="62"/>
  <c r="M106" i="62"/>
  <c r="N106" i="62" s="1"/>
  <c r="L106" i="62"/>
  <c r="D39" i="66"/>
  <c r="L100" i="62"/>
  <c r="P71" i="63"/>
  <c r="L88" i="62"/>
  <c r="P62" i="63"/>
  <c r="M79" i="62" s="1"/>
  <c r="N79" i="62" s="1"/>
  <c r="D30" i="66"/>
  <c r="L79" i="62"/>
  <c r="D29" i="66"/>
  <c r="L76" i="62"/>
  <c r="N61" i="62"/>
  <c r="L61" i="62"/>
  <c r="D24" i="66"/>
  <c r="L58" i="62"/>
  <c r="D23" i="66"/>
  <c r="L49" i="62"/>
  <c r="L31" i="62"/>
  <c r="P95" i="63"/>
  <c r="O58" i="63"/>
  <c r="M2" i="60"/>
  <c r="M25" i="48"/>
  <c r="L4" i="60" s="1"/>
  <c r="D34" i="66"/>
  <c r="N52" i="62"/>
  <c r="M4" i="60"/>
  <c r="M4" i="58"/>
  <c r="P24" i="48"/>
  <c r="N3" i="60" s="1"/>
  <c r="H5" i="60"/>
  <c r="P11" i="63"/>
  <c r="A3" i="73" s="1"/>
  <c r="H2" i="60"/>
  <c r="H5" i="58"/>
  <c r="P23" i="47"/>
  <c r="N2" i="58" s="1"/>
  <c r="M5" i="58"/>
  <c r="P47" i="63"/>
  <c r="M64" i="62" s="1"/>
  <c r="N64" i="62" s="1"/>
  <c r="O70" i="63"/>
  <c r="L28" i="62"/>
  <c r="P59" i="63"/>
  <c r="M76" i="62" s="1"/>
  <c r="N76" i="62" s="1"/>
  <c r="H6" i="58"/>
  <c r="D20" i="66"/>
  <c r="D33" i="66"/>
  <c r="D14" i="66"/>
  <c r="O55" i="63"/>
  <c r="H4" i="57"/>
  <c r="O66" i="63"/>
  <c r="O102" i="63" s="1"/>
  <c r="A19" i="54"/>
  <c r="A6" i="59" s="1"/>
  <c r="G14" i="54"/>
  <c r="B8" i="54"/>
  <c r="F4" i="63" s="1"/>
  <c r="L6" i="60"/>
  <c r="H6" i="60"/>
  <c r="P24" i="47"/>
  <c r="N3" i="58" s="1"/>
  <c r="M3" i="58"/>
  <c r="M25" i="47"/>
  <c r="L4" i="58" s="1"/>
  <c r="H4" i="58"/>
  <c r="H3" i="60"/>
  <c r="M24" i="48"/>
  <c r="L3" i="60" s="1"/>
  <c r="H3" i="58"/>
  <c r="M24" i="47"/>
  <c r="L3" i="58" s="1"/>
  <c r="H2" i="58"/>
  <c r="O18" i="63"/>
  <c r="P26" i="48"/>
  <c r="N5" i="60" s="1"/>
  <c r="M5" i="60"/>
  <c r="M58" i="62" l="1"/>
  <c r="N58" i="62" s="1"/>
  <c r="E23" i="66" s="1"/>
  <c r="A13" i="73"/>
  <c r="H10" i="73"/>
  <c r="E10" i="73"/>
  <c r="D10" i="73"/>
  <c r="L10" i="73"/>
  <c r="K10" i="73"/>
  <c r="G10" i="73"/>
  <c r="F10" i="73"/>
  <c r="M10" i="73"/>
  <c r="I10" i="73"/>
  <c r="C10" i="73"/>
  <c r="N49" i="62"/>
  <c r="E20" i="66" s="1"/>
  <c r="M88" i="62"/>
  <c r="N88" i="62" s="1"/>
  <c r="E33" i="66" s="1"/>
  <c r="A23" i="73"/>
  <c r="C24" i="73"/>
  <c r="F24" i="73"/>
  <c r="I24" i="73"/>
  <c r="L24" i="73"/>
  <c r="M24" i="73"/>
  <c r="G24" i="73"/>
  <c r="H24" i="73"/>
  <c r="D24" i="73"/>
  <c r="K24" i="73"/>
  <c r="E24" i="73"/>
  <c r="M112" i="62"/>
  <c r="N112" i="62" s="1"/>
  <c r="E41" i="66" s="1"/>
  <c r="A31" i="73"/>
  <c r="I30" i="73"/>
  <c r="K30" i="73"/>
  <c r="D30" i="73"/>
  <c r="J30" i="73"/>
  <c r="G30" i="73"/>
  <c r="M30" i="73"/>
  <c r="L30" i="73"/>
  <c r="E30" i="73"/>
  <c r="F30" i="73"/>
  <c r="C30" i="73"/>
  <c r="H30" i="73"/>
  <c r="M100" i="62"/>
  <c r="N100" i="62" s="1"/>
  <c r="E37" i="66" s="1"/>
  <c r="A27" i="73"/>
  <c r="J27" i="73" s="1"/>
  <c r="C43" i="66"/>
  <c r="I33" i="73"/>
  <c r="O21" i="63"/>
  <c r="I6" i="73" s="1"/>
  <c r="O24" i="63"/>
  <c r="N91" i="62"/>
  <c r="E34" i="66" s="1"/>
  <c r="O30" i="63"/>
  <c r="S75" i="63"/>
  <c r="M109" i="62"/>
  <c r="N109" i="62" s="1"/>
  <c r="E40" i="66" s="1"/>
  <c r="E39" i="66"/>
  <c r="E30" i="66"/>
  <c r="A20" i="73"/>
  <c r="I20" i="73" s="1"/>
  <c r="E29" i="66"/>
  <c r="E24" i="66"/>
  <c r="C31" i="66"/>
  <c r="E25" i="66"/>
  <c r="A4" i="73"/>
  <c r="J4" i="73" s="1"/>
  <c r="P68" i="63"/>
  <c r="D32" i="66"/>
  <c r="L85" i="62"/>
  <c r="P56" i="63"/>
  <c r="M73" i="62" s="1"/>
  <c r="N73" i="62" s="1"/>
  <c r="L73" i="62"/>
  <c r="D28" i="66"/>
  <c r="O19" i="63"/>
  <c r="C15" i="66"/>
  <c r="P53" i="63"/>
  <c r="M70" i="62" s="1"/>
  <c r="N70" i="62" s="1"/>
  <c r="L70" i="62"/>
  <c r="D27" i="66"/>
  <c r="E3" i="53"/>
  <c r="F3" i="53" s="1"/>
  <c r="B3" i="59"/>
  <c r="S36" i="63"/>
  <c r="H3" i="73"/>
  <c r="I3" i="73"/>
  <c r="O67" i="63"/>
  <c r="M28" i="62"/>
  <c r="N28" i="62" s="1"/>
  <c r="E13" i="66" s="1"/>
  <c r="E14" i="66"/>
  <c r="E21" i="66"/>
  <c r="A19" i="73"/>
  <c r="A14" i="73"/>
  <c r="J14" i="73" s="1"/>
  <c r="C3" i="73"/>
  <c r="M3" i="73"/>
  <c r="L3" i="73"/>
  <c r="J3" i="73"/>
  <c r="G3" i="73"/>
  <c r="D3" i="73"/>
  <c r="E3" i="73"/>
  <c r="F3" i="73"/>
  <c r="K3" i="73"/>
  <c r="A15" i="73"/>
  <c r="H15" i="73" s="1"/>
  <c r="H2" i="57"/>
  <c r="O27" i="63"/>
  <c r="O28" i="63" s="1"/>
  <c r="A16" i="73"/>
  <c r="H16" i="73" s="1"/>
  <c r="C6" i="50"/>
  <c r="C6" i="49"/>
  <c r="C6" i="75"/>
  <c r="F6" i="47"/>
  <c r="F6" i="48"/>
  <c r="E13" i="73" l="1"/>
  <c r="D13" i="73"/>
  <c r="C13" i="73"/>
  <c r="M13" i="73"/>
  <c r="L13" i="73"/>
  <c r="J13" i="73"/>
  <c r="I13" i="73"/>
  <c r="H13" i="73"/>
  <c r="G13" i="73"/>
  <c r="F13" i="73"/>
  <c r="K13" i="73"/>
  <c r="F27" i="73"/>
  <c r="E27" i="73"/>
  <c r="M27" i="73"/>
  <c r="I27" i="73"/>
  <c r="C27" i="73"/>
  <c r="H27" i="73"/>
  <c r="G27" i="73"/>
  <c r="D27" i="73"/>
  <c r="L27" i="73"/>
  <c r="K27" i="73"/>
  <c r="C23" i="73"/>
  <c r="I23" i="73"/>
  <c r="H23" i="73"/>
  <c r="K23" i="73"/>
  <c r="L23" i="73"/>
  <c r="D23" i="73"/>
  <c r="G23" i="73"/>
  <c r="M23" i="73"/>
  <c r="J23" i="73"/>
  <c r="E23" i="73"/>
  <c r="F23" i="73"/>
  <c r="F31" i="73"/>
  <c r="C31" i="73"/>
  <c r="H31" i="73"/>
  <c r="G31" i="73"/>
  <c r="L31" i="73"/>
  <c r="M31" i="73"/>
  <c r="E31" i="73"/>
  <c r="J31" i="73"/>
  <c r="I31" i="73"/>
  <c r="K31" i="73"/>
  <c r="D31" i="73"/>
  <c r="A27" i="48"/>
  <c r="M31" i="48" s="1"/>
  <c r="A5" i="68"/>
  <c r="A26" i="48"/>
  <c r="A29" i="48"/>
  <c r="A8" i="60" s="1"/>
  <c r="A7" i="68"/>
  <c r="A3" i="68"/>
  <c r="A24" i="48"/>
  <c r="A3" i="60" s="1"/>
  <c r="A6" i="68"/>
  <c r="A8" i="68"/>
  <c r="A4" i="68"/>
  <c r="A25" i="48"/>
  <c r="A4" i="60" s="1"/>
  <c r="A28" i="48"/>
  <c r="A7" i="60" s="1"/>
  <c r="A2" i="68"/>
  <c r="A23" i="48"/>
  <c r="A2" i="60" s="1"/>
  <c r="A29" i="47"/>
  <c r="A8" i="58" s="1"/>
  <c r="A25" i="47"/>
  <c r="A4" i="58" s="1"/>
  <c r="A28" i="47"/>
  <c r="A7" i="58" s="1"/>
  <c r="A24" i="47"/>
  <c r="A3" i="58" s="1"/>
  <c r="A27" i="47"/>
  <c r="M31" i="47" s="1"/>
  <c r="A23" i="47"/>
  <c r="A2" i="58" s="1"/>
  <c r="A26" i="47"/>
  <c r="A7" i="67"/>
  <c r="A5" i="67"/>
  <c r="A3" i="67"/>
  <c r="A8" i="67"/>
  <c r="A4" i="67"/>
  <c r="A6" i="67"/>
  <c r="H6" i="67" s="1"/>
  <c r="E6" i="67" s="1"/>
  <c r="A2" i="67"/>
  <c r="I4" i="73"/>
  <c r="M4" i="73"/>
  <c r="M20" i="73"/>
  <c r="G4" i="73"/>
  <c r="G20" i="73"/>
  <c r="H20" i="73"/>
  <c r="K20" i="73"/>
  <c r="L20" i="73"/>
  <c r="D20" i="73"/>
  <c r="J20" i="73"/>
  <c r="F20" i="73"/>
  <c r="E20" i="73"/>
  <c r="C20" i="73"/>
  <c r="E4" i="73"/>
  <c r="F4" i="73"/>
  <c r="C4" i="73"/>
  <c r="L4" i="73"/>
  <c r="H4" i="73"/>
  <c r="C16" i="66"/>
  <c r="E27" i="66"/>
  <c r="E28" i="66"/>
  <c r="C19" i="66"/>
  <c r="P17" i="63"/>
  <c r="A18" i="73"/>
  <c r="D18" i="73" s="1"/>
  <c r="A17" i="73"/>
  <c r="J17" i="73" s="1"/>
  <c r="K4" i="73"/>
  <c r="D4" i="73"/>
  <c r="A22" i="73"/>
  <c r="M85" i="62"/>
  <c r="N85" i="62" s="1"/>
  <c r="D31" i="66"/>
  <c r="L82" i="62"/>
  <c r="C18" i="66"/>
  <c r="O25" i="63"/>
  <c r="C17" i="66"/>
  <c r="D15" i="66"/>
  <c r="L34" i="62"/>
  <c r="F19" i="73"/>
  <c r="H19" i="73"/>
  <c r="I19" i="73"/>
  <c r="I14" i="73"/>
  <c r="H14" i="73"/>
  <c r="P65" i="63"/>
  <c r="M82" i="62" s="1"/>
  <c r="N82" i="62" s="1"/>
  <c r="O31" i="63"/>
  <c r="L19" i="73"/>
  <c r="D19" i="73"/>
  <c r="E19" i="73"/>
  <c r="M19" i="73"/>
  <c r="G19" i="73"/>
  <c r="J19" i="73"/>
  <c r="C19" i="73"/>
  <c r="K19" i="73"/>
  <c r="K14" i="73"/>
  <c r="D14" i="73"/>
  <c r="E14" i="73"/>
  <c r="F14" i="73"/>
  <c r="G14" i="73"/>
  <c r="M14" i="73"/>
  <c r="C14" i="73"/>
  <c r="L14" i="73"/>
  <c r="M15" i="73"/>
  <c r="L15" i="73"/>
  <c r="J15" i="73"/>
  <c r="C15" i="73"/>
  <c r="F15" i="73"/>
  <c r="I15" i="73"/>
  <c r="E15" i="73"/>
  <c r="K15" i="73"/>
  <c r="D15" i="73"/>
  <c r="G15" i="73"/>
  <c r="L16" i="73"/>
  <c r="E16" i="73"/>
  <c r="F16" i="73"/>
  <c r="I16" i="73"/>
  <c r="J16" i="73"/>
  <c r="M16" i="73"/>
  <c r="K16" i="73"/>
  <c r="D16" i="73"/>
  <c r="C16" i="73"/>
  <c r="G16" i="73"/>
  <c r="H6" i="68" l="1"/>
  <c r="E6" i="68" s="1"/>
  <c r="M34" i="62"/>
  <c r="N34" i="62" s="1"/>
  <c r="E15" i="66" s="1"/>
  <c r="H8" i="68"/>
  <c r="E8" i="68" s="1"/>
  <c r="H37" i="68"/>
  <c r="E37" i="68" s="1"/>
  <c r="H8" i="67"/>
  <c r="E8" i="67" s="1"/>
  <c r="H37" i="67"/>
  <c r="E37" i="67" s="1"/>
  <c r="A5" i="73"/>
  <c r="M5" i="73" s="1"/>
  <c r="I17" i="73"/>
  <c r="K18" i="73"/>
  <c r="C18" i="73"/>
  <c r="J18" i="73"/>
  <c r="M17" i="73"/>
  <c r="E17" i="73"/>
  <c r="F17" i="73"/>
  <c r="H17" i="73"/>
  <c r="D17" i="73"/>
  <c r="I18" i="73"/>
  <c r="L18" i="73"/>
  <c r="L17" i="73"/>
  <c r="E31" i="66"/>
  <c r="E32" i="66"/>
  <c r="M18" i="73"/>
  <c r="K17" i="73"/>
  <c r="H18" i="73"/>
  <c r="G18" i="73"/>
  <c r="L43" i="62"/>
  <c r="E18" i="73"/>
  <c r="C17" i="73"/>
  <c r="F18" i="73"/>
  <c r="G17" i="73"/>
  <c r="P26" i="63"/>
  <c r="M43" i="62" s="1"/>
  <c r="N43" i="62" s="1"/>
  <c r="D22" i="73"/>
  <c r="G22" i="73"/>
  <c r="J22" i="73"/>
  <c r="M22" i="73"/>
  <c r="C22" i="73"/>
  <c r="F22" i="73"/>
  <c r="K22" i="73"/>
  <c r="I22" i="73"/>
  <c r="L22" i="73"/>
  <c r="H22" i="73"/>
  <c r="E22" i="73"/>
  <c r="P23" i="63"/>
  <c r="M40" i="62" s="1"/>
  <c r="N40" i="62" s="1"/>
  <c r="L40" i="62"/>
  <c r="P29" i="63"/>
  <c r="L46" i="62"/>
  <c r="D17" i="66"/>
  <c r="L37" i="62"/>
  <c r="D18" i="66"/>
  <c r="H46" i="68"/>
  <c r="E46" i="68" s="1"/>
  <c r="H39" i="68"/>
  <c r="E39" i="68" s="1"/>
  <c r="H47" i="68"/>
  <c r="E47" i="68" s="1"/>
  <c r="H40" i="68"/>
  <c r="E40" i="68" s="1"/>
  <c r="H39" i="67"/>
  <c r="E39" i="67" s="1"/>
  <c r="H46" i="67"/>
  <c r="E46" i="67" s="1"/>
  <c r="H42" i="67"/>
  <c r="E42" i="67" s="1"/>
  <c r="H49" i="67"/>
  <c r="E49" i="67" s="1"/>
  <c r="H48" i="68"/>
  <c r="E48" i="68" s="1"/>
  <c r="H41" i="68"/>
  <c r="E41" i="68" s="1"/>
  <c r="H50" i="68"/>
  <c r="E50" i="68" s="1"/>
  <c r="H43" i="68"/>
  <c r="E43" i="68" s="1"/>
  <c r="H40" i="67"/>
  <c r="E40" i="67" s="1"/>
  <c r="H47" i="67"/>
  <c r="E47" i="67" s="1"/>
  <c r="H41" i="67"/>
  <c r="E41" i="67" s="1"/>
  <c r="H48" i="67"/>
  <c r="E48" i="67" s="1"/>
  <c r="H49" i="68"/>
  <c r="E49" i="68" s="1"/>
  <c r="H42" i="68"/>
  <c r="E42" i="68" s="1"/>
  <c r="H43" i="67"/>
  <c r="E43" i="67" s="1"/>
  <c r="H50" i="67"/>
  <c r="E50" i="67" s="1"/>
  <c r="A5" i="60"/>
  <c r="A5" i="58"/>
  <c r="A21" i="73"/>
  <c r="D19" i="66"/>
  <c r="D16" i="66"/>
  <c r="H34" i="67"/>
  <c r="E34" i="67" s="1"/>
  <c r="H5" i="67"/>
  <c r="E5" i="67" s="1"/>
  <c r="H63" i="67"/>
  <c r="E63" i="67" s="1"/>
  <c r="H26" i="67"/>
  <c r="E26" i="67" s="1"/>
  <c r="H56" i="67"/>
  <c r="E56" i="67" s="1"/>
  <c r="H12" i="67"/>
  <c r="E12" i="67" s="1"/>
  <c r="H19" i="67"/>
  <c r="E19" i="67" s="1"/>
  <c r="H36" i="67"/>
  <c r="E36" i="67" s="1"/>
  <c r="H7" i="67"/>
  <c r="E7" i="67" s="1"/>
  <c r="H24" i="67"/>
  <c r="E24" i="67" s="1"/>
  <c r="H54" i="67"/>
  <c r="E54" i="67" s="1"/>
  <c r="H32" i="67"/>
  <c r="E32" i="67" s="1"/>
  <c r="H3" i="67"/>
  <c r="E3" i="67" s="1"/>
  <c r="H10" i="67"/>
  <c r="E10" i="67" s="1"/>
  <c r="H61" i="67"/>
  <c r="E61" i="67" s="1"/>
  <c r="H17" i="67"/>
  <c r="E17" i="67" s="1"/>
  <c r="A6" i="58"/>
  <c r="H33" i="67"/>
  <c r="E33" i="67" s="1"/>
  <c r="H4" i="67"/>
  <c r="E4" i="67" s="1"/>
  <c r="H62" i="67"/>
  <c r="E62" i="67" s="1"/>
  <c r="H11" i="67"/>
  <c r="E11" i="67" s="1"/>
  <c r="H18" i="67"/>
  <c r="E18" i="67" s="1"/>
  <c r="H25" i="67"/>
  <c r="E25" i="67" s="1"/>
  <c r="H55" i="67"/>
  <c r="E55" i="67" s="1"/>
  <c r="H64" i="67"/>
  <c r="E64" i="67" s="1"/>
  <c r="H13" i="67"/>
  <c r="E13" i="67" s="1"/>
  <c r="H57" i="67"/>
  <c r="E57" i="67" s="1"/>
  <c r="H35" i="67"/>
  <c r="E35" i="67" s="1"/>
  <c r="H27" i="67"/>
  <c r="E27" i="67" s="1"/>
  <c r="H20" i="67"/>
  <c r="E20" i="67" s="1"/>
  <c r="H4" i="68"/>
  <c r="E4" i="68" s="1"/>
  <c r="H62" i="68"/>
  <c r="E62" i="68" s="1"/>
  <c r="H55" i="68"/>
  <c r="E55" i="68" s="1"/>
  <c r="H33" i="68"/>
  <c r="E33" i="68" s="1"/>
  <c r="H18" i="68"/>
  <c r="E18" i="68" s="1"/>
  <c r="H11" i="68"/>
  <c r="E11" i="68" s="1"/>
  <c r="H25" i="68"/>
  <c r="E25" i="68" s="1"/>
  <c r="H53" i="68"/>
  <c r="E53" i="68" s="1"/>
  <c r="H9" i="68"/>
  <c r="E9" i="68" s="1"/>
  <c r="H2" i="68"/>
  <c r="E2" i="68" s="1"/>
  <c r="H31" i="68"/>
  <c r="E31" i="68" s="1"/>
  <c r="H23" i="68"/>
  <c r="E23" i="68" s="1"/>
  <c r="H60" i="68"/>
  <c r="E60" i="68" s="1"/>
  <c r="H16" i="68"/>
  <c r="E16" i="68" s="1"/>
  <c r="H36" i="68"/>
  <c r="E36" i="68" s="1"/>
  <c r="H7" i="68"/>
  <c r="E7" i="68" s="1"/>
  <c r="H26" i="68"/>
  <c r="E26" i="68" s="1"/>
  <c r="H63" i="68"/>
  <c r="E63" i="68" s="1"/>
  <c r="H12" i="68"/>
  <c r="E12" i="68" s="1"/>
  <c r="H56" i="68"/>
  <c r="E56" i="68" s="1"/>
  <c r="H34" i="68"/>
  <c r="E34" i="68" s="1"/>
  <c r="H19" i="68"/>
  <c r="E19" i="68" s="1"/>
  <c r="H5" i="68"/>
  <c r="E5" i="68" s="1"/>
  <c r="H13" i="68"/>
  <c r="E13" i="68" s="1"/>
  <c r="H27" i="68"/>
  <c r="E27" i="68" s="1"/>
  <c r="H35" i="68"/>
  <c r="E35" i="68" s="1"/>
  <c r="H20" i="68"/>
  <c r="E20" i="68" s="1"/>
  <c r="H57" i="68"/>
  <c r="E57" i="68" s="1"/>
  <c r="H64" i="68"/>
  <c r="E64" i="68" s="1"/>
  <c r="H61" i="68"/>
  <c r="E61" i="68" s="1"/>
  <c r="H3" i="68"/>
  <c r="E3" i="68" s="1"/>
  <c r="H54" i="68"/>
  <c r="E54" i="68" s="1"/>
  <c r="H10" i="68"/>
  <c r="E10" i="68" s="1"/>
  <c r="H32" i="68"/>
  <c r="E32" i="68" s="1"/>
  <c r="H24" i="68"/>
  <c r="E24" i="68" s="1"/>
  <c r="H17" i="68"/>
  <c r="E17" i="68" s="1"/>
  <c r="H53" i="67"/>
  <c r="E53" i="67" s="1"/>
  <c r="H31" i="67"/>
  <c r="E31" i="67" s="1"/>
  <c r="H16" i="67"/>
  <c r="E16" i="67" s="1"/>
  <c r="H9" i="67"/>
  <c r="E9" i="67" s="1"/>
  <c r="H60" i="67"/>
  <c r="E60" i="67" s="1"/>
  <c r="H2" i="67"/>
  <c r="E2" i="67" s="1"/>
  <c r="H23" i="67"/>
  <c r="E23" i="67" s="1"/>
  <c r="A6" i="60"/>
  <c r="E15" i="51" l="1"/>
  <c r="E20" i="51"/>
  <c r="E15" i="52"/>
  <c r="D16" i="52"/>
  <c r="E16" i="52"/>
  <c r="M46" i="62"/>
  <c r="N46" i="62" s="1"/>
  <c r="E19" i="66" s="1"/>
  <c r="F6" i="62"/>
  <c r="H6" i="62"/>
  <c r="D6" i="62"/>
  <c r="G6" i="62"/>
  <c r="C6" i="62"/>
  <c r="E6" i="62"/>
  <c r="E20" i="52"/>
  <c r="B15" i="51"/>
  <c r="C15" i="51" s="1"/>
  <c r="G5" i="73"/>
  <c r="D22" i="51"/>
  <c r="D23" i="52"/>
  <c r="D18" i="51"/>
  <c r="D23" i="51"/>
  <c r="D15" i="51"/>
  <c r="D17" i="52"/>
  <c r="D25" i="51"/>
  <c r="D24" i="51"/>
  <c r="D25" i="52"/>
  <c r="D17" i="51"/>
  <c r="D22" i="52"/>
  <c r="D20" i="51"/>
  <c r="D16" i="51"/>
  <c r="D18" i="52"/>
  <c r="D24" i="52"/>
  <c r="D15" i="52"/>
  <c r="D20" i="52"/>
  <c r="B20" i="52"/>
  <c r="C20" i="52" s="1"/>
  <c r="B22" i="52"/>
  <c r="C22" i="52" s="1"/>
  <c r="B15" i="52"/>
  <c r="C15" i="52" s="1"/>
  <c r="B23" i="52"/>
  <c r="C23" i="52" s="1"/>
  <c r="G37" i="68"/>
  <c r="J37" i="68"/>
  <c r="F37" i="68"/>
  <c r="G8" i="68"/>
  <c r="J8" i="68"/>
  <c r="F8" i="68"/>
  <c r="B16" i="51"/>
  <c r="C16" i="51" s="1"/>
  <c r="B20" i="51"/>
  <c r="C20" i="51" s="1"/>
  <c r="B23" i="51"/>
  <c r="C23" i="51" s="1"/>
  <c r="B22" i="51"/>
  <c r="C22" i="51" s="1"/>
  <c r="G37" i="67"/>
  <c r="F37" i="67"/>
  <c r="J37" i="67"/>
  <c r="G8" i="67"/>
  <c r="J8" i="67"/>
  <c r="F8" i="67"/>
  <c r="H5" i="73"/>
  <c r="K5" i="73"/>
  <c r="L5" i="73"/>
  <c r="I5" i="73"/>
  <c r="F5" i="73"/>
  <c r="J5" i="73"/>
  <c r="D5" i="73"/>
  <c r="E5" i="73"/>
  <c r="C5" i="73"/>
  <c r="N37" i="62"/>
  <c r="E16" i="66" s="1"/>
  <c r="E17" i="66"/>
  <c r="E18" i="66"/>
  <c r="A8" i="73"/>
  <c r="L8" i="73" s="1"/>
  <c r="A7" i="73"/>
  <c r="F7" i="73" s="1"/>
  <c r="H38" i="67"/>
  <c r="E38" i="67" s="1"/>
  <c r="H30" i="67"/>
  <c r="E30" i="67" s="1"/>
  <c r="H38" i="68"/>
  <c r="E38" i="68" s="1"/>
  <c r="H30" i="68"/>
  <c r="E30" i="68" s="1"/>
  <c r="I21" i="73"/>
  <c r="H21" i="73"/>
  <c r="L21" i="73"/>
  <c r="G21" i="73"/>
  <c r="M21" i="73"/>
  <c r="E21" i="73"/>
  <c r="D21" i="73"/>
  <c r="F21" i="73"/>
  <c r="C21" i="73"/>
  <c r="K21" i="73"/>
  <c r="J21" i="73"/>
  <c r="A9" i="73"/>
  <c r="F35" i="68"/>
  <c r="J35" i="68"/>
  <c r="G35" i="68"/>
  <c r="J31" i="68"/>
  <c r="G31" i="68"/>
  <c r="F31" i="68"/>
  <c r="F18" i="68"/>
  <c r="J18" i="68"/>
  <c r="G18" i="68"/>
  <c r="I18" i="68"/>
  <c r="J60" i="67"/>
  <c r="E25" i="51"/>
  <c r="F60" i="67"/>
  <c r="B25" i="51"/>
  <c r="C25" i="51" s="1"/>
  <c r="G60" i="67"/>
  <c r="G32" i="68"/>
  <c r="F32" i="68"/>
  <c r="J32" i="68"/>
  <c r="G27" i="68"/>
  <c r="J27" i="68"/>
  <c r="I27" i="68"/>
  <c r="F27" i="68"/>
  <c r="G2" i="68"/>
  <c r="F2" i="68"/>
  <c r="J2" i="68"/>
  <c r="F33" i="68"/>
  <c r="G33" i="68"/>
  <c r="J33" i="68"/>
  <c r="J18" i="67"/>
  <c r="F18" i="67"/>
  <c r="G18" i="67"/>
  <c r="J5" i="67"/>
  <c r="G5" i="67"/>
  <c r="F5" i="67"/>
  <c r="G57" i="67"/>
  <c r="F57" i="67"/>
  <c r="J57" i="67"/>
  <c r="J47" i="67"/>
  <c r="I47" i="67"/>
  <c r="G47" i="67"/>
  <c r="F47" i="67"/>
  <c r="G46" i="67"/>
  <c r="E23" i="51"/>
  <c r="I46" i="67"/>
  <c r="J46" i="67"/>
  <c r="F46" i="67"/>
  <c r="I10" i="68"/>
  <c r="J10" i="68"/>
  <c r="G10" i="68"/>
  <c r="F10" i="68"/>
  <c r="G64" i="68"/>
  <c r="F64" i="68"/>
  <c r="J64" i="68"/>
  <c r="I13" i="68"/>
  <c r="G13" i="68"/>
  <c r="F13" i="68"/>
  <c r="J13" i="68"/>
  <c r="G5" i="68"/>
  <c r="J5" i="68"/>
  <c r="F5" i="68"/>
  <c r="G26" i="68"/>
  <c r="I26" i="68"/>
  <c r="F26" i="68"/>
  <c r="J26" i="68"/>
  <c r="G39" i="68"/>
  <c r="J39" i="68"/>
  <c r="I39" i="68"/>
  <c r="F39" i="68"/>
  <c r="E22" i="52"/>
  <c r="E24" i="52"/>
  <c r="F53" i="68"/>
  <c r="B24" i="52"/>
  <c r="C24" i="52" s="1"/>
  <c r="J53" i="68"/>
  <c r="G53" i="68"/>
  <c r="F62" i="68"/>
  <c r="G62" i="68"/>
  <c r="J62" i="68"/>
  <c r="G13" i="67"/>
  <c r="J13" i="67"/>
  <c r="F13" i="67"/>
  <c r="F62" i="67"/>
  <c r="G62" i="67"/>
  <c r="J62" i="67"/>
  <c r="F3" i="67"/>
  <c r="J3" i="67"/>
  <c r="G3" i="67"/>
  <c r="G19" i="67"/>
  <c r="F19" i="67"/>
  <c r="J19" i="67"/>
  <c r="F49" i="67"/>
  <c r="J49" i="67"/>
  <c r="I49" i="67"/>
  <c r="G49" i="67"/>
  <c r="F2" i="67"/>
  <c r="G2" i="67"/>
  <c r="J2" i="67"/>
  <c r="F24" i="68"/>
  <c r="G24" i="68"/>
  <c r="I24" i="68"/>
  <c r="J24" i="68"/>
  <c r="J27" i="67"/>
  <c r="F27" i="67"/>
  <c r="G27" i="67"/>
  <c r="I27" i="67"/>
  <c r="J10" i="67"/>
  <c r="G10" i="67"/>
  <c r="F10" i="67"/>
  <c r="J12" i="68"/>
  <c r="F12" i="68"/>
  <c r="G12" i="68"/>
  <c r="I12" i="68"/>
  <c r="G36" i="68"/>
  <c r="F36" i="68"/>
  <c r="J36" i="68"/>
  <c r="G35" i="67"/>
  <c r="J35" i="67"/>
  <c r="F35" i="67"/>
  <c r="G40" i="67"/>
  <c r="F40" i="67"/>
  <c r="I40" i="67"/>
  <c r="J40" i="67"/>
  <c r="F9" i="68"/>
  <c r="G9" i="68"/>
  <c r="I9" i="68"/>
  <c r="J9" i="68"/>
  <c r="B16" i="52"/>
  <c r="C16" i="52" s="1"/>
  <c r="F55" i="68"/>
  <c r="G55" i="68"/>
  <c r="J55" i="68"/>
  <c r="F11" i="67"/>
  <c r="G11" i="67"/>
  <c r="J11" i="67"/>
  <c r="F16" i="67"/>
  <c r="J16" i="67"/>
  <c r="G16" i="67"/>
  <c r="B17" i="51"/>
  <c r="C17" i="51" s="1"/>
  <c r="E17" i="51"/>
  <c r="J54" i="68"/>
  <c r="F54" i="68"/>
  <c r="G54" i="68"/>
  <c r="I50" i="68"/>
  <c r="F50" i="68"/>
  <c r="J50" i="68"/>
  <c r="G50" i="68"/>
  <c r="I49" i="68"/>
  <c r="G49" i="68"/>
  <c r="J49" i="68"/>
  <c r="F49" i="68"/>
  <c r="F46" i="68"/>
  <c r="G46" i="68"/>
  <c r="J46" i="68"/>
  <c r="I46" i="68"/>
  <c r="E23" i="52"/>
  <c r="F48" i="68"/>
  <c r="I48" i="68"/>
  <c r="G48" i="68"/>
  <c r="J48" i="68"/>
  <c r="F4" i="68"/>
  <c r="J4" i="68"/>
  <c r="G4" i="68"/>
  <c r="F64" i="67"/>
  <c r="J64" i="67"/>
  <c r="G64" i="67"/>
  <c r="I41" i="67"/>
  <c r="J41" i="67"/>
  <c r="F41" i="67"/>
  <c r="G41" i="67"/>
  <c r="F32" i="67"/>
  <c r="G32" i="67"/>
  <c r="J32" i="67"/>
  <c r="J42" i="67"/>
  <c r="I42" i="67"/>
  <c r="G42" i="67"/>
  <c r="F42" i="67"/>
  <c r="F7" i="68"/>
  <c r="G7" i="68"/>
  <c r="J7" i="68"/>
  <c r="I25" i="67"/>
  <c r="F25" i="67"/>
  <c r="G25" i="67"/>
  <c r="J25" i="67"/>
  <c r="F63" i="67"/>
  <c r="G63" i="67"/>
  <c r="J63" i="67"/>
  <c r="F9" i="67"/>
  <c r="J9" i="67"/>
  <c r="E16" i="51"/>
  <c r="G9" i="67"/>
  <c r="I47" i="68"/>
  <c r="J47" i="68"/>
  <c r="G47" i="68"/>
  <c r="F47" i="68"/>
  <c r="F6" i="68"/>
  <c r="G6" i="68"/>
  <c r="J6" i="68"/>
  <c r="G63" i="68"/>
  <c r="F63" i="68"/>
  <c r="J63" i="68"/>
  <c r="G34" i="67"/>
  <c r="F34" i="67"/>
  <c r="J34" i="67"/>
  <c r="F31" i="67"/>
  <c r="J31" i="67"/>
  <c r="G31" i="67"/>
  <c r="F3" i="68"/>
  <c r="J3" i="68"/>
  <c r="G3" i="68"/>
  <c r="F57" i="68"/>
  <c r="G57" i="68"/>
  <c r="J57" i="68"/>
  <c r="G19" i="68"/>
  <c r="F19" i="68"/>
  <c r="J19" i="68"/>
  <c r="I19" i="68"/>
  <c r="I16" i="68"/>
  <c r="F16" i="68"/>
  <c r="B17" i="52"/>
  <c r="C17" i="52" s="1"/>
  <c r="G16" i="68"/>
  <c r="E17" i="52"/>
  <c r="J16" i="68"/>
  <c r="G25" i="68"/>
  <c r="F25" i="68"/>
  <c r="J25" i="68"/>
  <c r="I25" i="68"/>
  <c r="F6" i="67"/>
  <c r="J6" i="67"/>
  <c r="G6" i="67"/>
  <c r="J4" i="67"/>
  <c r="G4" i="67"/>
  <c r="F4" i="67"/>
  <c r="F54" i="67"/>
  <c r="J54" i="67"/>
  <c r="G54" i="67"/>
  <c r="F7" i="67"/>
  <c r="G7" i="67"/>
  <c r="J7" i="67"/>
  <c r="G12" i="67"/>
  <c r="J12" i="67"/>
  <c r="F12" i="67"/>
  <c r="J56" i="68"/>
  <c r="G56" i="68"/>
  <c r="F56" i="68"/>
  <c r="E22" i="51"/>
  <c r="I39" i="67"/>
  <c r="J39" i="67"/>
  <c r="G39" i="67"/>
  <c r="F39" i="67"/>
  <c r="E24" i="51"/>
  <c r="F53" i="67"/>
  <c r="G53" i="67"/>
  <c r="B24" i="51"/>
  <c r="C24" i="51" s="1"/>
  <c r="J53" i="67"/>
  <c r="G40" i="68"/>
  <c r="I40" i="68"/>
  <c r="J40" i="68"/>
  <c r="F40" i="68"/>
  <c r="J20" i="68"/>
  <c r="F20" i="68"/>
  <c r="I20" i="68"/>
  <c r="G20" i="68"/>
  <c r="F34" i="68"/>
  <c r="J34" i="68"/>
  <c r="G34" i="68"/>
  <c r="B25" i="52"/>
  <c r="C25" i="52" s="1"/>
  <c r="F60" i="68"/>
  <c r="G60" i="68"/>
  <c r="E25" i="52"/>
  <c r="J60" i="68"/>
  <c r="F11" i="68"/>
  <c r="J11" i="68"/>
  <c r="I11" i="68"/>
  <c r="G11" i="68"/>
  <c r="F43" i="67"/>
  <c r="J43" i="67"/>
  <c r="G43" i="67"/>
  <c r="G48" i="67"/>
  <c r="I48" i="67"/>
  <c r="F48" i="67"/>
  <c r="J48" i="67"/>
  <c r="J17" i="67"/>
  <c r="G17" i="67"/>
  <c r="F17" i="67"/>
  <c r="I24" i="67"/>
  <c r="J24" i="67"/>
  <c r="G24" i="67"/>
  <c r="F24" i="67"/>
  <c r="F36" i="67"/>
  <c r="J36" i="67"/>
  <c r="G36" i="67"/>
  <c r="F56" i="67"/>
  <c r="G56" i="67"/>
  <c r="J56" i="67"/>
  <c r="G23" i="67"/>
  <c r="I23" i="67"/>
  <c r="B18" i="51"/>
  <c r="C18" i="51" s="1"/>
  <c r="J23" i="67"/>
  <c r="F23" i="67"/>
  <c r="E18" i="51"/>
  <c r="G17" i="68"/>
  <c r="I17" i="68"/>
  <c r="J17" i="68"/>
  <c r="F17" i="68"/>
  <c r="J61" i="68"/>
  <c r="G61" i="68"/>
  <c r="F61" i="68"/>
  <c r="F43" i="68"/>
  <c r="I43" i="68"/>
  <c r="G43" i="68"/>
  <c r="J43" i="68"/>
  <c r="I42" i="68"/>
  <c r="F42" i="68"/>
  <c r="J42" i="68"/>
  <c r="G42" i="68"/>
  <c r="B18" i="52"/>
  <c r="C18" i="52" s="1"/>
  <c r="J23" i="68"/>
  <c r="G23" i="68"/>
  <c r="E18" i="52"/>
  <c r="I23" i="68"/>
  <c r="F23" i="68"/>
  <c r="G41" i="68"/>
  <c r="I41" i="68"/>
  <c r="J41" i="68"/>
  <c r="F41" i="68"/>
  <c r="G20" i="67"/>
  <c r="I20" i="67"/>
  <c r="F20" i="67"/>
  <c r="J20" i="67"/>
  <c r="J50" i="67"/>
  <c r="G50" i="67"/>
  <c r="F50" i="67"/>
  <c r="I50" i="67"/>
  <c r="F55" i="67"/>
  <c r="J55" i="67"/>
  <c r="G55" i="67"/>
  <c r="F33" i="67"/>
  <c r="J33" i="67"/>
  <c r="G33" i="67"/>
  <c r="G61" i="67"/>
  <c r="F61" i="67"/>
  <c r="J61" i="67"/>
  <c r="G26" i="67"/>
  <c r="J26" i="67"/>
  <c r="I26" i="67"/>
  <c r="F26" i="67"/>
  <c r="O56" i="67" a="1"/>
  <c r="I6" i="62" l="1"/>
  <c r="K6" i="62"/>
  <c r="D9" i="62"/>
  <c r="C9" i="62"/>
  <c r="D10" i="62"/>
  <c r="J68" i="68"/>
  <c r="F6" i="52" s="1"/>
  <c r="J69" i="67"/>
  <c r="E6" i="51" s="1"/>
  <c r="J68" i="67"/>
  <c r="F6" i="51" s="1"/>
  <c r="J69" i="68"/>
  <c r="E6" i="52" s="1"/>
  <c r="O56" i="67"/>
  <c r="C56" i="69" s="1"/>
  <c r="H9" i="62"/>
  <c r="I8" i="73"/>
  <c r="G7" i="73"/>
  <c r="H8" i="73"/>
  <c r="G8" i="73"/>
  <c r="K8" i="73"/>
  <c r="M8" i="73"/>
  <c r="E8" i="73"/>
  <c r="D8" i="73"/>
  <c r="J8" i="73"/>
  <c r="C8" i="73"/>
  <c r="J7" i="73"/>
  <c r="C7" i="73"/>
  <c r="K7" i="73"/>
  <c r="E7" i="73"/>
  <c r="L7" i="73"/>
  <c r="D7" i="73"/>
  <c r="I7" i="73"/>
  <c r="M7" i="73"/>
  <c r="F8" i="73"/>
  <c r="H7" i="73"/>
  <c r="C9" i="73"/>
  <c r="H9" i="73"/>
  <c r="I9" i="73"/>
  <c r="L9" i="73"/>
  <c r="G9" i="73"/>
  <c r="E9" i="73"/>
  <c r="D9" i="73"/>
  <c r="J9" i="73"/>
  <c r="F9" i="73"/>
  <c r="M9" i="73"/>
  <c r="K9" i="73"/>
  <c r="G30" i="67"/>
  <c r="F30" i="67"/>
  <c r="J30" i="67"/>
  <c r="D19" i="51"/>
  <c r="C19" i="51" s="1"/>
  <c r="E19" i="51"/>
  <c r="G30" i="68"/>
  <c r="J30" i="68"/>
  <c r="J71" i="68" s="1"/>
  <c r="D6" i="52" s="1"/>
  <c r="D19" i="52"/>
  <c r="C19" i="52" s="1"/>
  <c r="F30" i="68"/>
  <c r="E19" i="52"/>
  <c r="F38" i="67"/>
  <c r="D21" i="51"/>
  <c r="C21" i="51" s="1"/>
  <c r="J38" i="67"/>
  <c r="G38" i="67"/>
  <c r="E21" i="51"/>
  <c r="J38" i="68"/>
  <c r="J70" i="68" s="1"/>
  <c r="D21" i="52"/>
  <c r="C21" i="52" s="1"/>
  <c r="G38" i="68"/>
  <c r="E21" i="52"/>
  <c r="F38" i="68"/>
  <c r="O3" i="73" a="1"/>
  <c r="P33" i="73" a="1"/>
  <c r="W19" i="73" a="1"/>
  <c r="T11" i="73" a="1"/>
  <c r="S6" i="73" a="1"/>
  <c r="S21" i="73" a="1"/>
  <c r="T19" i="73" a="1"/>
  <c r="P14" i="73" a="1"/>
  <c r="T7" i="73" a="1"/>
  <c r="S23" i="73" a="1"/>
  <c r="T10" i="73" a="1"/>
  <c r="Y16" i="73" a="1"/>
  <c r="Q19" i="73" a="1"/>
  <c r="S15" i="73" a="1"/>
  <c r="S4" i="73" a="1"/>
  <c r="O28" i="73" a="1"/>
  <c r="U18" i="73" a="1"/>
  <c r="O41" i="68" a="1"/>
  <c r="O27" i="73" a="1"/>
  <c r="O15" i="73" a="1"/>
  <c r="U4" i="73" a="1"/>
  <c r="O22" i="73" a="1"/>
  <c r="P17" i="73" a="1"/>
  <c r="O35" i="67" a="1"/>
  <c r="S31" i="73" a="1"/>
  <c r="O21" i="67" a="1"/>
  <c r="R12" i="73" a="1"/>
  <c r="T17" i="73" a="1"/>
  <c r="O29" i="73" a="1"/>
  <c r="Q29" i="73" a="1"/>
  <c r="T20" i="73" a="1"/>
  <c r="P32" i="73" a="1"/>
  <c r="W15" i="73" a="1"/>
  <c r="O16" i="73" a="1"/>
  <c r="T14" i="73" a="1"/>
  <c r="S7" i="73" a="1"/>
  <c r="T16" i="73" a="1"/>
  <c r="O28" i="67" a="1"/>
  <c r="W11" i="73" a="1"/>
  <c r="Y10" i="73" a="1"/>
  <c r="T28" i="73" a="1"/>
  <c r="V12" i="73" a="1"/>
  <c r="T23" i="73" a="1"/>
  <c r="O19" i="73" a="1"/>
  <c r="S9" i="73" a="1"/>
  <c r="Q27" i="73" a="1"/>
  <c r="R3" i="73" a="1"/>
  <c r="O21" i="73" a="1"/>
  <c r="S27" i="73" a="1"/>
  <c r="U24" i="73" a="1"/>
  <c r="O34" i="67" a="1"/>
  <c r="S13" i="73" a="1"/>
  <c r="V30" i="73" a="1"/>
  <c r="R12" i="73" l="1"/>
  <c r="R3" i="73"/>
  <c r="U24" i="73"/>
  <c r="U4" i="73"/>
  <c r="U18" i="73"/>
  <c r="Y10" i="73"/>
  <c r="K22" i="75" s="1"/>
  <c r="Y16" i="73"/>
  <c r="Q19" i="73"/>
  <c r="Q29" i="73"/>
  <c r="Q27" i="73"/>
  <c r="W11" i="73"/>
  <c r="I23" i="75" s="1"/>
  <c r="W15" i="73"/>
  <c r="W19" i="73"/>
  <c r="O29" i="73"/>
  <c r="O27" i="73"/>
  <c r="O3" i="73"/>
  <c r="O19" i="73"/>
  <c r="O28" i="73"/>
  <c r="O15" i="73"/>
  <c r="O16" i="73"/>
  <c r="O22" i="73"/>
  <c r="O21" i="73"/>
  <c r="S27" i="73"/>
  <c r="S4" i="73"/>
  <c r="S23" i="73"/>
  <c r="S9" i="73"/>
  <c r="S31" i="73"/>
  <c r="S21" i="73"/>
  <c r="S15" i="73"/>
  <c r="S7" i="73"/>
  <c r="S13" i="73"/>
  <c r="E25" i="75" s="1"/>
  <c r="S6" i="73"/>
  <c r="V12" i="73"/>
  <c r="V30" i="73"/>
  <c r="T28" i="73"/>
  <c r="T19" i="73"/>
  <c r="T20" i="73"/>
  <c r="T7" i="73"/>
  <c r="T10" i="73"/>
  <c r="F22" i="75" s="1"/>
  <c r="T14" i="73"/>
  <c r="T17" i="73"/>
  <c r="T11" i="73"/>
  <c r="F23" i="75" s="1"/>
  <c r="T23" i="73"/>
  <c r="T16" i="73"/>
  <c r="P17" i="73"/>
  <c r="P14" i="73"/>
  <c r="P32" i="73"/>
  <c r="P33" i="73"/>
  <c r="O34" i="67"/>
  <c r="C34" i="69" s="1"/>
  <c r="O35" i="67"/>
  <c r="C35" i="69" s="1"/>
  <c r="O21" i="67"/>
  <c r="C21" i="69" s="1"/>
  <c r="O28" i="67"/>
  <c r="C28" i="69" s="1"/>
  <c r="O41" i="68"/>
  <c r="C41" i="70" s="1"/>
  <c r="E106" i="63"/>
  <c r="K9" i="62"/>
  <c r="J71" i="67"/>
  <c r="D6" i="51" s="1"/>
  <c r="C6" i="52"/>
  <c r="C13" i="50" s="1"/>
  <c r="J70" i="67"/>
  <c r="C6" i="51" s="1"/>
  <c r="B6" i="51"/>
  <c r="G24" i="51" a="1"/>
  <c r="G24" i="51" s="1"/>
  <c r="G25" i="51" a="1"/>
  <c r="G25" i="51" s="1"/>
  <c r="I22" i="52" a="1"/>
  <c r="I22" i="52" s="1"/>
  <c r="J22" i="52" s="1"/>
  <c r="I17" i="51" a="1"/>
  <c r="I17" i="51" s="1"/>
  <c r="J17" i="51" s="1"/>
  <c r="G22" i="51" a="1"/>
  <c r="G22" i="51" s="1"/>
  <c r="A26" i="49" s="1"/>
  <c r="I23" i="51" a="1"/>
  <c r="I23" i="51" s="1"/>
  <c r="J23" i="51" s="1"/>
  <c r="G21" i="51" a="1"/>
  <c r="G21" i="51" s="1"/>
  <c r="A25" i="49" s="1"/>
  <c r="H24" i="51" a="1"/>
  <c r="H24" i="51" s="1"/>
  <c r="H21" i="51" a="1"/>
  <c r="H21" i="51" s="1"/>
  <c r="B25" i="49" s="1"/>
  <c r="I19" i="51" a="1"/>
  <c r="I19" i="51" s="1"/>
  <c r="J19" i="51" s="1"/>
  <c r="G23" i="51" a="1"/>
  <c r="G23" i="51" s="1"/>
  <c r="A27" i="49" s="1"/>
  <c r="G20" i="51" a="1"/>
  <c r="G20" i="51" s="1"/>
  <c r="A24" i="49" s="1"/>
  <c r="I25" i="51" a="1"/>
  <c r="I25" i="51" s="1"/>
  <c r="J25" i="51" s="1"/>
  <c r="I24" i="51" a="1"/>
  <c r="I24" i="51" s="1"/>
  <c r="J24" i="51" s="1"/>
  <c r="I21" i="51" a="1"/>
  <c r="I21" i="51" s="1"/>
  <c r="J21" i="51" s="1"/>
  <c r="H18" i="51" a="1"/>
  <c r="H18" i="51" s="1"/>
  <c r="B22" i="49" s="1"/>
  <c r="H20" i="51" a="1"/>
  <c r="H20" i="51" s="1"/>
  <c r="B24" i="49" s="1"/>
  <c r="H23" i="51" a="1"/>
  <c r="H23" i="51" s="1"/>
  <c r="B27" i="49" s="1"/>
  <c r="H25" i="51" a="1"/>
  <c r="H25" i="51" s="1"/>
  <c r="I16" i="51" a="1"/>
  <c r="I16" i="51" s="1"/>
  <c r="J16" i="51" s="1"/>
  <c r="G16" i="51" a="1"/>
  <c r="G16" i="51" s="1"/>
  <c r="A20" i="49" s="1"/>
  <c r="I22" i="51" a="1"/>
  <c r="I22" i="51" s="1"/>
  <c r="J22" i="51" s="1"/>
  <c r="H17" i="51" a="1"/>
  <c r="H17" i="51" s="1"/>
  <c r="B21" i="49" s="1"/>
  <c r="H25" i="52" a="1"/>
  <c r="H25" i="52" s="1"/>
  <c r="H16" i="51" a="1"/>
  <c r="H16" i="51" s="1"/>
  <c r="B20" i="49" s="1"/>
  <c r="I18" i="51" a="1"/>
  <c r="I18" i="51" s="1"/>
  <c r="J18" i="51" s="1"/>
  <c r="G15" i="51" a="1"/>
  <c r="G15" i="51" s="1"/>
  <c r="A19" i="49" s="1"/>
  <c r="H15" i="51" a="1"/>
  <c r="H15" i="51" s="1"/>
  <c r="B19" i="49" s="1"/>
  <c r="I19" i="52" a="1"/>
  <c r="I19" i="52" s="1"/>
  <c r="J19" i="52" s="1"/>
  <c r="G19" i="51" a="1"/>
  <c r="G19" i="51" s="1"/>
  <c r="A23" i="49" s="1"/>
  <c r="G18" i="51" a="1"/>
  <c r="G18" i="51" s="1"/>
  <c r="A22" i="49" s="1"/>
  <c r="G17" i="51" a="1"/>
  <c r="G17" i="51" s="1"/>
  <c r="A21" i="49" s="1"/>
  <c r="I20" i="51" a="1"/>
  <c r="I20" i="51" s="1"/>
  <c r="J20" i="51" s="1"/>
  <c r="I25" i="52" a="1"/>
  <c r="I25" i="52" s="1"/>
  <c r="J25" i="52" s="1"/>
  <c r="G22" i="52" a="1"/>
  <c r="G22" i="52" s="1"/>
  <c r="A26" i="50" s="1"/>
  <c r="G19" i="52" a="1"/>
  <c r="G19" i="52" s="1"/>
  <c r="A23" i="50" s="1"/>
  <c r="I15" i="51" a="1"/>
  <c r="I15" i="51" s="1"/>
  <c r="H22" i="51" a="1"/>
  <c r="H22" i="51" s="1"/>
  <c r="B26" i="49" s="1"/>
  <c r="H19" i="51" a="1"/>
  <c r="H19" i="51" s="1"/>
  <c r="B23" i="49" s="1"/>
  <c r="G17" i="52" a="1"/>
  <c r="G17" i="52" s="1"/>
  <c r="A21" i="50" s="1"/>
  <c r="I16" i="52" a="1"/>
  <c r="I16" i="52" s="1"/>
  <c r="J16" i="52" s="1"/>
  <c r="I20" i="52" a="1"/>
  <c r="I20" i="52" s="1"/>
  <c r="J20" i="52" s="1"/>
  <c r="I24" i="52" a="1"/>
  <c r="I24" i="52" s="1"/>
  <c r="J24" i="52" s="1"/>
  <c r="H23" i="52" a="1"/>
  <c r="H23" i="52" s="1"/>
  <c r="B27" i="50" s="1"/>
  <c r="H16" i="52" a="1"/>
  <c r="H16" i="52" s="1"/>
  <c r="B20" i="50" s="1"/>
  <c r="F13" i="50"/>
  <c r="W14" i="48"/>
  <c r="H15" i="52" a="1"/>
  <c r="H15" i="52" s="1"/>
  <c r="B19" i="50" s="1"/>
  <c r="G15" i="52" a="1"/>
  <c r="G15" i="52" s="1"/>
  <c r="A19" i="50" s="1"/>
  <c r="H18" i="52" a="1"/>
  <c r="H18" i="52" s="1"/>
  <c r="B22" i="50" s="1"/>
  <c r="H22" i="52" a="1"/>
  <c r="H22" i="52" s="1"/>
  <c r="B26" i="50" s="1"/>
  <c r="G18" i="52" a="1"/>
  <c r="G18" i="52" s="1"/>
  <c r="A22" i="50" s="1"/>
  <c r="D13" i="50"/>
  <c r="L14" i="48"/>
  <c r="G24" i="52" a="1"/>
  <c r="G24" i="52" s="1"/>
  <c r="G21" i="52" a="1"/>
  <c r="G21" i="52" s="1"/>
  <c r="A25" i="50" s="1"/>
  <c r="G16" i="52" a="1"/>
  <c r="G16" i="52" s="1"/>
  <c r="A20" i="50" s="1"/>
  <c r="G20" i="52" a="1"/>
  <c r="G20" i="52" s="1"/>
  <c r="A24" i="50" s="1"/>
  <c r="I21" i="52" a="1"/>
  <c r="I21" i="52" s="1"/>
  <c r="J21" i="52" s="1"/>
  <c r="H19" i="52" a="1"/>
  <c r="H19" i="52" s="1"/>
  <c r="B23" i="50" s="1"/>
  <c r="W14" i="47"/>
  <c r="F13" i="49"/>
  <c r="I15" i="52" a="1"/>
  <c r="I15" i="52" s="1"/>
  <c r="G23" i="52" a="1"/>
  <c r="G23" i="52" s="1"/>
  <c r="A27" i="50" s="1"/>
  <c r="I18" i="52" a="1"/>
  <c r="I18" i="52" s="1"/>
  <c r="J18" i="52" s="1"/>
  <c r="H17" i="52" a="1"/>
  <c r="H17" i="52" s="1"/>
  <c r="B21" i="50" s="1"/>
  <c r="G25" i="52" a="1"/>
  <c r="G25" i="52" s="1"/>
  <c r="H21" i="52" a="1"/>
  <c r="H21" i="52" s="1"/>
  <c r="B25" i="50" s="1"/>
  <c r="I23" i="52" a="1"/>
  <c r="I23" i="52" s="1"/>
  <c r="J23" i="52" s="1"/>
  <c r="E13" i="50"/>
  <c r="S14" i="48"/>
  <c r="B6" i="52"/>
  <c r="H20" i="52" a="1"/>
  <c r="H20" i="52" s="1"/>
  <c r="B24" i="50" s="1"/>
  <c r="H24" i="52" a="1"/>
  <c r="H24" i="52" s="1"/>
  <c r="I17" i="52" a="1"/>
  <c r="I17" i="52" s="1"/>
  <c r="J17" i="52" s="1"/>
  <c r="S14" i="47"/>
  <c r="E13" i="49"/>
  <c r="Y23" i="73" a="1"/>
  <c r="P11" i="73" a="1"/>
  <c r="P27" i="73" a="1"/>
  <c r="P15" i="73" a="1"/>
  <c r="O6" i="73" a="1"/>
  <c r="S33" i="73" a="1"/>
  <c r="S8" i="73" a="1"/>
  <c r="V27" i="73" a="1"/>
  <c r="R6" i="73" a="1"/>
  <c r="X14" i="73" a="1"/>
  <c r="T21" i="73" a="1"/>
  <c r="Q32" i="73" a="1"/>
  <c r="V4" i="73" a="1"/>
  <c r="R5" i="73" a="1"/>
  <c r="T15" i="73" a="1"/>
  <c r="T32" i="73" a="1"/>
  <c r="R16" i="73" a="1"/>
  <c r="Y13" i="73" a="1"/>
  <c r="U16" i="73" a="1"/>
  <c r="R8" i="73" a="1"/>
  <c r="Y25" i="73" a="1"/>
  <c r="T12" i="73" a="1"/>
  <c r="T13" i="73" a="1"/>
  <c r="Q6" i="73" a="1"/>
  <c r="P21" i="73" a="1"/>
  <c r="U15" i="73" a="1"/>
  <c r="V9" i="73" a="1"/>
  <c r="O13" i="73" a="1"/>
  <c r="W17" i="73" a="1"/>
  <c r="Y20" i="73" a="1"/>
  <c r="S3" i="73" a="1"/>
  <c r="Y22" i="73" a="1"/>
  <c r="O11" i="73" a="1"/>
  <c r="Q3" i="73" a="1"/>
  <c r="W26" i="73" a="1"/>
  <c r="S10" i="73" a="1"/>
  <c r="R31" i="73" a="1"/>
  <c r="Y7" i="73" a="1"/>
  <c r="R28" i="73" a="1"/>
  <c r="V8" i="73" a="1"/>
  <c r="X28" i="73" a="1"/>
  <c r="O18" i="73" a="1"/>
  <c r="Y30" i="73" a="1"/>
  <c r="V10" i="73" a="1"/>
  <c r="P25" i="73" a="1"/>
  <c r="P4" i="73" a="1"/>
  <c r="Q16" i="73" a="1"/>
  <c r="R7" i="73" a="1"/>
  <c r="Q9" i="73" a="1"/>
  <c r="Y18" i="73" a="1"/>
  <c r="Y14" i="73" a="1"/>
  <c r="P13" i="73" a="1"/>
  <c r="Q17" i="73" a="1"/>
  <c r="O4" i="73" a="1"/>
  <c r="U30" i="73" a="1"/>
  <c r="U25" i="73" a="1"/>
  <c r="S18" i="73" a="1"/>
  <c r="S32" i="73" a="1"/>
  <c r="W20" i="73" a="1"/>
  <c r="S19" i="73" a="1"/>
  <c r="R10" i="73" a="1"/>
  <c r="U29" i="73" a="1"/>
  <c r="U6" i="73" a="1"/>
  <c r="V11" i="73" a="1"/>
  <c r="X18" i="73" a="1"/>
  <c r="S28" i="73" a="1"/>
  <c r="X5" i="73" a="1"/>
  <c r="W8" i="73" a="1"/>
  <c r="O25" i="73" a="1"/>
  <c r="S22" i="73" a="1"/>
  <c r="O5" i="73" a="1"/>
  <c r="V14" i="73" a="1"/>
  <c r="V6" i="73" a="1"/>
  <c r="W28" i="73" a="1"/>
  <c r="P31" i="73" a="1"/>
  <c r="P5" i="73" a="1"/>
  <c r="P16" i="73" a="1"/>
  <c r="Q28" i="73" a="1"/>
  <c r="R15" i="73" a="1"/>
  <c r="U10" i="73" a="1"/>
  <c r="W10" i="73" a="1"/>
  <c r="U13" i="73" a="1"/>
  <c r="V29" i="73" a="1"/>
  <c r="W9" i="73" a="1"/>
  <c r="Y9" i="73" a="1"/>
  <c r="V20" i="73" a="1"/>
  <c r="O30" i="73" a="1"/>
  <c r="O7" i="73" a="1"/>
  <c r="P9" i="73" a="1"/>
  <c r="P19" i="73" a="1"/>
  <c r="O14" i="73" a="1"/>
  <c r="W29" i="73" a="1"/>
  <c r="U17" i="73" a="1"/>
  <c r="Q14" i="73" a="1"/>
  <c r="V5" i="73" a="1"/>
  <c r="V3" i="73" a="1"/>
  <c r="U20" i="73" a="1"/>
  <c r="X23" i="73" a="1"/>
  <c r="O10" i="73" a="1"/>
  <c r="U23" i="73" a="1"/>
  <c r="V18" i="73" a="1"/>
  <c r="Y17" i="73" a="1"/>
  <c r="Y26" i="73" a="1"/>
  <c r="X13" i="73" a="1"/>
  <c r="S16" i="73" a="1"/>
  <c r="W13" i="73" a="1"/>
  <c r="V28" i="73" a="1"/>
  <c r="X3" i="73" a="1"/>
  <c r="X24" i="73" a="1"/>
  <c r="T4" i="73" a="1"/>
  <c r="P28" i="73" a="1"/>
  <c r="X19" i="73" a="1"/>
  <c r="X25" i="73" a="1"/>
  <c r="X32" i="73" a="1"/>
  <c r="W22" i="73" a="1"/>
  <c r="P20" i="73" a="1"/>
  <c r="X9" i="73" a="1"/>
  <c r="R29" i="73" a="1"/>
  <c r="Q26" i="73" a="1"/>
  <c r="R9" i="73" a="1"/>
  <c r="R4" i="73" a="1"/>
  <c r="Y27" i="73" a="1"/>
  <c r="Q12" i="73" a="1"/>
  <c r="X7" i="73" a="1"/>
  <c r="P18" i="73" a="1"/>
  <c r="T31" i="73" a="1"/>
  <c r="S29" i="73" a="1"/>
  <c r="Y11" i="73" a="1"/>
  <c r="Y4" i="73" a="1"/>
  <c r="Q23" i="73" a="1"/>
  <c r="R33" i="73" a="1"/>
  <c r="O23" i="73" a="1"/>
  <c r="X16" i="73" a="1"/>
  <c r="W25" i="73" a="1"/>
  <c r="W5" i="73" a="1"/>
  <c r="T26" i="73" a="1"/>
  <c r="P8" i="73" a="1"/>
  <c r="R18" i="73" a="1"/>
  <c r="Y19" i="73" a="1"/>
  <c r="R25" i="73" a="1"/>
  <c r="W6" i="73" a="1"/>
  <c r="X21" i="73" a="1"/>
  <c r="V7" i="73" a="1"/>
  <c r="R11" i="73" a="1"/>
  <c r="R17" i="73" a="1"/>
  <c r="Q18" i="73" a="1"/>
  <c r="Q31" i="73" a="1"/>
  <c r="W3" i="73" a="1"/>
  <c r="R24" i="73" a="1"/>
  <c r="Q13" i="73" a="1"/>
  <c r="Q24" i="73" a="1"/>
  <c r="O17" i="73" a="1"/>
  <c r="W4" i="73" a="1"/>
  <c r="X17" i="73" a="1"/>
  <c r="S25" i="73" a="1"/>
  <c r="W21" i="73" a="1"/>
  <c r="P26" i="73" a="1"/>
  <c r="Q21" i="73" a="1"/>
  <c r="W31" i="73" a="1"/>
  <c r="U11" i="73" a="1"/>
  <c r="Y32" i="73" a="1"/>
  <c r="O24" i="73" a="1"/>
  <c r="Y29" i="73" a="1"/>
  <c r="U3" i="73" a="1"/>
  <c r="X4" i="73" a="1"/>
  <c r="V33" i="73" a="1"/>
  <c r="S12" i="73" a="1"/>
  <c r="Y24" i="73" a="1"/>
  <c r="X12" i="73" a="1"/>
  <c r="U19" i="73" a="1"/>
  <c r="Y28" i="73" a="1"/>
  <c r="V13" i="73" a="1"/>
  <c r="U8" i="73" a="1"/>
  <c r="T5" i="73" a="1"/>
  <c r="W33" i="73" a="1"/>
  <c r="T8" i="73" a="1"/>
  <c r="X20" i="73" a="1"/>
  <c r="P24" i="73" a="1"/>
  <c r="O26" i="73" a="1"/>
  <c r="W16" i="73" a="1"/>
  <c r="T9" i="73" a="1"/>
  <c r="X26" i="73" a="1"/>
  <c r="X6" i="73" a="1"/>
  <c r="U21" i="73" a="1"/>
  <c r="R20" i="73" a="1"/>
  <c r="S11" i="73" a="1"/>
  <c r="Q25" i="73" a="1"/>
  <c r="T22" i="73" a="1"/>
  <c r="T33" i="73" a="1"/>
  <c r="V22" i="73" a="1"/>
  <c r="U27" i="73" a="1"/>
  <c r="S17" i="73" a="1"/>
  <c r="P6" i="73" a="1"/>
  <c r="O32" i="73" a="1"/>
  <c r="P3" i="73" a="1"/>
  <c r="Y3" i="73" a="1"/>
  <c r="U14" i="73" a="1"/>
  <c r="Y8" i="73" a="1"/>
  <c r="R27" i="73" a="1"/>
  <c r="U12" i="73" a="1"/>
  <c r="O12" i="73" a="1"/>
  <c r="Y21" i="73" a="1"/>
  <c r="O31" i="73" a="1"/>
  <c r="U33" i="73" a="1"/>
  <c r="U28" i="73" a="1"/>
  <c r="Q8" i="73" a="1"/>
  <c r="X30" i="73" a="1"/>
  <c r="X8" i="73" a="1"/>
  <c r="S24" i="73" a="1"/>
  <c r="V32" i="73" a="1"/>
  <c r="W18" i="73" a="1"/>
  <c r="T18" i="73" a="1"/>
  <c r="V16" i="73" a="1"/>
  <c r="S14" i="73" a="1"/>
  <c r="W23" i="73" a="1"/>
  <c r="R19" i="73" a="1"/>
  <c r="X22" i="73" a="1"/>
  <c r="W14" i="73" a="1"/>
  <c r="V19" i="73" a="1"/>
  <c r="O9" i="73" a="1"/>
  <c r="X31" i="73" a="1"/>
  <c r="P23" i="73" a="1"/>
  <c r="S20" i="73" a="1"/>
  <c r="U9" i="73" a="1"/>
  <c r="T30" i="73" a="1"/>
  <c r="O8" i="73" a="1"/>
  <c r="R30" i="73" a="1"/>
  <c r="U31" i="73" a="1"/>
  <c r="X10" i="73" a="1"/>
  <c r="W27" i="73" a="1"/>
  <c r="U22" i="73" a="1"/>
  <c r="V26" i="73" a="1"/>
  <c r="W12" i="73" a="1"/>
  <c r="U32" i="73" a="1"/>
  <c r="R13" i="73" a="1"/>
  <c r="V25" i="73" a="1"/>
  <c r="Y5" i="73" a="1"/>
  <c r="O33" i="73" a="1"/>
  <c r="T25" i="73" a="1"/>
  <c r="P29" i="73" a="1"/>
  <c r="O20" i="73" a="1"/>
  <c r="T3" i="73" a="1"/>
  <c r="X11" i="73" a="1"/>
  <c r="Q30" i="73" a="1"/>
  <c r="Q22" i="73" a="1"/>
  <c r="V24" i="73" a="1"/>
  <c r="R21" i="73" a="1"/>
  <c r="Y15" i="73" a="1"/>
  <c r="V21" i="73" a="1"/>
  <c r="X33" i="73" a="1"/>
  <c r="P7" i="73" a="1"/>
  <c r="R23" i="73" a="1"/>
  <c r="T24" i="73" a="1"/>
  <c r="W7" i="73" a="1"/>
  <c r="S26" i="73" a="1"/>
  <c r="T6" i="73" a="1"/>
  <c r="P30" i="73" a="1"/>
  <c r="R14" i="73" a="1"/>
  <c r="X15" i="73" a="1"/>
  <c r="X29" i="73" a="1"/>
  <c r="V17" i="73" a="1"/>
  <c r="Q10" i="73" a="1"/>
  <c r="P10" i="73" a="1"/>
  <c r="Q7" i="73" a="1"/>
  <c r="T29" i="73" a="1"/>
  <c r="S30" i="73" a="1"/>
  <c r="Y31" i="73" a="1"/>
  <c r="W24" i="73" a="1"/>
  <c r="Q11" i="73" a="1"/>
  <c r="T27" i="73" a="1"/>
  <c r="U7" i="73" a="1"/>
  <c r="Y12" i="73" a="1"/>
  <c r="Q15" i="73" a="1"/>
  <c r="P22" i="73" a="1"/>
  <c r="R22" i="73" a="1"/>
  <c r="W32" i="73" a="1"/>
  <c r="V15" i="73" a="1"/>
  <c r="R32" i="73" a="1"/>
  <c r="Q33" i="73" a="1"/>
  <c r="R26" i="73" a="1"/>
  <c r="Y33" i="73" a="1"/>
  <c r="X27" i="73" a="1"/>
  <c r="Q5" i="73" a="1"/>
  <c r="Q4" i="73" a="1"/>
  <c r="W30" i="73" a="1"/>
  <c r="V31" i="73" a="1"/>
  <c r="P12" i="73" a="1"/>
  <c r="Q20" i="73" a="1"/>
  <c r="V23" i="73" a="1"/>
  <c r="Y6" i="73" a="1"/>
  <c r="S5" i="73" a="1"/>
  <c r="U5" i="73" a="1"/>
  <c r="U26" i="73" a="1"/>
  <c r="S10" i="73" l="1"/>
  <c r="E22" i="75" s="1"/>
  <c r="R29" i="73"/>
  <c r="R17" i="73"/>
  <c r="R28" i="73"/>
  <c r="S20" i="73"/>
  <c r="Q8" i="73"/>
  <c r="V17" i="73"/>
  <c r="T13" i="73"/>
  <c r="F25" i="75" s="1"/>
  <c r="T9" i="73"/>
  <c r="V33" i="73"/>
  <c r="T22" i="73"/>
  <c r="T27" i="73"/>
  <c r="S8" i="73"/>
  <c r="S24" i="73"/>
  <c r="T25" i="73"/>
  <c r="R21" i="73"/>
  <c r="Q20" i="73"/>
  <c r="P21" i="73"/>
  <c r="O6" i="73"/>
  <c r="A18" i="75" s="1"/>
  <c r="Y21" i="73"/>
  <c r="S3" i="73"/>
  <c r="S25" i="73"/>
  <c r="W26" i="73"/>
  <c r="S22" i="73"/>
  <c r="T24" i="73"/>
  <c r="V13" i="73"/>
  <c r="H25" i="75" s="1"/>
  <c r="R33" i="73"/>
  <c r="R4" i="73"/>
  <c r="Q18" i="73"/>
  <c r="T31" i="73"/>
  <c r="S29" i="73"/>
  <c r="S28" i="73"/>
  <c r="T3" i="73"/>
  <c r="S26" i="73"/>
  <c r="S18" i="73"/>
  <c r="W4" i="73"/>
  <c r="V25" i="73"/>
  <c r="W14" i="73"/>
  <c r="R22" i="73"/>
  <c r="R14" i="73"/>
  <c r="V21" i="73"/>
  <c r="W24" i="73"/>
  <c r="V20" i="73"/>
  <c r="V16" i="73"/>
  <c r="V14" i="73"/>
  <c r="S5" i="73"/>
  <c r="V7" i="73"/>
  <c r="R30" i="73"/>
  <c r="S19" i="73"/>
  <c r="V32" i="73"/>
  <c r="T15" i="73"/>
  <c r="W16" i="73"/>
  <c r="R11" i="73"/>
  <c r="D23" i="75" s="1"/>
  <c r="R5" i="73"/>
  <c r="S16" i="73"/>
  <c r="T18" i="73"/>
  <c r="W18" i="73"/>
  <c r="T26" i="73"/>
  <c r="S11" i="73"/>
  <c r="E23" i="75" s="1"/>
  <c r="S30" i="73"/>
  <c r="Q6" i="73"/>
  <c r="C18" i="75" s="1"/>
  <c r="R7" i="73"/>
  <c r="T6" i="73"/>
  <c r="F18" i="75" s="1"/>
  <c r="W29" i="73"/>
  <c r="V27" i="73"/>
  <c r="T5" i="73"/>
  <c r="R16" i="73"/>
  <c r="W23" i="73"/>
  <c r="P29" i="73"/>
  <c r="V23" i="73"/>
  <c r="R32" i="73"/>
  <c r="O31" i="73"/>
  <c r="T4" i="73"/>
  <c r="T33" i="73"/>
  <c r="T32" i="73"/>
  <c r="S32" i="73"/>
  <c r="S12" i="73"/>
  <c r="W31" i="73"/>
  <c r="T21" i="73"/>
  <c r="R27" i="73"/>
  <c r="T30" i="73"/>
  <c r="P22" i="73"/>
  <c r="R8" i="73"/>
  <c r="R26" i="73"/>
  <c r="Q14" i="73"/>
  <c r="O11" i="73"/>
  <c r="A23" i="75" s="1"/>
  <c r="O25" i="73"/>
  <c r="W28" i="73"/>
  <c r="V8" i="73"/>
  <c r="P30" i="73"/>
  <c r="X14" i="73"/>
  <c r="S14" i="73"/>
  <c r="O20" i="73"/>
  <c r="V11" i="73"/>
  <c r="H23" i="75" s="1"/>
  <c r="Y8" i="73"/>
  <c r="Y13" i="73"/>
  <c r="K25" i="75" s="1"/>
  <c r="Y19" i="73"/>
  <c r="Q28" i="73"/>
  <c r="W6" i="73"/>
  <c r="I18" i="75" s="1"/>
  <c r="Q11" i="73"/>
  <c r="C23" i="75" s="1"/>
  <c r="P3" i="73"/>
  <c r="U11" i="73"/>
  <c r="G23" i="75" s="1"/>
  <c r="Q13" i="73"/>
  <c r="C25" i="75" s="1"/>
  <c r="O33" i="73"/>
  <c r="O32" i="73"/>
  <c r="X9" i="73"/>
  <c r="Q9" i="73"/>
  <c r="Y18" i="73"/>
  <c r="X22" i="73"/>
  <c r="R13" i="73"/>
  <c r="D25" i="75" s="1"/>
  <c r="W25" i="73"/>
  <c r="P19" i="73"/>
  <c r="R20" i="73"/>
  <c r="Q30" i="73"/>
  <c r="X31" i="73"/>
  <c r="P20" i="73"/>
  <c r="Y28" i="73"/>
  <c r="P13" i="73"/>
  <c r="B25" i="75" s="1"/>
  <c r="U22" i="73"/>
  <c r="V3" i="73"/>
  <c r="U21" i="73"/>
  <c r="V26" i="73"/>
  <c r="W21" i="73"/>
  <c r="W20" i="73"/>
  <c r="P16" i="73"/>
  <c r="Q25" i="73"/>
  <c r="R10" i="73"/>
  <c r="D22" i="75" s="1"/>
  <c r="U26" i="73"/>
  <c r="W12" i="73"/>
  <c r="U6" i="73"/>
  <c r="G18" i="75" s="1"/>
  <c r="W9" i="73"/>
  <c r="Q15" i="73"/>
  <c r="X18" i="73"/>
  <c r="S17" i="73"/>
  <c r="Q10" i="73"/>
  <c r="C22" i="75" s="1"/>
  <c r="U15" i="73"/>
  <c r="W33" i="73"/>
  <c r="U14" i="73"/>
  <c r="Y20" i="73"/>
  <c r="Q32" i="73"/>
  <c r="Y25" i="73"/>
  <c r="X4" i="73"/>
  <c r="Q23" i="73"/>
  <c r="R31" i="73"/>
  <c r="X24" i="73"/>
  <c r="U33" i="73"/>
  <c r="Y6" i="73"/>
  <c r="K18" i="75" s="1"/>
  <c r="X29" i="73"/>
  <c r="U7" i="73"/>
  <c r="Y24" i="73"/>
  <c r="Y31" i="73"/>
  <c r="U10" i="73"/>
  <c r="G22" i="75" s="1"/>
  <c r="W17" i="73"/>
  <c r="U32" i="73"/>
  <c r="O18" i="73"/>
  <c r="X19" i="73"/>
  <c r="U17" i="73"/>
  <c r="U19" i="73"/>
  <c r="X25" i="73"/>
  <c r="P6" i="73"/>
  <c r="B18" i="75" s="1"/>
  <c r="W5" i="73"/>
  <c r="P31" i="73"/>
  <c r="U23" i="73"/>
  <c r="R24" i="73"/>
  <c r="P27" i="73"/>
  <c r="Y27" i="73"/>
  <c r="U31" i="73"/>
  <c r="W3" i="73"/>
  <c r="X17" i="73"/>
  <c r="W27" i="73"/>
  <c r="Q5" i="73"/>
  <c r="X26" i="73"/>
  <c r="Q3" i="73"/>
  <c r="P15" i="73"/>
  <c r="V5" i="73"/>
  <c r="X20" i="73"/>
  <c r="O17" i="73"/>
  <c r="Y33" i="73"/>
  <c r="P25" i="73"/>
  <c r="O8" i="73"/>
  <c r="X32" i="73"/>
  <c r="O24" i="73"/>
  <c r="U25" i="73"/>
  <c r="Q16" i="73"/>
  <c r="R25" i="73"/>
  <c r="W22" i="73"/>
  <c r="X10" i="73"/>
  <c r="J22" i="75" s="1"/>
  <c r="X33" i="73"/>
  <c r="V9" i="73"/>
  <c r="O13" i="73"/>
  <c r="A25" i="75" s="1"/>
  <c r="O23" i="73"/>
  <c r="P11" i="73"/>
  <c r="B23" i="75" s="1"/>
  <c r="R18" i="73"/>
  <c r="U9" i="73"/>
  <c r="O30" i="73"/>
  <c r="O5" i="73"/>
  <c r="Y32" i="73"/>
  <c r="X21" i="73"/>
  <c r="X8" i="73"/>
  <c r="X13" i="73"/>
  <c r="J25" i="75" s="1"/>
  <c r="U5" i="73"/>
  <c r="O14" i="73"/>
  <c r="O4" i="73"/>
  <c r="Y3" i="73"/>
  <c r="O12" i="73"/>
  <c r="Q22" i="73"/>
  <c r="U3" i="73"/>
  <c r="Q26" i="73"/>
  <c r="P26" i="73"/>
  <c r="Y12" i="73"/>
  <c r="U30" i="73"/>
  <c r="U29" i="73"/>
  <c r="Y7" i="73"/>
  <c r="W32" i="73"/>
  <c r="V6" i="73"/>
  <c r="H18" i="75" s="1"/>
  <c r="Q4" i="73"/>
  <c r="V4" i="73"/>
  <c r="X28" i="73"/>
  <c r="P8" i="73"/>
  <c r="U27" i="73"/>
  <c r="X16" i="73"/>
  <c r="Q31" i="73"/>
  <c r="Y4" i="73"/>
  <c r="X5" i="73"/>
  <c r="P10" i="73"/>
  <c r="B22" i="75" s="1"/>
  <c r="O9" i="73"/>
  <c r="Q33" i="73"/>
  <c r="P9" i="73"/>
  <c r="R19" i="73"/>
  <c r="V31" i="73"/>
  <c r="V15" i="73"/>
  <c r="Y26" i="73"/>
  <c r="X6" i="73"/>
  <c r="J18" i="75" s="1"/>
  <c r="Y11" i="73"/>
  <c r="K23" i="75" s="1"/>
  <c r="P4" i="73"/>
  <c r="U28" i="73"/>
  <c r="Y9" i="73"/>
  <c r="Q12" i="73"/>
  <c r="Y23" i="73"/>
  <c r="O10" i="73"/>
  <c r="A22" i="75" s="1"/>
  <c r="V29" i="73"/>
  <c r="P5" i="73"/>
  <c r="V28" i="73"/>
  <c r="P23" i="73"/>
  <c r="R9" i="73"/>
  <c r="W7" i="73"/>
  <c r="U12" i="73"/>
  <c r="X7" i="73"/>
  <c r="P18" i="73"/>
  <c r="U8" i="73"/>
  <c r="X15" i="73"/>
  <c r="P28" i="73"/>
  <c r="Y30" i="73"/>
  <c r="R23" i="73"/>
  <c r="P12" i="73"/>
  <c r="W10" i="73"/>
  <c r="I22" i="75" s="1"/>
  <c r="X23" i="73"/>
  <c r="O26" i="73"/>
  <c r="T29" i="73"/>
  <c r="R15" i="73"/>
  <c r="U20" i="73"/>
  <c r="T12" i="73"/>
  <c r="W8" i="73"/>
  <c r="X3" i="73"/>
  <c r="Q7" i="73"/>
  <c r="V24" i="73"/>
  <c r="Y22" i="73"/>
  <c r="P24" i="73"/>
  <c r="V18" i="73"/>
  <c r="Q17" i="73"/>
  <c r="X11" i="73"/>
  <c r="J23" i="75" s="1"/>
  <c r="X12" i="73"/>
  <c r="V22" i="73"/>
  <c r="Y17" i="73"/>
  <c r="V19" i="73"/>
  <c r="U16" i="73"/>
  <c r="X27" i="73"/>
  <c r="R6" i="73"/>
  <c r="D18" i="75" s="1"/>
  <c r="Y5" i="73"/>
  <c r="Y14" i="73"/>
  <c r="W30" i="73"/>
  <c r="Q21" i="73"/>
  <c r="S33" i="73"/>
  <c r="Q24" i="73"/>
  <c r="Y29" i="73"/>
  <c r="T8" i="73"/>
  <c r="O7" i="73"/>
  <c r="W13" i="73"/>
  <c r="I25" i="75" s="1"/>
  <c r="P7" i="73"/>
  <c r="Y15" i="73"/>
  <c r="V10" i="73"/>
  <c r="H22" i="75" s="1"/>
  <c r="X30" i="73"/>
  <c r="U13" i="73"/>
  <c r="G25" i="75" s="1"/>
  <c r="E18" i="75"/>
  <c r="I18" i="67"/>
  <c r="I19" i="67"/>
  <c r="I16" i="67"/>
  <c r="I17" i="67"/>
  <c r="I13" i="67"/>
  <c r="I12" i="67"/>
  <c r="I10" i="67"/>
  <c r="I9" i="67"/>
  <c r="I11" i="67"/>
  <c r="I43" i="67"/>
  <c r="E107" i="63"/>
  <c r="G14" i="48"/>
  <c r="C13" i="49"/>
  <c r="G14" i="47"/>
  <c r="L14" i="47"/>
  <c r="D13" i="49"/>
  <c r="I64" i="68"/>
  <c r="I62" i="68"/>
  <c r="I63" i="68"/>
  <c r="I60" i="68"/>
  <c r="I61" i="68"/>
  <c r="I57" i="68"/>
  <c r="I55" i="68"/>
  <c r="I56" i="68"/>
  <c r="I53" i="68"/>
  <c r="I54" i="68"/>
  <c r="I63" i="67"/>
  <c r="I64" i="67"/>
  <c r="I61" i="67"/>
  <c r="I62" i="67"/>
  <c r="I57" i="67"/>
  <c r="I60" i="67"/>
  <c r="I55" i="67"/>
  <c r="I56" i="67"/>
  <c r="I53" i="67"/>
  <c r="I54" i="67"/>
  <c r="I37" i="68"/>
  <c r="I30" i="68"/>
  <c r="I30" i="67"/>
  <c r="I36" i="67"/>
  <c r="I35" i="67"/>
  <c r="I32" i="67"/>
  <c r="I33" i="67"/>
  <c r="I34" i="67"/>
  <c r="J15" i="51"/>
  <c r="I3" i="67" s="1"/>
  <c r="I31" i="67"/>
  <c r="B14" i="47"/>
  <c r="B13" i="47" s="1"/>
  <c r="B13" i="49"/>
  <c r="B12" i="49" s="1"/>
  <c r="B13" i="50"/>
  <c r="B12" i="50" s="1"/>
  <c r="B14" i="48"/>
  <c r="B13" i="48" s="1"/>
  <c r="J15" i="52"/>
  <c r="I4" i="68" s="1"/>
  <c r="I32" i="68"/>
  <c r="I34" i="68"/>
  <c r="I33" i="68"/>
  <c r="I31" i="68"/>
  <c r="I36" i="68"/>
  <c r="I35" i="68"/>
  <c r="A15" i="50"/>
  <c r="A15" i="49" l="1"/>
  <c r="I8" i="68"/>
  <c r="I37" i="67"/>
  <c r="I8" i="67"/>
  <c r="I38" i="68"/>
  <c r="I38" i="67"/>
  <c r="I5" i="67"/>
  <c r="I2" i="68"/>
  <c r="I7" i="67"/>
  <c r="I2" i="67"/>
  <c r="I6" i="67"/>
  <c r="I4" i="67"/>
  <c r="I5" i="68"/>
  <c r="I7" i="68"/>
  <c r="I6" i="68"/>
  <c r="I3" i="68"/>
  <c r="N97" i="62" l="1"/>
  <c r="E36" i="66" s="1"/>
  <c r="B36" i="66" s="1"/>
  <c r="F9" i="62"/>
  <c r="G9" i="62"/>
  <c r="E109" i="63" l="1"/>
  <c r="E110" i="63"/>
  <c r="E10" i="62"/>
  <c r="G7" i="62"/>
  <c r="G8" i="62" s="1"/>
  <c r="G10" i="62"/>
  <c r="F109" i="63" l="1"/>
  <c r="I10" i="62"/>
  <c r="H10" i="62"/>
  <c r="E11" i="62"/>
  <c r="D7" i="62"/>
  <c r="H7" i="62"/>
  <c r="E9" i="62"/>
  <c r="I9" i="62" s="1"/>
  <c r="E7" i="62"/>
  <c r="F108" i="63" s="1"/>
  <c r="G11" i="62"/>
  <c r="O60" i="67" a="1"/>
  <c r="O4" i="67" a="1"/>
  <c r="Q2" i="73" a="1"/>
  <c r="O50" i="67" a="1"/>
  <c r="V2" i="73" a="1"/>
  <c r="O54" i="67" a="1"/>
  <c r="T2" i="73" a="1"/>
  <c r="Y2" i="73" a="1"/>
  <c r="X2" i="73" a="1"/>
  <c r="W2" i="73" a="1"/>
  <c r="S2" i="73" a="1"/>
  <c r="O58" i="67" a="1"/>
  <c r="O43" i="67" a="1"/>
  <c r="P2" i="73" a="1"/>
  <c r="O2" i="73" a="1"/>
  <c r="O42" i="67" a="1"/>
  <c r="R2" i="73" a="1"/>
  <c r="O10" i="68" a="1"/>
  <c r="O24" i="67" a="1"/>
  <c r="U2" i="73" a="1"/>
  <c r="O65" i="67" a="1"/>
  <c r="O11" i="67" a="1"/>
  <c r="O64" i="67" a="1"/>
  <c r="O27" i="67" a="1"/>
  <c r="O31" i="67" a="1"/>
  <c r="K32" i="75" l="1"/>
  <c r="I21" i="75"/>
  <c r="G24" i="75"/>
  <c r="E15" i="75"/>
  <c r="J17" i="75"/>
  <c r="I24" i="75"/>
  <c r="B33" i="75"/>
  <c r="A39" i="75"/>
  <c r="D44" i="75"/>
  <c r="K28" i="75"/>
  <c r="E24" i="75"/>
  <c r="B16" i="75"/>
  <c r="A29" i="75"/>
  <c r="E36" i="75"/>
  <c r="E40" i="75"/>
  <c r="F40" i="75"/>
  <c r="G26" i="75"/>
  <c r="C29" i="75"/>
  <c r="A16" i="75"/>
  <c r="G34" i="75"/>
  <c r="D45" i="75"/>
  <c r="I45" i="75"/>
  <c r="A30" i="75"/>
  <c r="O60" i="67"/>
  <c r="C60" i="69" s="1"/>
  <c r="O43" i="67"/>
  <c r="C43" i="69" s="1"/>
  <c r="H17" i="75"/>
  <c r="F34" i="75"/>
  <c r="S2" i="73"/>
  <c r="Y2" i="73"/>
  <c r="J33" i="75"/>
  <c r="E35" i="75"/>
  <c r="E44" i="75"/>
  <c r="J41" i="75"/>
  <c r="K29" i="75"/>
  <c r="K38" i="75"/>
  <c r="E45" i="75"/>
  <c r="B35" i="75"/>
  <c r="D21" i="75"/>
  <c r="K20" i="75"/>
  <c r="E34" i="75"/>
  <c r="H39" i="75"/>
  <c r="K36" i="75"/>
  <c r="G20" i="75"/>
  <c r="J15" i="75"/>
  <c r="D30" i="75"/>
  <c r="E33" i="75"/>
  <c r="D29" i="75"/>
  <c r="J42" i="75"/>
  <c r="K26" i="75"/>
  <c r="D36" i="75"/>
  <c r="Q2" i="73"/>
  <c r="W2" i="73"/>
  <c r="J26" i="75"/>
  <c r="O24" i="67"/>
  <c r="C24" i="69" s="1"/>
  <c r="O10" i="68"/>
  <c r="C10" i="70" s="1"/>
  <c r="A44" i="75"/>
  <c r="G39" i="75"/>
  <c r="E20" i="75"/>
  <c r="K24" i="75"/>
  <c r="C35" i="75"/>
  <c r="C45" i="75"/>
  <c r="E38" i="75"/>
  <c r="J44" i="75"/>
  <c r="I28" i="75"/>
  <c r="G19" i="75"/>
  <c r="C37" i="75"/>
  <c r="I16" i="75"/>
  <c r="B20" i="75"/>
  <c r="A19" i="75"/>
  <c r="G17" i="75"/>
  <c r="F31" i="75"/>
  <c r="K45" i="75"/>
  <c r="I42" i="75"/>
  <c r="I41" i="75"/>
  <c r="I15" i="75"/>
  <c r="B40" i="75"/>
  <c r="P2" i="73"/>
  <c r="F43" i="75"/>
  <c r="G16" i="75"/>
  <c r="K31" i="75"/>
  <c r="D37" i="75"/>
  <c r="A28" i="75"/>
  <c r="I32" i="75"/>
  <c r="K33" i="75"/>
  <c r="J30" i="75"/>
  <c r="E21" i="75"/>
  <c r="A40" i="75"/>
  <c r="H43" i="75"/>
  <c r="I43" i="75"/>
  <c r="I37" i="75"/>
  <c r="H15" i="75"/>
  <c r="D20" i="75"/>
  <c r="J21" i="75"/>
  <c r="C38" i="75"/>
  <c r="E32" i="75"/>
  <c r="B41" i="75"/>
  <c r="J39" i="75"/>
  <c r="J38" i="75"/>
  <c r="H19" i="75"/>
  <c r="K39" i="75"/>
  <c r="H16" i="75"/>
  <c r="D27" i="75"/>
  <c r="C19" i="75"/>
  <c r="O65" i="67"/>
  <c r="C65" i="69" s="1"/>
  <c r="K17" i="75"/>
  <c r="C39" i="75"/>
  <c r="B27" i="75"/>
  <c r="I31" i="75"/>
  <c r="F37" i="75"/>
  <c r="B34" i="75"/>
  <c r="H41" i="75"/>
  <c r="B39" i="75"/>
  <c r="B36" i="75"/>
  <c r="D17" i="75"/>
  <c r="O2" i="73"/>
  <c r="I40" i="75"/>
  <c r="O50" i="67"/>
  <c r="C50" i="69" s="1"/>
  <c r="I33" i="75"/>
  <c r="F16" i="75"/>
  <c r="A45" i="75"/>
  <c r="A26" i="75"/>
  <c r="G45" i="75"/>
  <c r="B37" i="75"/>
  <c r="I27" i="75"/>
  <c r="J43" i="75"/>
  <c r="X2" i="73"/>
  <c r="E39" i="75"/>
  <c r="G27" i="75"/>
  <c r="J37" i="75"/>
  <c r="A38" i="75"/>
  <c r="B15" i="75"/>
  <c r="A32" i="75"/>
  <c r="C42" i="75"/>
  <c r="C33" i="75"/>
  <c r="G21" i="75"/>
  <c r="J20" i="75"/>
  <c r="F30" i="75"/>
  <c r="C31" i="75"/>
  <c r="B21" i="75"/>
  <c r="J45" i="75"/>
  <c r="F33" i="75"/>
  <c r="D24" i="75"/>
  <c r="O4" i="67"/>
  <c r="C4" i="69" s="1"/>
  <c r="K40" i="75"/>
  <c r="G33" i="75"/>
  <c r="A20" i="75"/>
  <c r="B42" i="75"/>
  <c r="F21" i="75"/>
  <c r="J35" i="75"/>
  <c r="I26" i="75"/>
  <c r="F24" i="75"/>
  <c r="J27" i="75"/>
  <c r="D43" i="75"/>
  <c r="D39" i="75"/>
  <c r="A35" i="75"/>
  <c r="F44" i="75"/>
  <c r="B26" i="75"/>
  <c r="B31" i="75"/>
  <c r="C17" i="75"/>
  <c r="H30" i="75"/>
  <c r="O11" i="67"/>
  <c r="C11" i="69" s="1"/>
  <c r="E29" i="75"/>
  <c r="H35" i="75"/>
  <c r="K42" i="75"/>
  <c r="A27" i="75"/>
  <c r="A37" i="75"/>
  <c r="D41" i="75"/>
  <c r="E42" i="75"/>
  <c r="H31" i="75"/>
  <c r="A33" i="75"/>
  <c r="A15" i="75"/>
  <c r="K41" i="75"/>
  <c r="R2" i="73"/>
  <c r="K34" i="75"/>
  <c r="C16" i="75"/>
  <c r="B24" i="75"/>
  <c r="H21" i="75"/>
  <c r="E17" i="75"/>
  <c r="K43" i="75"/>
  <c r="H38" i="75"/>
  <c r="C44" i="75"/>
  <c r="A42" i="75"/>
  <c r="A24" i="75"/>
  <c r="E43" i="75"/>
  <c r="B43" i="75"/>
  <c r="K27" i="75"/>
  <c r="J36" i="75"/>
  <c r="A34" i="75"/>
  <c r="G29" i="75"/>
  <c r="D19" i="75"/>
  <c r="D16" i="75"/>
  <c r="I19" i="75"/>
  <c r="H29" i="75"/>
  <c r="I17" i="75"/>
  <c r="F28" i="75"/>
  <c r="D35" i="75"/>
  <c r="H34" i="75"/>
  <c r="A21" i="75"/>
  <c r="I35" i="75"/>
  <c r="H32" i="75"/>
  <c r="F32" i="75"/>
  <c r="J28" i="75"/>
  <c r="O27" i="67"/>
  <c r="C27" i="69" s="1"/>
  <c r="D28" i="75"/>
  <c r="K35" i="75"/>
  <c r="B29" i="75"/>
  <c r="C28" i="75"/>
  <c r="D31" i="75"/>
  <c r="G40" i="75"/>
  <c r="K15" i="75"/>
  <c r="F35" i="75"/>
  <c r="O64" i="67"/>
  <c r="C64" i="69" s="1"/>
  <c r="F42" i="75"/>
  <c r="F15" i="75"/>
  <c r="J34" i="75"/>
  <c r="G37" i="75"/>
  <c r="H20" i="75"/>
  <c r="G28" i="75"/>
  <c r="O42" i="67"/>
  <c r="C42" i="69" s="1"/>
  <c r="B44" i="75"/>
  <c r="H40" i="75"/>
  <c r="J16" i="75"/>
  <c r="C40" i="75"/>
  <c r="H36" i="75"/>
  <c r="G35" i="75"/>
  <c r="C41" i="75"/>
  <c r="A41" i="75"/>
  <c r="G15" i="75"/>
  <c r="E26" i="75"/>
  <c r="D26" i="75"/>
  <c r="F26" i="75"/>
  <c r="I44" i="75"/>
  <c r="F20" i="75"/>
  <c r="K19" i="75"/>
  <c r="D32" i="75"/>
  <c r="G31" i="75"/>
  <c r="I30" i="75"/>
  <c r="F36" i="75"/>
  <c r="C21" i="75"/>
  <c r="I39" i="75"/>
  <c r="I38" i="75"/>
  <c r="D40" i="75"/>
  <c r="C27" i="75"/>
  <c r="G36" i="75"/>
  <c r="K16" i="75"/>
  <c r="I34" i="75"/>
  <c r="K30" i="75"/>
  <c r="F29" i="75"/>
  <c r="A17" i="75"/>
  <c r="C26" i="75"/>
  <c r="U2" i="73"/>
  <c r="F38" i="75"/>
  <c r="E41" i="75"/>
  <c r="E37" i="75"/>
  <c r="F41" i="75"/>
  <c r="D34" i="75"/>
  <c r="H27" i="75"/>
  <c r="A43" i="75"/>
  <c r="J19" i="75"/>
  <c r="C43" i="75"/>
  <c r="C36" i="75"/>
  <c r="B17" i="75"/>
  <c r="G43" i="75"/>
  <c r="F27" i="75"/>
  <c r="H44" i="75"/>
  <c r="J24" i="75"/>
  <c r="T2" i="73"/>
  <c r="H24" i="75"/>
  <c r="B19" i="75"/>
  <c r="J40" i="75"/>
  <c r="K44" i="75"/>
  <c r="D42" i="75"/>
  <c r="J29" i="75"/>
  <c r="O31" i="67"/>
  <c r="C31" i="69" s="1"/>
  <c r="V2" i="73"/>
  <c r="C15" i="75"/>
  <c r="C24" i="75"/>
  <c r="F45" i="75"/>
  <c r="F17" i="75"/>
  <c r="B28" i="75"/>
  <c r="C34" i="75"/>
  <c r="O58" i="67"/>
  <c r="C58" i="69" s="1"/>
  <c r="F19" i="75"/>
  <c r="H37" i="75"/>
  <c r="F39" i="75"/>
  <c r="I20" i="75"/>
  <c r="O54" i="67"/>
  <c r="C54" i="69" s="1"/>
  <c r="E19" i="75"/>
  <c r="K37" i="75"/>
  <c r="B32" i="75"/>
  <c r="G42" i="75"/>
  <c r="E16" i="75"/>
  <c r="A31" i="75"/>
  <c r="C32" i="75"/>
  <c r="G44" i="75"/>
  <c r="E27" i="75"/>
  <c r="E28" i="75"/>
  <c r="D33" i="75"/>
  <c r="G41" i="75"/>
  <c r="G30" i="75"/>
  <c r="H42" i="75"/>
  <c r="D15" i="75"/>
  <c r="E31" i="75"/>
  <c r="A36" i="75"/>
  <c r="I36" i="75"/>
  <c r="H33" i="75"/>
  <c r="J31" i="75"/>
  <c r="H28" i="75"/>
  <c r="H26" i="75"/>
  <c r="H45" i="75"/>
  <c r="E30" i="75"/>
  <c r="G38" i="75"/>
  <c r="C30" i="75"/>
  <c r="K21" i="75"/>
  <c r="C20" i="75"/>
  <c r="B45" i="75"/>
  <c r="J32" i="75"/>
  <c r="B38" i="75"/>
  <c r="G32" i="75"/>
  <c r="B30" i="75"/>
  <c r="D38" i="75"/>
  <c r="I29" i="75"/>
  <c r="F106" i="63"/>
  <c r="I7" i="62"/>
  <c r="I11" i="62"/>
  <c r="E8" i="62"/>
  <c r="I8" i="62" s="1"/>
  <c r="G108" i="63" l="1"/>
  <c r="G14" i="75"/>
  <c r="A14" i="75"/>
  <c r="M11" i="75" s="1" a="1"/>
  <c r="M11" i="75" s="1"/>
  <c r="K14" i="75"/>
  <c r="B14" i="75"/>
  <c r="F14" i="75"/>
  <c r="I14" i="75"/>
  <c r="J14" i="75"/>
  <c r="C14" i="75"/>
  <c r="H14" i="75"/>
  <c r="D14" i="75"/>
  <c r="E14" i="75"/>
  <c r="B10" i="75" l="1"/>
  <c r="E13" i="75"/>
  <c r="C12" i="75"/>
  <c r="J12" i="75"/>
  <c r="F13" i="75"/>
  <c r="K13" i="75"/>
  <c r="I12" i="75"/>
  <c r="B12" i="75"/>
  <c r="C13" i="75"/>
  <c r="J13" i="75"/>
  <c r="F12" i="75"/>
  <c r="B11" i="75"/>
  <c r="H13" i="75"/>
  <c r="G13" i="75"/>
  <c r="D13" i="75"/>
  <c r="A12" i="75"/>
  <c r="B1" i="75" s="1"/>
  <c r="N5" i="67" a="1"/>
  <c r="N49" i="68" a="1"/>
  <c r="L51" i="68" a="1"/>
  <c r="L46" i="68" a="1"/>
  <c r="P37" i="68" a="1"/>
  <c r="O55" i="67" a="1"/>
  <c r="M15" i="67" a="1"/>
  <c r="N44" i="68" a="1"/>
  <c r="M36" i="67" a="1"/>
  <c r="M45" i="68" a="1"/>
  <c r="N28" i="68" a="1"/>
  <c r="P66" i="68" a="1"/>
  <c r="M12" i="67" a="1"/>
  <c r="M12" i="68" a="1"/>
  <c r="O62" i="67" a="1"/>
  <c r="P45" i="68" a="1"/>
  <c r="L45" i="68" a="1"/>
  <c r="O3" i="67" a="1"/>
  <c r="O49" i="68" a="1"/>
  <c r="O43" i="68" a="1"/>
  <c r="M62" i="67" a="1"/>
  <c r="O44" i="67" a="1"/>
  <c r="N10" i="67" a="1"/>
  <c r="P33" i="68" a="1"/>
  <c r="L40" i="67" a="1"/>
  <c r="P12" i="67" a="1"/>
  <c r="L25" i="68" a="1"/>
  <c r="L7" i="67" a="1"/>
  <c r="P29" i="68" a="1"/>
  <c r="O59" i="68" a="1"/>
  <c r="L2" i="67" a="1"/>
  <c r="P12" i="68" a="1"/>
  <c r="O38" i="67" a="1"/>
  <c r="M41" i="68" a="1"/>
  <c r="L57" i="67" a="1"/>
  <c r="P2" i="68" a="1"/>
  <c r="N7" i="67" a="1"/>
  <c r="P62" i="67" a="1"/>
  <c r="O17" i="67" a="1"/>
  <c r="P24" i="67" a="1"/>
  <c r="M47" i="67" a="1"/>
  <c r="P25" i="68" a="1"/>
  <c r="P40" i="68" a="1"/>
  <c r="N40" i="68" a="1"/>
  <c r="P28" i="68" a="1"/>
  <c r="L38" i="67" a="1"/>
  <c r="N50" i="67" a="1"/>
  <c r="O15" i="67" a="1"/>
  <c r="N47" i="67" a="1"/>
  <c r="M2" i="67" a="1"/>
  <c r="L30" i="68" a="1"/>
  <c r="M53" i="68" a="1"/>
  <c r="L52" i="68" a="1"/>
  <c r="L27" i="67" a="1"/>
  <c r="O18" i="67" a="1"/>
  <c r="L49" i="67" a="1"/>
  <c r="M8" i="67" a="1"/>
  <c r="N52" i="68" a="1"/>
  <c r="O16" i="68" a="1"/>
  <c r="M29" i="67" a="1"/>
  <c r="N43" i="67" a="1"/>
  <c r="N9" i="68" a="1"/>
  <c r="L54" i="67" a="1"/>
  <c r="L37" i="68" a="1"/>
  <c r="O22" i="68" a="1"/>
  <c r="O64" i="68" a="1"/>
  <c r="O14" i="67" a="1"/>
  <c r="O17" i="68" a="1"/>
  <c r="N14" i="68" a="1"/>
  <c r="L53" i="68" a="1"/>
  <c r="P36" i="68" a="1"/>
  <c r="P32" i="68" a="1"/>
  <c r="P57" i="68" a="1"/>
  <c r="O66" i="68" a="1"/>
  <c r="M34" i="68" a="1"/>
  <c r="O23" i="68" a="1"/>
  <c r="O59" i="67" a="1"/>
  <c r="L21" i="67" a="1"/>
  <c r="P18" i="68" a="1"/>
  <c r="M10" i="67" a="1"/>
  <c r="N38" i="67" a="1"/>
  <c r="L46" i="67" a="1"/>
  <c r="P8" i="67" a="1"/>
  <c r="O2" i="68" a="1"/>
  <c r="O32" i="67" a="1"/>
  <c r="O8" i="67" a="1"/>
  <c r="P53" i="67" a="1"/>
  <c r="M27" i="68" a="1"/>
  <c r="O10" i="67" a="1"/>
  <c r="N46" i="67" a="1"/>
  <c r="L59" i="68" a="1"/>
  <c r="N20" i="67" a="1"/>
  <c r="N61" i="68" a="1"/>
  <c r="N31" i="68" a="1"/>
  <c r="P33" i="67" a="1"/>
  <c r="O2" i="67" a="1"/>
  <c r="L29" i="67" a="1"/>
  <c r="N54" i="68" a="1"/>
  <c r="M26" i="68" a="1"/>
  <c r="M48" i="67" a="1"/>
  <c r="P49" i="68" a="1"/>
  <c r="N55" i="67" a="1"/>
  <c r="M58" i="67" a="1"/>
  <c r="N56" i="67" a="1"/>
  <c r="P50" i="68" a="1"/>
  <c r="O60" i="68" a="1"/>
  <c r="O12" i="68" a="1"/>
  <c r="P7" i="68" a="1"/>
  <c r="N9" i="67" a="1"/>
  <c r="O37" i="68" a="1"/>
  <c r="O51" i="67" a="1"/>
  <c r="M30" i="68" a="1"/>
  <c r="L37" i="67" a="1"/>
  <c r="P49" i="67" a="1"/>
  <c r="O46" i="67" a="1"/>
  <c r="M22" i="67" a="1"/>
  <c r="N31" i="67" a="1"/>
  <c r="N59" i="68" a="1"/>
  <c r="O14" i="68" a="1"/>
  <c r="N48" i="68" a="1"/>
  <c r="L58" i="67" a="1"/>
  <c r="P48" i="68" a="1"/>
  <c r="N19" i="68" a="1"/>
  <c r="L52" i="67" a="1"/>
  <c r="N53" i="68" a="1"/>
  <c r="P26" i="67" a="1"/>
  <c r="N32" i="67" a="1"/>
  <c r="O26" i="68" a="1"/>
  <c r="M51" i="68" a="1"/>
  <c r="L62" i="67" a="1"/>
  <c r="P52" i="68" a="1"/>
  <c r="M46" i="67" a="1"/>
  <c r="L59" i="67" a="1"/>
  <c r="L47" i="67" a="1"/>
  <c r="P23" i="68" a="1"/>
  <c r="N27" i="68" a="1"/>
  <c r="N59" i="67" a="1"/>
  <c r="M46" i="68" a="1"/>
  <c r="P52" i="67" a="1"/>
  <c r="O16" i="67" a="1"/>
  <c r="M42" i="68" a="1"/>
  <c r="N29" i="68" a="1"/>
  <c r="L29" i="68" a="1"/>
  <c r="L56" i="67" a="1"/>
  <c r="M44" i="68" a="1"/>
  <c r="L35" i="68" a="1"/>
  <c r="M58" i="68" a="1"/>
  <c r="P22" i="67" a="1"/>
  <c r="P25" i="67" a="1"/>
  <c r="P34" i="68" a="1"/>
  <c r="O4" i="68" a="1"/>
  <c r="N21" i="68" a="1"/>
  <c r="N38" i="68" a="1"/>
  <c r="O25" i="67" a="1"/>
  <c r="M35" i="68" a="1"/>
  <c r="P21" i="67" a="1"/>
  <c r="P65" i="67" a="1"/>
  <c r="L64" i="67" a="1"/>
  <c r="N34" i="68" a="1"/>
  <c r="O57" i="67" a="1"/>
  <c r="O47" i="68" a="1"/>
  <c r="P42" i="67" a="1"/>
  <c r="N52" i="67" a="1"/>
  <c r="L9" i="67" a="1"/>
  <c r="O37" i="67" a="1"/>
  <c r="L22" i="68" a="1"/>
  <c r="L23" i="68" a="1"/>
  <c r="N12" i="68" a="1"/>
  <c r="M53" i="67" a="1"/>
  <c r="P40" i="67" a="1"/>
  <c r="N54" i="67" a="1"/>
  <c r="M49" i="68" a="1"/>
  <c r="L4" i="67" a="1"/>
  <c r="M26" i="67" a="1"/>
  <c r="O20" i="68" a="1"/>
  <c r="M37" i="68" a="1"/>
  <c r="M16" i="67" a="1"/>
  <c r="P35" i="67" a="1"/>
  <c r="P2" i="67" a="1"/>
  <c r="O65" i="68" a="1"/>
  <c r="N49" i="67" a="1"/>
  <c r="P28" i="67" a="1"/>
  <c r="O57" i="68" a="1"/>
  <c r="L12" i="68" a="1"/>
  <c r="L33" i="67" a="1"/>
  <c r="O25" i="68" a="1"/>
  <c r="P62" i="68" a="1"/>
  <c r="N33" i="68" a="1"/>
  <c r="O5" i="67" a="1"/>
  <c r="M7" i="68" a="1"/>
  <c r="O20" i="67" a="1"/>
  <c r="N63" i="67" a="1"/>
  <c r="N2" i="68" a="1"/>
  <c r="M57" i="67" a="1"/>
  <c r="L3" i="68" a="1"/>
  <c r="M8" i="68" a="1"/>
  <c r="N63" i="68" a="1"/>
  <c r="M48" i="68" a="1"/>
  <c r="M14" i="67" a="1"/>
  <c r="N8" i="67" a="1"/>
  <c r="N32" i="68" a="1"/>
  <c r="O28" i="68" a="1"/>
  <c r="L31" i="67" a="1"/>
  <c r="L55" i="68" a="1"/>
  <c r="L39" i="68" a="1"/>
  <c r="M43" i="68" a="1"/>
  <c r="M6" i="68" a="1"/>
  <c r="N64" i="67" a="1"/>
  <c r="N27" i="67" a="1"/>
  <c r="P54" i="67" a="1"/>
  <c r="P27" i="67" a="1"/>
  <c r="L48" i="68" a="1"/>
  <c r="L65" i="67" a="1"/>
  <c r="N8" i="68" a="1"/>
  <c r="M35" i="67" a="1"/>
  <c r="P31" i="67" a="1"/>
  <c r="L19" i="68" a="1"/>
  <c r="O53" i="68" a="1"/>
  <c r="O52" i="68" a="1"/>
  <c r="O53" i="67" a="1"/>
  <c r="P51" i="67" a="1"/>
  <c r="N34" i="67" a="1"/>
  <c r="P43" i="67" a="1"/>
  <c r="L17" i="67" a="1"/>
  <c r="M38" i="67" a="1"/>
  <c r="N13" i="68" a="1"/>
  <c r="M49" i="67" a="1"/>
  <c r="M16" i="68" a="1"/>
  <c r="P44" i="67" a="1"/>
  <c r="N17" i="67" a="1"/>
  <c r="P17" i="67" a="1"/>
  <c r="M65" i="67" a="1"/>
  <c r="M54" i="68" a="1"/>
  <c r="M39" i="67" a="1"/>
  <c r="N33" i="67" a="1"/>
  <c r="P38" i="67" a="1"/>
  <c r="N64" i="68" a="1"/>
  <c r="O61" i="67" a="1"/>
  <c r="M5" i="68" a="1"/>
  <c r="L42" i="68" a="1"/>
  <c r="O56" i="68" a="1"/>
  <c r="P9" i="68" a="1"/>
  <c r="L24" i="68" a="1"/>
  <c r="M13" i="68" a="1"/>
  <c r="N22" i="67" a="1"/>
  <c r="O40" i="68" a="1"/>
  <c r="O39" i="67" a="1"/>
  <c r="N37" i="67" a="1"/>
  <c r="L62" i="68" a="1"/>
  <c r="L43" i="67" a="1"/>
  <c r="P48" i="67" a="1"/>
  <c r="P56" i="67" a="1"/>
  <c r="N45" i="67" a="1"/>
  <c r="P64" i="67" a="1"/>
  <c r="O27" i="68" a="1"/>
  <c r="M14" i="68" a="1"/>
  <c r="M63" i="67" a="1"/>
  <c r="O7" i="68" a="1"/>
  <c r="L41" i="67" a="1"/>
  <c r="P47" i="67" a="1"/>
  <c r="N62" i="67" a="1"/>
  <c r="O32" i="68" a="1"/>
  <c r="M44" i="67" a="1"/>
  <c r="P46" i="67" a="1"/>
  <c r="O50" i="68" a="1"/>
  <c r="N43" i="68" a="1"/>
  <c r="N48" i="67" a="1"/>
  <c r="P36" i="67" a="1"/>
  <c r="N17" i="68" a="1"/>
  <c r="M62" i="68" a="1"/>
  <c r="L6" i="67" a="1"/>
  <c r="O61" i="68" a="1"/>
  <c r="P18" i="67" a="1"/>
  <c r="N4" i="67" a="1"/>
  <c r="M55" i="67" a="1"/>
  <c r="P16" i="68" a="1"/>
  <c r="O22" i="67" a="1"/>
  <c r="N50" i="68" a="1"/>
  <c r="M3" i="67" a="1"/>
  <c r="L40" i="68" a="1"/>
  <c r="L28" i="67" a="1"/>
  <c r="L13" i="68" a="1"/>
  <c r="L3" i="67" a="1"/>
  <c r="O23" i="67" a="1"/>
  <c r="P6" i="67" a="1"/>
  <c r="P4" i="67" a="1"/>
  <c r="L12" i="67" a="1"/>
  <c r="P14" i="68" a="1"/>
  <c r="M32" i="67" a="1"/>
  <c r="N26" i="67" a="1"/>
  <c r="P29" i="67" a="1"/>
  <c r="N45" i="68" a="1"/>
  <c r="O52" i="67" a="1"/>
  <c r="P3" i="68" a="1"/>
  <c r="P10" i="67" a="1"/>
  <c r="P22" i="68" a="1"/>
  <c r="M19" i="68" a="1"/>
  <c r="M55" i="68" a="1"/>
  <c r="M64" i="67" a="1"/>
  <c r="M28" i="67" a="1"/>
  <c r="P64" i="68" a="1"/>
  <c r="P14" i="67" a="1"/>
  <c r="L8" i="67" a="1"/>
  <c r="L49" i="68" a="1"/>
  <c r="P27" i="68" a="1"/>
  <c r="P19" i="67" a="1"/>
  <c r="M13" i="67" a="1"/>
  <c r="L16" i="68" a="1"/>
  <c r="P23" i="67" a="1"/>
  <c r="M47" i="68" a="1"/>
  <c r="O7" i="67" a="1"/>
  <c r="N3" i="67" a="1"/>
  <c r="P53" i="68" a="1"/>
  <c r="M15" i="68" a="1"/>
  <c r="M24" i="68" a="1"/>
  <c r="N12" i="67" a="1"/>
  <c r="L14" i="68" a="1"/>
  <c r="L5" i="67" a="1"/>
  <c r="P41" i="67" a="1"/>
  <c r="L51" i="67" a="1"/>
  <c r="O26" i="67" a="1"/>
  <c r="L41" i="68" a="1"/>
  <c r="M65" i="68" a="1"/>
  <c r="L61" i="68" a="1"/>
  <c r="M39" i="68" a="1"/>
  <c r="M6" i="67" a="1"/>
  <c r="P19" i="68" a="1"/>
  <c r="P60" i="67" a="1"/>
  <c r="O49" i="67" a="1"/>
  <c r="M59" i="67" a="1"/>
  <c r="P6" i="68" a="1"/>
  <c r="L30" i="67" a="1"/>
  <c r="N42" i="68" a="1"/>
  <c r="M20" i="68" a="1"/>
  <c r="M59" i="68" a="1"/>
  <c r="P44" i="68" a="1"/>
  <c r="M32" i="68" a="1"/>
  <c r="N23" i="68" a="1"/>
  <c r="O5" i="68" a="1"/>
  <c r="P34" i="67" a="1"/>
  <c r="L60" i="67" a="1"/>
  <c r="P9" i="67" a="1"/>
  <c r="P13" i="67" a="1"/>
  <c r="P16" i="67" a="1"/>
  <c r="N39" i="67" a="1"/>
  <c r="O55" i="68" a="1"/>
  <c r="M38" i="68" a="1"/>
  <c r="M33" i="68" a="1"/>
  <c r="P39" i="68" a="1"/>
  <c r="M9" i="68" a="1"/>
  <c r="M23" i="67" a="1"/>
  <c r="P8" i="68" a="1"/>
  <c r="N13" i="67" a="1"/>
  <c r="P20" i="67" a="1"/>
  <c r="N41" i="67" a="1"/>
  <c r="N30" i="67" a="1"/>
  <c r="L15" i="68" a="1"/>
  <c r="L36" i="67" a="1"/>
  <c r="N35" i="68" a="1"/>
  <c r="L18" i="68" a="1"/>
  <c r="P55" i="67" a="1"/>
  <c r="L25" i="67" a="1"/>
  <c r="O30" i="68" a="1"/>
  <c r="O63" i="68" a="1"/>
  <c r="P26" i="68" a="1"/>
  <c r="M24" i="67" a="1"/>
  <c r="M20" i="67" a="1"/>
  <c r="O46" i="68" a="1"/>
  <c r="L32" i="68" a="1"/>
  <c r="N24" i="68" a="1"/>
  <c r="L42" i="67" a="1"/>
  <c r="O39" i="68" a="1"/>
  <c r="O33" i="67" a="1"/>
  <c r="L34" i="67" a="1"/>
  <c r="O40" i="67" a="1"/>
  <c r="L53" i="67" a="1"/>
  <c r="O54" i="68" a="1"/>
  <c r="L36" i="68" a="1"/>
  <c r="N19" i="67" a="1"/>
  <c r="N23" i="67" a="1"/>
  <c r="M63" i="68" a="1"/>
  <c r="O58" i="68" a="1"/>
  <c r="L32" i="67" a="1"/>
  <c r="P46" i="68" a="1"/>
  <c r="M61" i="68" a="1"/>
  <c r="N58" i="68" a="1"/>
  <c r="L57" i="68" a="1"/>
  <c r="N22" i="68" a="1"/>
  <c r="N7" i="68" a="1"/>
  <c r="O42" i="68" a="1"/>
  <c r="M19" i="67" a="1"/>
  <c r="M30" i="67" a="1"/>
  <c r="N55" i="68" a="1"/>
  <c r="L56" i="68" a="1"/>
  <c r="L7" i="68" a="1"/>
  <c r="L16" i="67" a="1"/>
  <c r="L15" i="67" a="1"/>
  <c r="N40" i="67" a="1"/>
  <c r="O63" i="67" a="1"/>
  <c r="P63" i="67" a="1"/>
  <c r="P24" i="68" a="1"/>
  <c r="M5" i="67" a="1"/>
  <c r="P21" i="68" a="1"/>
  <c r="P31" i="68" a="1"/>
  <c r="P59" i="68" a="1"/>
  <c r="L10" i="68" a="1"/>
  <c r="M33" i="67" a="1"/>
  <c r="M50" i="68" a="1"/>
  <c r="L66" i="68" a="1"/>
  <c r="O33" i="68" a="1"/>
  <c r="M56" i="68" a="1"/>
  <c r="N18" i="68" a="1"/>
  <c r="L48" i="67" a="1"/>
  <c r="N15" i="68" a="1"/>
  <c r="N46" i="68" a="1"/>
  <c r="M2" i="68" a="1"/>
  <c r="N4" i="68" a="1"/>
  <c r="N36" i="68" a="1"/>
  <c r="P5" i="68" a="1"/>
  <c r="N25" i="68" a="1"/>
  <c r="P35" i="68" a="1"/>
  <c r="L11" i="68" a="1"/>
  <c r="L21" i="68" a="1"/>
  <c r="L18" i="67" a="1"/>
  <c r="P56" i="68" a="1"/>
  <c r="L28" i="68" a="1"/>
  <c r="N26" i="68" a="1"/>
  <c r="O13" i="67" a="1"/>
  <c r="O38" i="68" a="1"/>
  <c r="M51" i="67" a="1"/>
  <c r="N66" i="68" a="1"/>
  <c r="N21" i="67" a="1"/>
  <c r="P50" i="67" a="1"/>
  <c r="P32" i="67" a="1"/>
  <c r="O48" i="68" a="1"/>
  <c r="M28" i="68" a="1"/>
  <c r="L20" i="68" a="1"/>
  <c r="M52" i="68" a="1"/>
  <c r="M11" i="67" a="1"/>
  <c r="N3" i="68" a="1"/>
  <c r="P57" i="67" a="1"/>
  <c r="M31" i="67" a="1"/>
  <c r="L44" i="67" a="1"/>
  <c r="P38" i="68" a="1"/>
  <c r="P45" i="67" a="1"/>
  <c r="N6" i="67" a="1"/>
  <c r="L2" i="68" a="1"/>
  <c r="L22" i="67" a="1"/>
  <c r="M21" i="67" a="1"/>
  <c r="M37" i="67" a="1"/>
  <c r="N16" i="68" a="1"/>
  <c r="O6" i="68" a="1"/>
  <c r="N53" i="67" a="1"/>
  <c r="O30" i="67" a="1"/>
  <c r="M29" i="68" a="1"/>
  <c r="P39" i="67" a="1"/>
  <c r="P30" i="68" a="1"/>
  <c r="P30" i="67" a="1"/>
  <c r="L58" i="68" a="1"/>
  <c r="N20" i="68" a="1"/>
  <c r="L5" i="68" a="1"/>
  <c r="O51" i="68" a="1"/>
  <c r="M45" i="67" a="1"/>
  <c r="O15" i="68" a="1"/>
  <c r="L65" i="68" a="1"/>
  <c r="L19" i="67" a="1"/>
  <c r="L20" i="67" a="1"/>
  <c r="N56" i="68" a="1"/>
  <c r="L14" i="67" a="1"/>
  <c r="P37" i="67" a="1"/>
  <c r="N42" i="67" a="1"/>
  <c r="M10" i="68" a="1"/>
  <c r="P17" i="68" a="1"/>
  <c r="M52" i="67" a="1"/>
  <c r="P47" i="68" a="1"/>
  <c r="N65" i="67" a="1"/>
  <c r="L23" i="67" a="1"/>
  <c r="L54" i="68" a="1"/>
  <c r="O47" i="67" a="1"/>
  <c r="L38" i="68" a="1"/>
  <c r="N15" i="67" a="1"/>
  <c r="P11" i="67" a="1"/>
  <c r="O11" i="68" a="1"/>
  <c r="P55" i="68" a="1"/>
  <c r="M34" i="67" a="1"/>
  <c r="M17" i="67" a="1"/>
  <c r="O9" i="67" a="1"/>
  <c r="P10" i="68" a="1"/>
  <c r="N60" i="68" a="1"/>
  <c r="O18" i="68" a="1"/>
  <c r="L39" i="67" a="1"/>
  <c r="N30" i="68" a="1"/>
  <c r="M18" i="67" a="1"/>
  <c r="L44" i="68" a="1"/>
  <c r="O36" i="68" a="1"/>
  <c r="L43" i="68" a="1"/>
  <c r="M54" i="67" a="1"/>
  <c r="L55" i="67" a="1"/>
  <c r="P20" i="68" a="1"/>
  <c r="L26" i="67" a="1"/>
  <c r="O35" i="68" a="1"/>
  <c r="O3" i="68" a="1"/>
  <c r="L47" i="68" a="1"/>
  <c r="M64" i="68" a="1"/>
  <c r="N16" i="67" a="1"/>
  <c r="N47" i="68" a="1"/>
  <c r="L6" i="68" a="1"/>
  <c r="M42" i="67" a="1"/>
  <c r="M4" i="67" a="1"/>
  <c r="N11" i="67" a="1"/>
  <c r="P13" i="68" a="1"/>
  <c r="L33" i="68" a="1"/>
  <c r="L34" i="68" a="1"/>
  <c r="P63" i="68" a="1"/>
  <c r="P4" i="68" a="1"/>
  <c r="O8" i="68" a="1"/>
  <c r="M36" i="68" a="1"/>
  <c r="N18" i="67" a="1"/>
  <c r="M56" i="67" a="1"/>
  <c r="P61" i="68" a="1"/>
  <c r="M18" i="68" a="1"/>
  <c r="M60" i="68" a="1"/>
  <c r="L9" i="68" a="1"/>
  <c r="L13" i="67" a="1"/>
  <c r="O62" i="68" a="1"/>
  <c r="O45" i="68" a="1"/>
  <c r="M57" i="68" a="1"/>
  <c r="N24" i="67" a="1"/>
  <c r="O45" i="67" a="1"/>
  <c r="P59" i="67" a="1"/>
  <c r="O6" i="67" a="1"/>
  <c r="M7" i="67" a="1"/>
  <c r="M27" i="67" a="1"/>
  <c r="L31" i="68" a="1"/>
  <c r="N65" i="68" a="1"/>
  <c r="P65" i="68" a="1"/>
  <c r="L27" i="68" a="1"/>
  <c r="N25" i="67" a="1"/>
  <c r="N36" i="67" a="1"/>
  <c r="N2" i="67" a="1"/>
  <c r="L61" i="67" a="1"/>
  <c r="O29" i="68" a="1"/>
  <c r="M9" i="67" a="1"/>
  <c r="M31" i="68" a="1"/>
  <c r="M3" i="68" a="1"/>
  <c r="L10" i="67" a="1"/>
  <c r="M17" i="68" a="1"/>
  <c r="P43" i="68" a="1"/>
  <c r="N58" i="67" a="1"/>
  <c r="L4" i="68" a="1"/>
  <c r="L8" i="68" a="1"/>
  <c r="N6" i="68" a="1"/>
  <c r="L63" i="68" a="1"/>
  <c r="O24" i="68" a="1"/>
  <c r="P15" i="68" a="1"/>
  <c r="O31" i="68" a="1"/>
  <c r="M4" i="68" a="1"/>
  <c r="N57" i="67" a="1"/>
  <c r="M23" i="68" a="1"/>
  <c r="L64" i="68" a="1"/>
  <c r="N44" i="67" a="1"/>
  <c r="N51" i="68" a="1"/>
  <c r="P7" i="67" a="1"/>
  <c r="P54" i="68" a="1"/>
  <c r="P51" i="68" a="1"/>
  <c r="L11" i="67" a="1"/>
  <c r="O29" i="67" a="1"/>
  <c r="P5" i="67" a="1"/>
  <c r="O13" i="68" a="1"/>
  <c r="M21" i="68" a="1"/>
  <c r="N51" i="67" a="1"/>
  <c r="M40" i="67" a="1"/>
  <c r="O19" i="67" a="1"/>
  <c r="M22" i="68" a="1"/>
  <c r="L50" i="68" a="1"/>
  <c r="M43" i="67" a="1"/>
  <c r="P61" i="67" a="1"/>
  <c r="L63" i="67" a="1"/>
  <c r="M40" i="68" a="1"/>
  <c r="L60" i="68" a="1"/>
  <c r="O9" i="68" a="1"/>
  <c r="N14" i="67" a="1"/>
  <c r="M60" i="67" a="1"/>
  <c r="N37" i="68" a="1"/>
  <c r="L35" i="67" a="1"/>
  <c r="O34" i="68" a="1"/>
  <c r="M50" i="67" a="1"/>
  <c r="N41" i="68" a="1"/>
  <c r="O12" i="67" a="1"/>
  <c r="M25" i="68" a="1"/>
  <c r="N10" i="68" a="1"/>
  <c r="L45" i="67" a="1"/>
  <c r="P58" i="68" a="1"/>
  <c r="O19" i="68" a="1"/>
  <c r="M41" i="67" a="1"/>
  <c r="N61" i="67" a="1"/>
  <c r="N39" i="68" a="1"/>
  <c r="N57" i="68" a="1"/>
  <c r="P3" i="67" a="1"/>
  <c r="M66" i="68" a="1"/>
  <c r="L24" i="67" a="1"/>
  <c r="M61" i="67" a="1"/>
  <c r="N62" i="68" a="1"/>
  <c r="N28" i="67" a="1"/>
  <c r="P11" i="68" a="1"/>
  <c r="O44" i="68" a="1"/>
  <c r="O36" i="67" a="1"/>
  <c r="O48" i="67" a="1"/>
  <c r="N35" i="67" a="1"/>
  <c r="N60" i="67" a="1"/>
  <c r="M25" i="67" a="1"/>
  <c r="P42" i="68" a="1"/>
  <c r="O21" i="68" a="1"/>
  <c r="L50" i="67" a="1"/>
  <c r="N5" i="68" a="1"/>
  <c r="P15" i="67" a="1"/>
  <c r="O41" i="67" a="1"/>
  <c r="M11" i="68" a="1"/>
  <c r="P41" i="68" a="1"/>
  <c r="N11" i="68" a="1"/>
  <c r="P60" i="68" a="1"/>
  <c r="L26" i="68" a="1"/>
  <c r="P58" i="67" a="1"/>
  <c r="N29" i="67" a="1"/>
  <c r="L17" i="68" a="1"/>
  <c r="P18" i="68" l="1"/>
  <c r="D18" i="70" s="1"/>
  <c r="L26" i="68"/>
  <c r="A26" i="70" s="1"/>
  <c r="N61" i="68"/>
  <c r="B61" i="70" s="1"/>
  <c r="P57" i="67"/>
  <c r="D57" i="69" s="1"/>
  <c r="N3" i="68"/>
  <c r="B3" i="70" s="1"/>
  <c r="P39" i="68"/>
  <c r="D39" i="70" s="1"/>
  <c r="N62" i="67"/>
  <c r="B62" i="69" s="1"/>
  <c r="N54" i="67"/>
  <c r="B54" i="69" s="1"/>
  <c r="L21" i="67"/>
  <c r="A21" i="69" s="1"/>
  <c r="P60" i="68"/>
  <c r="D60" i="70" s="1"/>
  <c r="O25" i="68"/>
  <c r="C25" i="70" s="1"/>
  <c r="O6" i="67"/>
  <c r="C6" i="69" s="1"/>
  <c r="M11" i="67"/>
  <c r="M33" i="68"/>
  <c r="M10" i="67"/>
  <c r="P40" i="67"/>
  <c r="D40" i="69" s="1"/>
  <c r="O59" i="67"/>
  <c r="C59" i="69" s="1"/>
  <c r="N11" i="68"/>
  <c r="B11" i="70" s="1"/>
  <c r="M31" i="68"/>
  <c r="P59" i="67"/>
  <c r="D59" i="69" s="1"/>
  <c r="M52" i="68"/>
  <c r="M38" i="68"/>
  <c r="L4" i="67"/>
  <c r="A4" i="69" s="1"/>
  <c r="M53" i="67"/>
  <c r="O23" i="68"/>
  <c r="C23" i="70" s="1"/>
  <c r="P41" i="68"/>
  <c r="D41" i="70" s="1"/>
  <c r="L6" i="67"/>
  <c r="A6" i="69" s="1"/>
  <c r="O45" i="67"/>
  <c r="C45" i="69" s="1"/>
  <c r="L20" i="68"/>
  <c r="A20" i="70" s="1"/>
  <c r="O55" i="68"/>
  <c r="C55" i="70" s="1"/>
  <c r="P47" i="67"/>
  <c r="D47" i="69" s="1"/>
  <c r="N12" i="68"/>
  <c r="B12" i="70" s="1"/>
  <c r="M34" i="68"/>
  <c r="M11" i="68"/>
  <c r="O30" i="67"/>
  <c r="C30" i="69" s="1"/>
  <c r="N24" i="67"/>
  <c r="B24" i="69" s="1"/>
  <c r="M28" i="68"/>
  <c r="N39" i="67"/>
  <c r="B39" i="69" s="1"/>
  <c r="M49" i="68"/>
  <c r="L23" i="68"/>
  <c r="A23" i="70" s="1"/>
  <c r="O66" i="68"/>
  <c r="O41" i="67"/>
  <c r="C41" i="69" s="1"/>
  <c r="L17" i="68"/>
  <c r="A17" i="70" s="1"/>
  <c r="M57" i="68"/>
  <c r="O48" i="68"/>
  <c r="C48" i="70" s="1"/>
  <c r="P16" i="67"/>
  <c r="D16" i="69" s="1"/>
  <c r="L41" i="67"/>
  <c r="A41" i="69" s="1"/>
  <c r="L22" i="68"/>
  <c r="A22" i="70" s="1"/>
  <c r="P57" i="68"/>
  <c r="D57" i="70" s="1"/>
  <c r="P15" i="67"/>
  <c r="D15" i="69" s="1"/>
  <c r="L25" i="67"/>
  <c r="A25" i="69" s="1"/>
  <c r="O45" i="68"/>
  <c r="C45" i="70" s="1"/>
  <c r="P32" i="67"/>
  <c r="D32" i="69" s="1"/>
  <c r="P13" i="67"/>
  <c r="D13" i="69" s="1"/>
  <c r="O7" i="68"/>
  <c r="C7" i="70" s="1"/>
  <c r="O37" i="67"/>
  <c r="C37" i="69" s="1"/>
  <c r="P32" i="68"/>
  <c r="D32" i="70" s="1"/>
  <c r="N5" i="68"/>
  <c r="B5" i="70" s="1"/>
  <c r="L33" i="67"/>
  <c r="A33" i="69" s="1"/>
  <c r="O62" i="68"/>
  <c r="C62" i="70" s="1"/>
  <c r="P50" i="67"/>
  <c r="D50" i="69" s="1"/>
  <c r="P9" i="67"/>
  <c r="D9" i="69" s="1"/>
  <c r="M63" i="67"/>
  <c r="L9" i="67"/>
  <c r="A9" i="69" s="1"/>
  <c r="P36" i="68"/>
  <c r="D36" i="70" s="1"/>
  <c r="L50" i="67"/>
  <c r="A50" i="69" s="1"/>
  <c r="N20" i="67"/>
  <c r="B20" i="69" s="1"/>
  <c r="L13" i="67"/>
  <c r="A13" i="69" s="1"/>
  <c r="N21" i="67"/>
  <c r="B21" i="69" s="1"/>
  <c r="L60" i="67"/>
  <c r="A60" i="69" s="1"/>
  <c r="M14" i="68"/>
  <c r="N52" i="67"/>
  <c r="B52" i="69" s="1"/>
  <c r="L53" i="68"/>
  <c r="A53" i="70" s="1"/>
  <c r="O21" i="68"/>
  <c r="C21" i="70" s="1"/>
  <c r="M9" i="67"/>
  <c r="L9" i="68"/>
  <c r="A9" i="70" s="1"/>
  <c r="N66" i="68"/>
  <c r="P34" i="67"/>
  <c r="D34" i="69" s="1"/>
  <c r="O27" i="68"/>
  <c r="C27" i="70" s="1"/>
  <c r="P42" i="67"/>
  <c r="D42" i="69" s="1"/>
  <c r="N14" i="68"/>
  <c r="B14" i="70" s="1"/>
  <c r="P42" i="68"/>
  <c r="D42" i="70" s="1"/>
  <c r="N53" i="67"/>
  <c r="B53" i="69" s="1"/>
  <c r="M60" i="68"/>
  <c r="M51" i="67"/>
  <c r="O5" i="68"/>
  <c r="C5" i="70" s="1"/>
  <c r="P64" i="67"/>
  <c r="D64" i="69" s="1"/>
  <c r="O47" i="68"/>
  <c r="C47" i="70" s="1"/>
  <c r="O17" i="68"/>
  <c r="C17" i="70" s="1"/>
  <c r="M25" i="67"/>
  <c r="N29" i="67"/>
  <c r="B29" i="69" s="1"/>
  <c r="M18" i="68"/>
  <c r="O38" i="68"/>
  <c r="C38" i="70" s="1"/>
  <c r="N23" i="68"/>
  <c r="B23" i="70" s="1"/>
  <c r="N45" i="67"/>
  <c r="B45" i="69" s="1"/>
  <c r="O57" i="67"/>
  <c r="C57" i="69" s="1"/>
  <c r="O14" i="67"/>
  <c r="C14" i="69" s="1"/>
  <c r="N60" i="67"/>
  <c r="B60" i="69" s="1"/>
  <c r="P55" i="67"/>
  <c r="D55" i="69" s="1"/>
  <c r="P61" i="68"/>
  <c r="D61" i="70" s="1"/>
  <c r="O13" i="67"/>
  <c r="C13" i="69" s="1"/>
  <c r="M32" i="68"/>
  <c r="P56" i="67"/>
  <c r="D56" i="69" s="1"/>
  <c r="N34" i="68"/>
  <c r="B34" i="70" s="1"/>
  <c r="O64" i="68"/>
  <c r="C64" i="70" s="1"/>
  <c r="N35" i="67"/>
  <c r="B35" i="69" s="1"/>
  <c r="L12" i="68"/>
  <c r="A12" i="70" s="1"/>
  <c r="M56" i="67"/>
  <c r="N26" i="68"/>
  <c r="B26" i="70" s="1"/>
  <c r="P44" i="68"/>
  <c r="D44" i="70" s="1"/>
  <c r="P48" i="67"/>
  <c r="D48" i="69" s="1"/>
  <c r="L64" i="67"/>
  <c r="A64" i="69" s="1"/>
  <c r="O22" i="68"/>
  <c r="C22" i="70" s="1"/>
  <c r="O48" i="67"/>
  <c r="C48" i="69" s="1"/>
  <c r="L59" i="68"/>
  <c r="A59" i="70" s="1"/>
  <c r="N18" i="67"/>
  <c r="B18" i="69" s="1"/>
  <c r="L28" i="68"/>
  <c r="A28" i="70" s="1"/>
  <c r="M59" i="68"/>
  <c r="L43" i="67"/>
  <c r="A43" i="69" s="1"/>
  <c r="P65" i="67"/>
  <c r="D65" i="69" s="1"/>
  <c r="L37" i="68"/>
  <c r="A37" i="70" s="1"/>
  <c r="O36" i="67"/>
  <c r="C36" i="69" s="1"/>
  <c r="M62" i="68"/>
  <c r="M36" i="68"/>
  <c r="P56" i="68"/>
  <c r="D56" i="70" s="1"/>
  <c r="M20" i="68"/>
  <c r="L62" i="68"/>
  <c r="A62" i="70" s="1"/>
  <c r="P21" i="67"/>
  <c r="D21" i="69" s="1"/>
  <c r="L54" i="67"/>
  <c r="A54" i="69" s="1"/>
  <c r="O44" i="68"/>
  <c r="C44" i="70" s="1"/>
  <c r="O29" i="68"/>
  <c r="C29" i="70" s="1"/>
  <c r="O8" i="68"/>
  <c r="C8" i="70" s="1"/>
  <c r="L18" i="67"/>
  <c r="A18" i="69" s="1"/>
  <c r="N42" i="68"/>
  <c r="B42" i="70" s="1"/>
  <c r="N37" i="67"/>
  <c r="B37" i="69" s="1"/>
  <c r="M35" i="68"/>
  <c r="N9" i="68"/>
  <c r="B9" i="70" s="1"/>
  <c r="P11" i="68"/>
  <c r="D11" i="70" s="1"/>
  <c r="O6" i="68"/>
  <c r="C6" i="70" s="1"/>
  <c r="P4" i="68"/>
  <c r="D4" i="70" s="1"/>
  <c r="L21" i="68"/>
  <c r="A21" i="70" s="1"/>
  <c r="L30" i="67"/>
  <c r="A30" i="69" s="1"/>
  <c r="O39" i="67"/>
  <c r="C39" i="69" s="1"/>
  <c r="O25" i="67"/>
  <c r="C25" i="69" s="1"/>
  <c r="N43" i="67"/>
  <c r="B43" i="69" s="1"/>
  <c r="N28" i="67"/>
  <c r="B28" i="69" s="1"/>
  <c r="L18" i="68"/>
  <c r="A18" i="70" s="1"/>
  <c r="P63" i="68"/>
  <c r="D63" i="70" s="1"/>
  <c r="L11" i="68"/>
  <c r="A11" i="70" s="1"/>
  <c r="P6" i="68"/>
  <c r="D6" i="70" s="1"/>
  <c r="O40" i="68"/>
  <c r="C40" i="70" s="1"/>
  <c r="N38" i="68"/>
  <c r="B38" i="70" s="1"/>
  <c r="M29" i="67"/>
  <c r="N62" i="68"/>
  <c r="B62" i="70" s="1"/>
  <c r="P58" i="67"/>
  <c r="D58" i="69" s="1"/>
  <c r="L34" i="68"/>
  <c r="A34" i="70" s="1"/>
  <c r="P35" i="68"/>
  <c r="D35" i="70" s="1"/>
  <c r="M59" i="67"/>
  <c r="N22" i="67"/>
  <c r="B22" i="69" s="1"/>
  <c r="N21" i="68"/>
  <c r="B21" i="70" s="1"/>
  <c r="O16" i="68"/>
  <c r="C16" i="70" s="1"/>
  <c r="M61" i="67"/>
  <c r="N46" i="67"/>
  <c r="B46" i="69" s="1"/>
  <c r="L33" i="68"/>
  <c r="A33" i="70" s="1"/>
  <c r="N25" i="68"/>
  <c r="B25" i="70" s="1"/>
  <c r="O49" i="67"/>
  <c r="C49" i="69" s="1"/>
  <c r="M13" i="68"/>
  <c r="O4" i="68"/>
  <c r="C4" i="70" s="1"/>
  <c r="N52" i="68"/>
  <c r="B52" i="70" s="1"/>
  <c r="L24" i="67"/>
  <c r="A24" i="69" s="1"/>
  <c r="O57" i="68"/>
  <c r="C57" i="70" s="1"/>
  <c r="P13" i="68"/>
  <c r="D13" i="70" s="1"/>
  <c r="P5" i="68"/>
  <c r="D5" i="70" s="1"/>
  <c r="P60" i="67"/>
  <c r="D60" i="69" s="1"/>
  <c r="L24" i="68"/>
  <c r="A24" i="70" s="1"/>
  <c r="P34" i="68"/>
  <c r="D34" i="70" s="1"/>
  <c r="M8" i="67"/>
  <c r="M66" i="68"/>
  <c r="L61" i="67"/>
  <c r="A61" i="69" s="1"/>
  <c r="N11" i="67"/>
  <c r="B11" i="69" s="1"/>
  <c r="N36" i="68"/>
  <c r="B36" i="70" s="1"/>
  <c r="P19" i="68"/>
  <c r="D19" i="70" s="1"/>
  <c r="P9" i="68"/>
  <c r="D9" i="70" s="1"/>
  <c r="P25" i="67"/>
  <c r="D25" i="69" s="1"/>
  <c r="L49" i="67"/>
  <c r="A49" i="69" s="1"/>
  <c r="P3" i="67"/>
  <c r="D3" i="69" s="1"/>
  <c r="N17" i="68"/>
  <c r="B17" i="70" s="1"/>
  <c r="M4" i="67"/>
  <c r="N4" i="68"/>
  <c r="B4" i="70" s="1"/>
  <c r="M6" i="67"/>
  <c r="O56" i="68"/>
  <c r="C56" i="70" s="1"/>
  <c r="P22" i="67"/>
  <c r="D22" i="69" s="1"/>
  <c r="O18" i="67"/>
  <c r="C18" i="69" s="1"/>
  <c r="N57" i="68"/>
  <c r="B57" i="70" s="1"/>
  <c r="N16" i="68"/>
  <c r="B16" i="70" s="1"/>
  <c r="M42" i="67"/>
  <c r="M2" i="68"/>
  <c r="M39" i="68"/>
  <c r="L42" i="68"/>
  <c r="A42" i="70" s="1"/>
  <c r="M58" i="68"/>
  <c r="L27" i="67"/>
  <c r="A27" i="69" s="1"/>
  <c r="N39" i="68"/>
  <c r="B39" i="70" s="1"/>
  <c r="N35" i="68"/>
  <c r="B35" i="70" s="1"/>
  <c r="L6" i="68"/>
  <c r="A6" i="70" s="1"/>
  <c r="N46" i="68"/>
  <c r="B46" i="70" s="1"/>
  <c r="L61" i="68"/>
  <c r="A61" i="70" s="1"/>
  <c r="M5" i="68"/>
  <c r="L35" i="68"/>
  <c r="A35" i="70" s="1"/>
  <c r="L52" i="68"/>
  <c r="A52" i="70" s="1"/>
  <c r="N61" i="67"/>
  <c r="B61" i="69" s="1"/>
  <c r="O10" i="67"/>
  <c r="C10" i="69" s="1"/>
  <c r="N47" i="68"/>
  <c r="B47" i="70" s="1"/>
  <c r="N15" i="68"/>
  <c r="B15" i="70" s="1"/>
  <c r="M65" i="68"/>
  <c r="O61" i="67"/>
  <c r="C61" i="69" s="1"/>
  <c r="M44" i="68"/>
  <c r="M53" i="68"/>
  <c r="M41" i="67"/>
  <c r="P28" i="67"/>
  <c r="D28" i="69" s="1"/>
  <c r="N16" i="67"/>
  <c r="B16" i="69" s="1"/>
  <c r="L48" i="67"/>
  <c r="A48" i="69" s="1"/>
  <c r="L41" i="68"/>
  <c r="A41" i="70" s="1"/>
  <c r="N64" i="68"/>
  <c r="B64" i="70" s="1"/>
  <c r="L56" i="67"/>
  <c r="A56" i="69" s="1"/>
  <c r="L30" i="68"/>
  <c r="A30" i="70" s="1"/>
  <c r="O19" i="68"/>
  <c r="C19" i="70" s="1"/>
  <c r="N2" i="67"/>
  <c r="B2" i="69" s="1"/>
  <c r="M64" i="68"/>
  <c r="N18" i="68"/>
  <c r="B18" i="70" s="1"/>
  <c r="O26" i="67"/>
  <c r="C26" i="69" s="1"/>
  <c r="P38" i="67"/>
  <c r="D38" i="69" s="1"/>
  <c r="L29" i="68"/>
  <c r="A29" i="70" s="1"/>
  <c r="M2" i="67"/>
  <c r="P58" i="68"/>
  <c r="D58" i="70" s="1"/>
  <c r="P36" i="67"/>
  <c r="D36" i="69" s="1"/>
  <c r="L47" i="68"/>
  <c r="A47" i="70" s="1"/>
  <c r="M56" i="68"/>
  <c r="L51" i="67"/>
  <c r="A51" i="69" s="1"/>
  <c r="N33" i="67"/>
  <c r="B33" i="69" s="1"/>
  <c r="N29" i="68"/>
  <c r="B29" i="70" s="1"/>
  <c r="N47" i="67"/>
  <c r="B47" i="69" s="1"/>
  <c r="L45" i="67"/>
  <c r="A45" i="69" s="1"/>
  <c r="M37" i="67"/>
  <c r="O3" i="68"/>
  <c r="C3" i="70" s="1"/>
  <c r="O33" i="68"/>
  <c r="C33" i="70" s="1"/>
  <c r="P41" i="67"/>
  <c r="D41" i="69" s="1"/>
  <c r="M39" i="67"/>
  <c r="M42" i="68"/>
  <c r="O15" i="67"/>
  <c r="C15" i="69" s="1"/>
  <c r="N10" i="68"/>
  <c r="B10" i="70" s="1"/>
  <c r="L36" i="67"/>
  <c r="A36" i="69" s="1"/>
  <c r="O35" i="68"/>
  <c r="C35" i="70" s="1"/>
  <c r="L66" i="68"/>
  <c r="L5" i="67"/>
  <c r="A5" i="69" s="1"/>
  <c r="M54" i="68"/>
  <c r="O16" i="67"/>
  <c r="C16" i="69" s="1"/>
  <c r="N50" i="67"/>
  <c r="B50" i="69" s="1"/>
  <c r="M25" i="68"/>
  <c r="N49" i="67"/>
  <c r="B49" i="69" s="1"/>
  <c r="L26" i="67"/>
  <c r="A26" i="69" s="1"/>
  <c r="M50" i="68"/>
  <c r="L14" i="68"/>
  <c r="A14" i="70" s="1"/>
  <c r="M65" i="67"/>
  <c r="P52" i="67"/>
  <c r="D52" i="69" s="1"/>
  <c r="L38" i="67"/>
  <c r="A38" i="69" s="1"/>
  <c r="O12" i="67"/>
  <c r="C12" i="69" s="1"/>
  <c r="M27" i="68"/>
  <c r="P20" i="68"/>
  <c r="D20" i="70" s="1"/>
  <c r="M33" i="67"/>
  <c r="N12" i="67"/>
  <c r="B12" i="69" s="1"/>
  <c r="P17" i="67"/>
  <c r="D17" i="69" s="1"/>
  <c r="M46" i="68"/>
  <c r="P28" i="68"/>
  <c r="D28" i="70" s="1"/>
  <c r="N41" i="68"/>
  <c r="B41" i="70" s="1"/>
  <c r="N48" i="67"/>
  <c r="B48" i="69" s="1"/>
  <c r="L55" i="67"/>
  <c r="A55" i="69" s="1"/>
  <c r="L10" i="68"/>
  <c r="A10" i="70" s="1"/>
  <c r="M24" i="68"/>
  <c r="N17" i="67"/>
  <c r="B17" i="69" s="1"/>
  <c r="N59" i="67"/>
  <c r="B59" i="69" s="1"/>
  <c r="N40" i="68"/>
  <c r="B40" i="70" s="1"/>
  <c r="M50" i="67"/>
  <c r="L15" i="68"/>
  <c r="A15" i="70" s="1"/>
  <c r="M54" i="67"/>
  <c r="P59" i="68"/>
  <c r="D59" i="70" s="1"/>
  <c r="M15" i="68"/>
  <c r="P44" i="67"/>
  <c r="D44" i="69" s="1"/>
  <c r="N27" i="68"/>
  <c r="B27" i="70" s="1"/>
  <c r="P40" i="68"/>
  <c r="D40" i="70" s="1"/>
  <c r="O34" i="68"/>
  <c r="C34" i="70" s="1"/>
  <c r="M21" i="67"/>
  <c r="L43" i="68"/>
  <c r="A43" i="70" s="1"/>
  <c r="P31" i="68"/>
  <c r="D31" i="70" s="1"/>
  <c r="P53" i="68"/>
  <c r="D53" i="70" s="1"/>
  <c r="M16" i="68"/>
  <c r="P23" i="68"/>
  <c r="D23" i="70" s="1"/>
  <c r="P25" i="68"/>
  <c r="D25" i="70" s="1"/>
  <c r="L35" i="67"/>
  <c r="A35" i="69" s="1"/>
  <c r="N36" i="67"/>
  <c r="B36" i="69" s="1"/>
  <c r="O36" i="68"/>
  <c r="C36" i="70" s="1"/>
  <c r="P21" i="68"/>
  <c r="D21" i="70" s="1"/>
  <c r="N3" i="67"/>
  <c r="B3" i="69" s="1"/>
  <c r="M49" i="67"/>
  <c r="L47" i="67"/>
  <c r="A47" i="69" s="1"/>
  <c r="M47" i="67"/>
  <c r="N37" i="68"/>
  <c r="B37" i="70" s="1"/>
  <c r="O65" i="68"/>
  <c r="C65" i="70" s="1"/>
  <c r="L44" i="68"/>
  <c r="A44" i="70" s="1"/>
  <c r="M5" i="67"/>
  <c r="O7" i="67"/>
  <c r="C7" i="69" s="1"/>
  <c r="N13" i="68"/>
  <c r="B13" i="70" s="1"/>
  <c r="L59" i="67"/>
  <c r="A59" i="69" s="1"/>
  <c r="P24" i="67"/>
  <c r="D24" i="69" s="1"/>
  <c r="M60" i="67"/>
  <c r="P53" i="67"/>
  <c r="D53" i="69" s="1"/>
  <c r="M18" i="67"/>
  <c r="P24" i="68"/>
  <c r="D24" i="70" s="1"/>
  <c r="M47" i="68"/>
  <c r="M38" i="67"/>
  <c r="M46" i="67"/>
  <c r="O17" i="67"/>
  <c r="C17" i="69" s="1"/>
  <c r="N14" i="67"/>
  <c r="B14" i="69" s="1"/>
  <c r="N43" i="68"/>
  <c r="B43" i="70" s="1"/>
  <c r="N30" i="68"/>
  <c r="B30" i="70" s="1"/>
  <c r="P63" i="67"/>
  <c r="D63" i="69" s="1"/>
  <c r="P23" i="67"/>
  <c r="D23" i="69" s="1"/>
  <c r="L17" i="67"/>
  <c r="A17" i="69" s="1"/>
  <c r="P52" i="68"/>
  <c r="D52" i="70" s="1"/>
  <c r="P62" i="67"/>
  <c r="D62" i="69" s="1"/>
  <c r="O9" i="68"/>
  <c r="C9" i="70" s="1"/>
  <c r="N30" i="67"/>
  <c r="B30" i="69" s="1"/>
  <c r="L39" i="67"/>
  <c r="A39" i="69" s="1"/>
  <c r="O63" i="67"/>
  <c r="C63" i="69" s="1"/>
  <c r="L16" i="68"/>
  <c r="A16" i="70" s="1"/>
  <c r="P43" i="67"/>
  <c r="D43" i="69" s="1"/>
  <c r="L62" i="67"/>
  <c r="A62" i="69" s="1"/>
  <c r="N7" i="67"/>
  <c r="B7" i="69" s="1"/>
  <c r="L60" i="68"/>
  <c r="A60" i="70" s="1"/>
  <c r="L22" i="67"/>
  <c r="A22" i="69" s="1"/>
  <c r="O18" i="68"/>
  <c r="C18" i="70" s="1"/>
  <c r="N40" i="67"/>
  <c r="B40" i="69" s="1"/>
  <c r="M13" i="67"/>
  <c r="N34" i="67"/>
  <c r="B34" i="69" s="1"/>
  <c r="M51" i="68"/>
  <c r="P2" i="68"/>
  <c r="D2" i="70" s="1"/>
  <c r="M40" i="68"/>
  <c r="N25" i="67"/>
  <c r="B25" i="69" s="1"/>
  <c r="N60" i="68"/>
  <c r="B60" i="70" s="1"/>
  <c r="L15" i="67"/>
  <c r="A15" i="69" s="1"/>
  <c r="P19" i="67"/>
  <c r="D19" i="69" s="1"/>
  <c r="P51" i="67"/>
  <c r="D51" i="69" s="1"/>
  <c r="O26" i="68"/>
  <c r="C26" i="70" s="1"/>
  <c r="L57" i="67"/>
  <c r="A57" i="69" s="1"/>
  <c r="L63" i="67"/>
  <c r="A63" i="69" s="1"/>
  <c r="O8" i="67"/>
  <c r="C8" i="69" s="1"/>
  <c r="P10" i="68"/>
  <c r="D10" i="70" s="1"/>
  <c r="L16" i="67"/>
  <c r="A16" i="69" s="1"/>
  <c r="P27" i="68"/>
  <c r="D27" i="70" s="1"/>
  <c r="O53" i="67"/>
  <c r="C53" i="69" s="1"/>
  <c r="N32" i="67"/>
  <c r="B32" i="69" s="1"/>
  <c r="M41" i="68"/>
  <c r="P61" i="67"/>
  <c r="D61" i="69" s="1"/>
  <c r="P2" i="67"/>
  <c r="D2" i="69" s="1"/>
  <c r="O9" i="67"/>
  <c r="C9" i="69" s="1"/>
  <c r="L7" i="68"/>
  <c r="A7" i="70" s="1"/>
  <c r="L49" i="68"/>
  <c r="A49" i="70" s="1"/>
  <c r="O52" i="68"/>
  <c r="C52" i="70" s="1"/>
  <c r="P26" i="67"/>
  <c r="D26" i="69" s="1"/>
  <c r="O38" i="67"/>
  <c r="C38" i="69" s="1"/>
  <c r="M43" i="67"/>
  <c r="N41" i="67"/>
  <c r="B41" i="69" s="1"/>
  <c r="M17" i="67"/>
  <c r="L56" i="68"/>
  <c r="A56" i="70" s="1"/>
  <c r="L8" i="67"/>
  <c r="A8" i="69" s="1"/>
  <c r="O53" i="68"/>
  <c r="C53" i="70" s="1"/>
  <c r="N53" i="68"/>
  <c r="B53" i="70" s="1"/>
  <c r="P12" i="68"/>
  <c r="D12" i="70" s="1"/>
  <c r="L50" i="68"/>
  <c r="A50" i="70" s="1"/>
  <c r="O50" i="68"/>
  <c r="C50" i="70" s="1"/>
  <c r="M34" i="67"/>
  <c r="N55" i="68"/>
  <c r="B55" i="70" s="1"/>
  <c r="P14" i="67"/>
  <c r="D14" i="69" s="1"/>
  <c r="L19" i="68"/>
  <c r="A19" i="70" s="1"/>
  <c r="L52" i="67"/>
  <c r="A52" i="69" s="1"/>
  <c r="L2" i="67"/>
  <c r="A2" i="69" s="1"/>
  <c r="M22" i="68"/>
  <c r="L27" i="68"/>
  <c r="A27" i="70" s="1"/>
  <c r="P55" i="68"/>
  <c r="D55" i="70" s="1"/>
  <c r="M30" i="67"/>
  <c r="P64" i="68"/>
  <c r="D64" i="70" s="1"/>
  <c r="P31" i="67"/>
  <c r="D31" i="69" s="1"/>
  <c r="N19" i="68"/>
  <c r="B19" i="70" s="1"/>
  <c r="O59" i="68"/>
  <c r="C59" i="70" s="1"/>
  <c r="O19" i="67"/>
  <c r="C19" i="69" s="1"/>
  <c r="L2" i="68"/>
  <c r="A2" i="70" s="1"/>
  <c r="O11" i="68"/>
  <c r="C11" i="70" s="1"/>
  <c r="M19" i="67"/>
  <c r="M28" i="67"/>
  <c r="M35" i="67"/>
  <c r="P48" i="68"/>
  <c r="D48" i="70" s="1"/>
  <c r="P29" i="68"/>
  <c r="D29" i="70" s="1"/>
  <c r="M40" i="67"/>
  <c r="O32" i="67"/>
  <c r="C32" i="69" s="1"/>
  <c r="P11" i="67"/>
  <c r="D11" i="69" s="1"/>
  <c r="O42" i="68"/>
  <c r="C42" i="70" s="1"/>
  <c r="M64" i="67"/>
  <c r="N8" i="68"/>
  <c r="B8" i="70" s="1"/>
  <c r="L58" i="67"/>
  <c r="A58" i="69" s="1"/>
  <c r="L7" i="67"/>
  <c r="A7" i="69" s="1"/>
  <c r="N51" i="67"/>
  <c r="B51" i="69" s="1"/>
  <c r="P35" i="67"/>
  <c r="D35" i="69" s="1"/>
  <c r="N15" i="67"/>
  <c r="B15" i="69" s="1"/>
  <c r="N7" i="68"/>
  <c r="B7" i="70" s="1"/>
  <c r="M55" i="68"/>
  <c r="L65" i="67"/>
  <c r="A65" i="69" s="1"/>
  <c r="N48" i="68"/>
  <c r="B48" i="70" s="1"/>
  <c r="L25" i="68"/>
  <c r="A25" i="70" s="1"/>
  <c r="M21" i="68"/>
  <c r="P20" i="67"/>
  <c r="D20" i="69" s="1"/>
  <c r="L38" i="68"/>
  <c r="A38" i="70" s="1"/>
  <c r="N22" i="68"/>
  <c r="B22" i="70" s="1"/>
  <c r="M19" i="68"/>
  <c r="L48" i="68"/>
  <c r="A48" i="70" s="1"/>
  <c r="O14" i="68"/>
  <c r="C14" i="70" s="1"/>
  <c r="P12" i="67"/>
  <c r="D12" i="69" s="1"/>
  <c r="O13" i="68"/>
  <c r="C13" i="70" s="1"/>
  <c r="N6" i="67"/>
  <c r="B6" i="69" s="1"/>
  <c r="O47" i="67"/>
  <c r="C47" i="69" s="1"/>
  <c r="L57" i="68"/>
  <c r="A57" i="70" s="1"/>
  <c r="P22" i="68"/>
  <c r="D22" i="70" s="1"/>
  <c r="P27" i="67"/>
  <c r="D27" i="69" s="1"/>
  <c r="N59" i="68"/>
  <c r="B59" i="70" s="1"/>
  <c r="L40" i="67"/>
  <c r="A40" i="69" s="1"/>
  <c r="P5" i="67"/>
  <c r="D5" i="69" s="1"/>
  <c r="P65" i="68"/>
  <c r="D65" i="70" s="1"/>
  <c r="L54" i="68"/>
  <c r="A54" i="70" s="1"/>
  <c r="N58" i="68"/>
  <c r="B58" i="70" s="1"/>
  <c r="P10" i="67"/>
  <c r="D10" i="69" s="1"/>
  <c r="P54" i="67"/>
  <c r="D54" i="69" s="1"/>
  <c r="N31" i="67"/>
  <c r="B31" i="69" s="1"/>
  <c r="P33" i="68"/>
  <c r="D33" i="70" s="1"/>
  <c r="O29" i="67"/>
  <c r="C29" i="69" s="1"/>
  <c r="O2" i="68"/>
  <c r="C2" i="70" s="1"/>
  <c r="L23" i="67"/>
  <c r="A23" i="69" s="1"/>
  <c r="M61" i="68"/>
  <c r="P3" i="68"/>
  <c r="D3" i="70" s="1"/>
  <c r="N27" i="67"/>
  <c r="B27" i="69" s="1"/>
  <c r="M22" i="67"/>
  <c r="N10" i="67"/>
  <c r="B10" i="69" s="1"/>
  <c r="L11" i="67"/>
  <c r="A11" i="69" s="1"/>
  <c r="M16" i="67"/>
  <c r="N65" i="67"/>
  <c r="B65" i="69" s="1"/>
  <c r="P46" i="68"/>
  <c r="D46" i="70" s="1"/>
  <c r="O52" i="67"/>
  <c r="C52" i="69" s="1"/>
  <c r="N64" i="67"/>
  <c r="B64" i="69" s="1"/>
  <c r="O46" i="67"/>
  <c r="C46" i="69" s="1"/>
  <c r="O44" i="67"/>
  <c r="C44" i="69" s="1"/>
  <c r="P51" i="68"/>
  <c r="D51" i="70" s="1"/>
  <c r="P46" i="67"/>
  <c r="D46" i="69" s="1"/>
  <c r="P47" i="68"/>
  <c r="D47" i="70" s="1"/>
  <c r="L32" i="67"/>
  <c r="A32" i="69" s="1"/>
  <c r="N45" i="68"/>
  <c r="B45" i="70" s="1"/>
  <c r="M6" i="68"/>
  <c r="P49" i="67"/>
  <c r="D49" i="69" s="1"/>
  <c r="M62" i="67"/>
  <c r="P54" i="68"/>
  <c r="D54" i="70" s="1"/>
  <c r="N13" i="67"/>
  <c r="B13" i="69" s="1"/>
  <c r="M52" i="67"/>
  <c r="O58" i="68"/>
  <c r="C58" i="70" s="1"/>
  <c r="P29" i="67"/>
  <c r="D29" i="69" s="1"/>
  <c r="M43" i="68"/>
  <c r="L37" i="67"/>
  <c r="A37" i="69" s="1"/>
  <c r="O43" i="68"/>
  <c r="C43" i="70" s="1"/>
  <c r="P7" i="67"/>
  <c r="D7" i="69" s="1"/>
  <c r="N65" i="68"/>
  <c r="B65" i="70" s="1"/>
  <c r="P17" i="68"/>
  <c r="D17" i="70" s="1"/>
  <c r="M63" i="68"/>
  <c r="N26" i="67"/>
  <c r="B26" i="69" s="1"/>
  <c r="L39" i="68"/>
  <c r="A39" i="70" s="1"/>
  <c r="M30" i="68"/>
  <c r="O49" i="68"/>
  <c r="C49" i="70" s="1"/>
  <c r="N51" i="68"/>
  <c r="B51" i="70" s="1"/>
  <c r="P45" i="67"/>
  <c r="D45" i="69" s="1"/>
  <c r="M10" i="68"/>
  <c r="N23" i="67"/>
  <c r="B23" i="69" s="1"/>
  <c r="M32" i="67"/>
  <c r="L55" i="68"/>
  <c r="A55" i="70" s="1"/>
  <c r="O51" i="67"/>
  <c r="C51" i="69" s="1"/>
  <c r="O3" i="67"/>
  <c r="C3" i="69" s="1"/>
  <c r="N44" i="67"/>
  <c r="B44" i="69" s="1"/>
  <c r="M37" i="68"/>
  <c r="N42" i="67"/>
  <c r="B42" i="69" s="1"/>
  <c r="N19" i="67"/>
  <c r="B19" i="69" s="1"/>
  <c r="P14" i="68"/>
  <c r="D14" i="70" s="1"/>
  <c r="L31" i="67"/>
  <c r="A31" i="69" s="1"/>
  <c r="O37" i="68"/>
  <c r="C37" i="70" s="1"/>
  <c r="L45" i="68"/>
  <c r="A45" i="70" s="1"/>
  <c r="L64" i="68"/>
  <c r="A64" i="70" s="1"/>
  <c r="P8" i="67"/>
  <c r="D8" i="69" s="1"/>
  <c r="P37" i="67"/>
  <c r="D37" i="69" s="1"/>
  <c r="L36" i="68"/>
  <c r="A36" i="70" s="1"/>
  <c r="L12" i="67"/>
  <c r="A12" i="69" s="1"/>
  <c r="O28" i="68"/>
  <c r="C28" i="70" s="1"/>
  <c r="N9" i="67"/>
  <c r="B9" i="69" s="1"/>
  <c r="P45" i="68"/>
  <c r="D45" i="70" s="1"/>
  <c r="M23" i="68"/>
  <c r="M44" i="67"/>
  <c r="L14" i="67"/>
  <c r="A14" i="69" s="1"/>
  <c r="O54" i="68"/>
  <c r="C54" i="70" s="1"/>
  <c r="P4" i="67"/>
  <c r="D4" i="69" s="1"/>
  <c r="N32" i="68"/>
  <c r="B32" i="70" s="1"/>
  <c r="P7" i="68"/>
  <c r="D7" i="70" s="1"/>
  <c r="O62" i="67"/>
  <c r="C62" i="69" s="1"/>
  <c r="N57" i="67"/>
  <c r="B57" i="69" s="1"/>
  <c r="P8" i="68"/>
  <c r="D8" i="70" s="1"/>
  <c r="N56" i="68"/>
  <c r="B56" i="70" s="1"/>
  <c r="L53" i="67"/>
  <c r="A53" i="69" s="1"/>
  <c r="P6" i="67"/>
  <c r="D6" i="69" s="1"/>
  <c r="N8" i="67"/>
  <c r="B8" i="69" s="1"/>
  <c r="O12" i="68"/>
  <c r="C12" i="70" s="1"/>
  <c r="M12" i="68"/>
  <c r="M4" i="68"/>
  <c r="L31" i="68"/>
  <c r="A31" i="70" s="1"/>
  <c r="L20" i="67"/>
  <c r="A20" i="69" s="1"/>
  <c r="O40" i="67"/>
  <c r="C40" i="69" s="1"/>
  <c r="O23" i="67"/>
  <c r="C23" i="69" s="1"/>
  <c r="M14" i="67"/>
  <c r="O60" i="68"/>
  <c r="C60" i="70" s="1"/>
  <c r="M12" i="67"/>
  <c r="O31" i="68"/>
  <c r="C31" i="70" s="1"/>
  <c r="P38" i="68"/>
  <c r="D38" i="70" s="1"/>
  <c r="L19" i="67"/>
  <c r="A19" i="69" s="1"/>
  <c r="L34" i="67"/>
  <c r="A34" i="69" s="1"/>
  <c r="L3" i="67"/>
  <c r="A3" i="69" s="1"/>
  <c r="M48" i="68"/>
  <c r="P50" i="68"/>
  <c r="D50" i="70" s="1"/>
  <c r="P66" i="68"/>
  <c r="P15" i="68"/>
  <c r="D15" i="70" s="1"/>
  <c r="O20" i="68"/>
  <c r="C20" i="70" s="1"/>
  <c r="L65" i="68"/>
  <c r="A65" i="70" s="1"/>
  <c r="O33" i="67"/>
  <c r="C33" i="69" s="1"/>
  <c r="L13" i="68"/>
  <c r="A13" i="70" s="1"/>
  <c r="N63" i="68"/>
  <c r="B63" i="70" s="1"/>
  <c r="N56" i="67"/>
  <c r="B56" i="69" s="1"/>
  <c r="N28" i="68"/>
  <c r="B28" i="70" s="1"/>
  <c r="O24" i="68"/>
  <c r="C24" i="70" s="1"/>
  <c r="L46" i="67"/>
  <c r="A46" i="69" s="1"/>
  <c r="O15" i="68"/>
  <c r="C15" i="70" s="1"/>
  <c r="O39" i="68"/>
  <c r="C39" i="70" s="1"/>
  <c r="L28" i="67"/>
  <c r="A28" i="69" s="1"/>
  <c r="M8" i="68"/>
  <c r="M58" i="67"/>
  <c r="M45" i="68"/>
  <c r="L63" i="68"/>
  <c r="A63" i="70" s="1"/>
  <c r="O32" i="68"/>
  <c r="C32" i="70" s="1"/>
  <c r="M45" i="67"/>
  <c r="L42" i="67"/>
  <c r="A42" i="69" s="1"/>
  <c r="L40" i="68"/>
  <c r="A40" i="70" s="1"/>
  <c r="L3" i="68"/>
  <c r="A3" i="70" s="1"/>
  <c r="N55" i="67"/>
  <c r="B55" i="69" s="1"/>
  <c r="M36" i="67"/>
  <c r="N6" i="68"/>
  <c r="B6" i="70" s="1"/>
  <c r="M23" i="67"/>
  <c r="O51" i="68"/>
  <c r="C51" i="70" s="1"/>
  <c r="N24" i="68"/>
  <c r="B24" i="70" s="1"/>
  <c r="M3" i="67"/>
  <c r="M57" i="67"/>
  <c r="P49" i="68"/>
  <c r="D49" i="70" s="1"/>
  <c r="N44" i="68"/>
  <c r="B44" i="70" s="1"/>
  <c r="L8" i="68"/>
  <c r="A8" i="70" s="1"/>
  <c r="M27" i="67"/>
  <c r="L5" i="68"/>
  <c r="A5" i="70" s="1"/>
  <c r="L32" i="68"/>
  <c r="A32" i="70" s="1"/>
  <c r="N50" i="68"/>
  <c r="B50" i="70" s="1"/>
  <c r="N2" i="68"/>
  <c r="B2" i="70" s="1"/>
  <c r="M48" i="67"/>
  <c r="M15" i="67"/>
  <c r="L4" i="68"/>
  <c r="A4" i="70" s="1"/>
  <c r="L44" i="67"/>
  <c r="A44" i="69" s="1"/>
  <c r="N20" i="68"/>
  <c r="B20" i="70" s="1"/>
  <c r="O46" i="68"/>
  <c r="C46" i="70" s="1"/>
  <c r="O22" i="67"/>
  <c r="C22" i="69" s="1"/>
  <c r="N63" i="67"/>
  <c r="B63" i="69" s="1"/>
  <c r="M26" i="68"/>
  <c r="O55" i="67"/>
  <c r="C55" i="69" s="1"/>
  <c r="N58" i="67"/>
  <c r="B58" i="69" s="1"/>
  <c r="N38" i="67"/>
  <c r="B38" i="69" s="1"/>
  <c r="L58" i="68"/>
  <c r="A58" i="70" s="1"/>
  <c r="M20" i="67"/>
  <c r="P16" i="68"/>
  <c r="D16" i="70" s="1"/>
  <c r="O20" i="67"/>
  <c r="C20" i="69" s="1"/>
  <c r="N54" i="68"/>
  <c r="B54" i="70" s="1"/>
  <c r="P37" i="68"/>
  <c r="D37" i="70" s="1"/>
  <c r="P43" i="68"/>
  <c r="D43" i="70" s="1"/>
  <c r="M26" i="67"/>
  <c r="P30" i="67"/>
  <c r="D30" i="69" s="1"/>
  <c r="M24" i="67"/>
  <c r="M55" i="67"/>
  <c r="M7" i="68"/>
  <c r="L29" i="67"/>
  <c r="A29" i="69" s="1"/>
  <c r="L46" i="68"/>
  <c r="A46" i="70" s="1"/>
  <c r="M17" i="68"/>
  <c r="M31" i="67"/>
  <c r="P30" i="68"/>
  <c r="D30" i="70" s="1"/>
  <c r="P26" i="68"/>
  <c r="D26" i="70" s="1"/>
  <c r="N4" i="67"/>
  <c r="B4" i="69" s="1"/>
  <c r="O5" i="67"/>
  <c r="C5" i="69" s="1"/>
  <c r="O2" i="67"/>
  <c r="C2" i="69" s="1"/>
  <c r="L51" i="68"/>
  <c r="A51" i="70" s="1"/>
  <c r="L10" i="67"/>
  <c r="A10" i="69" s="1"/>
  <c r="M7" i="67"/>
  <c r="P39" i="67"/>
  <c r="D39" i="69" s="1"/>
  <c r="O63" i="68"/>
  <c r="C63" i="70" s="1"/>
  <c r="P18" i="67"/>
  <c r="D18" i="69" s="1"/>
  <c r="N33" i="68"/>
  <c r="B33" i="70" s="1"/>
  <c r="P33" i="67"/>
  <c r="D33" i="69" s="1"/>
  <c r="N49" i="68"/>
  <c r="B49" i="70" s="1"/>
  <c r="M3" i="68"/>
  <c r="M9" i="68"/>
  <c r="M29" i="68"/>
  <c r="O30" i="68"/>
  <c r="C30" i="70" s="1"/>
  <c r="O61" i="68"/>
  <c r="C61" i="70" s="1"/>
  <c r="P62" i="68"/>
  <c r="D62" i="70" s="1"/>
  <c r="N31" i="68"/>
  <c r="B31" i="70" s="1"/>
  <c r="N5" i="67"/>
  <c r="B5" i="69"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OnkoZert</author>
    <author>OnkoZert - Florina Dudu</author>
    <author>Florina</author>
    <author>o.penzes</author>
  </authors>
  <commentList>
    <comment ref="B6" authorId="0" shapeId="0" xr:uid="{00000000-0006-0000-0000-000001000000}">
      <text>
        <r>
          <rPr>
            <sz val="8"/>
            <color indexed="81"/>
            <rFont val="Arial"/>
            <family val="2"/>
          </rPr>
          <t>Bitte Reg.-Nr. auswählen.
Zum Auditjahr 2025 wurde die Systematik der Reg.-Nrn. grundsätzlich überarbeitet, wobei die 3-stellige Zahl zur eindeutigen Identifikation jedes Zentrums unverändert geblieben ist. Die aktuellen Reg.-Nrn. der jeweiligen Zentren können auf www.oncomap.de eingesehen werden.</t>
        </r>
      </text>
    </comment>
    <comment ref="B12" authorId="1" shapeId="0" xr:uid="{00000000-0006-0000-0000-000002000000}">
      <text>
        <r>
          <rPr>
            <sz val="9"/>
            <color indexed="81"/>
            <rFont val="Arial"/>
            <family val="2"/>
          </rPr>
          <t>Institutskennzeichen für die Abrechnung mit den Trägern der Sozialversicherung (9-stellige Ziffernfolge: 26XXXXXXX).
Die Bearbeitung ist nur für Zentren mit Standort in Deutschland erforderlich.</t>
        </r>
      </text>
    </comment>
    <comment ref="G12" authorId="0" shapeId="0" xr:uid="{00000000-0006-0000-0000-000003000000}">
      <text>
        <r>
          <rPr>
            <sz val="9"/>
            <color indexed="81"/>
            <rFont val="Arial"/>
            <family val="2"/>
          </rPr>
          <t>tt.mm.jjjj
Übertrag in weitere Tabellenblätter erfolgt automatisch.</t>
        </r>
      </text>
    </comment>
    <comment ref="B14" authorId="1" shapeId="0" xr:uid="{00000000-0006-0000-0000-000004000000}">
      <text>
        <r>
          <rPr>
            <sz val="9"/>
            <color indexed="81"/>
            <rFont val="Arial"/>
            <family val="2"/>
          </rPr>
          <t>Vom Institut für das Entgeltsystem im Krankenhaus (InEK) vergebenen Identifizierungsmerkmal (9-stellige Ziffernfolge: 77XXXXXXX).
Die Bearbeitung ist nur für Zentren mit Standort in Deutschland erforderlich.</t>
        </r>
      </text>
    </comment>
    <comment ref="G14" authorId="0" shapeId="0" xr:uid="{00000000-0006-0000-0000-000005000000}">
      <text>
        <r>
          <rPr>
            <sz val="9"/>
            <color indexed="81"/>
            <rFont val="Arial"/>
            <family val="2"/>
          </rPr>
          <t>Auswahl erfolgt über Reg.-Nr.</t>
        </r>
      </text>
    </comment>
    <comment ref="B16" authorId="0" shapeId="0" xr:uid="{00000000-0006-0000-0000-000006000000}">
      <text>
        <r>
          <rPr>
            <sz val="9"/>
            <color indexed="81"/>
            <rFont val="Arial"/>
            <family val="2"/>
          </rPr>
          <t>Name, Vorname</t>
        </r>
      </text>
    </comment>
    <comment ref="A21" authorId="0" shapeId="0" xr:uid="{00000000-0006-0000-0000-000007000000}">
      <text>
        <r>
          <rPr>
            <sz val="9"/>
            <color indexed="81"/>
            <rFont val="Arial"/>
            <family val="2"/>
          </rPr>
          <t>Für die automatische Generierung des Kennzahlenbogens und der Matrix Ergebnisqualität steht ein Auswertungstool (XML-OncoBox) zur Verfügung, welches in unterschiedliche Tumordokumentationssysteme integriert werden kann. Weitergehende Informationen zur XML-OncoBox unter www.xml-oncobox.de.</t>
        </r>
      </text>
    </comment>
    <comment ref="A25" authorId="0" shapeId="0" xr:uid="{00000000-0006-0000-0000-000008000000}">
      <text>
        <r>
          <rPr>
            <sz val="9"/>
            <color indexed="81"/>
            <rFont val="Arial"/>
            <family val="2"/>
          </rPr>
          <t>EB = Erhebungsbogen
KB = Kennzahlenbogen</t>
        </r>
      </text>
    </comment>
    <comment ref="A28" authorId="0" shapeId="0" xr:uid="{00000000-0006-0000-0000-000009000000}">
      <text>
        <r>
          <rPr>
            <sz val="9"/>
            <color indexed="81"/>
            <rFont val="Arial"/>
            <family val="2"/>
          </rPr>
          <t>Primärfälle  = Kolon + Rektum</t>
        </r>
      </text>
    </comment>
    <comment ref="B28" authorId="0" shapeId="0" xr:uid="{00000000-0006-0000-0000-00000A000000}">
      <text>
        <r>
          <rPr>
            <sz val="9"/>
            <color indexed="81"/>
            <rFont val="Arial"/>
            <family val="2"/>
          </rPr>
          <t>Nenner KN: 19, 29
Teil von Nenner KN: 3</t>
        </r>
      </text>
    </comment>
    <comment ref="C28" authorId="2" shapeId="0" xr:uid="{00000000-0006-0000-0000-00000B000000}">
      <text>
        <r>
          <rPr>
            <sz val="9"/>
            <color indexed="81"/>
            <rFont val="Arial"/>
            <family val="2"/>
          </rPr>
          <t>Teil von Nenner KN: 3</t>
        </r>
      </text>
    </comment>
    <comment ref="D28" authorId="2" shapeId="0" xr:uid="{00000000-0006-0000-0000-00000C000000}">
      <text>
        <r>
          <rPr>
            <sz val="9"/>
            <color indexed="81"/>
            <rFont val="Arial"/>
            <family val="2"/>
          </rPr>
          <t>Teil von Nenner KN: 3</t>
        </r>
      </text>
    </comment>
    <comment ref="E28" authorId="0" shapeId="0" xr:uid="{00000000-0006-0000-0000-00000D000000}">
      <text>
        <r>
          <rPr>
            <sz val="9"/>
            <color indexed="81"/>
            <rFont val="Arial"/>
            <family val="2"/>
          </rPr>
          <t>Teil von Nenner KN: 3</t>
        </r>
      </text>
    </comment>
    <comment ref="H28" authorId="0" shapeId="0" xr:uid="{00000000-0006-0000-0000-00000E000000}">
      <text>
        <r>
          <rPr>
            <sz val="9"/>
            <color indexed="81"/>
            <rFont val="Arial"/>
            <family val="2"/>
          </rPr>
          <t>Nenner KN: 6, 7
Teil von Nenner KN: 4, 5</t>
        </r>
      </text>
    </comment>
    <comment ref="B29" authorId="0" shapeId="0" xr:uid="{00000000-0006-0000-0000-00000F000000}">
      <text>
        <r>
          <rPr>
            <sz val="9"/>
            <color indexed="81"/>
            <rFont val="Arial"/>
            <family val="2"/>
          </rPr>
          <t>Nenner KN: 15
Teil von KN: 13</t>
        </r>
      </text>
    </comment>
    <comment ref="D29" authorId="2" shapeId="0" xr:uid="{00000000-0006-0000-0000-000010000000}">
      <text>
        <r>
          <rPr>
            <sz val="9"/>
            <color indexed="81"/>
            <rFont val="Arial"/>
            <family val="2"/>
          </rPr>
          <t>Teil von KN: 13</t>
        </r>
      </text>
    </comment>
    <comment ref="B30" authorId="0" shapeId="0" xr:uid="{00000000-0006-0000-0000-000011000000}">
      <text>
        <r>
          <rPr>
            <sz val="9"/>
            <color indexed="81"/>
            <rFont val="Arial"/>
            <family val="2"/>
          </rPr>
          <t>Nenner KN: 16, 20
Teil von KN: 14</t>
        </r>
      </text>
    </comment>
    <comment ref="C30" authorId="3" shapeId="0" xr:uid="{00000000-0006-0000-0000-000012000000}">
      <text>
        <r>
          <rPr>
            <sz val="9"/>
            <color indexed="81"/>
            <rFont val="Arial"/>
            <family val="2"/>
          </rPr>
          <t>Teil von KN: 14</t>
        </r>
      </text>
    </comment>
    <comment ref="D30" authorId="2" shapeId="0" xr:uid="{00000000-0006-0000-0000-000013000000}">
      <text>
        <r>
          <rPr>
            <sz val="9"/>
            <color indexed="81"/>
            <rFont val="Arial"/>
            <family val="2"/>
          </rPr>
          <t>Teil von KN: 14</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OnkoZert</author>
  </authors>
  <commentList>
    <comment ref="C6" authorId="0" shapeId="0" xr:uid="{00000000-0006-0000-1700-000001000000}">
      <text>
        <r>
          <rPr>
            <sz val="9"/>
            <color indexed="81"/>
            <rFont val="Arial"/>
            <family val="2"/>
          </rPr>
          <t>Übertrag erfolgt aus Tabellenblatt Basisdaten</t>
        </r>
      </text>
    </comment>
    <comment ref="C8" authorId="0" shapeId="0" xr:uid="{00000000-0006-0000-1700-000002000000}">
      <text>
        <r>
          <rPr>
            <sz val="9"/>
            <color indexed="81"/>
            <rFont val="Arial"/>
            <family val="2"/>
          </rPr>
          <t>Übertrag erfolgt aus Tabellenblatt Basisdaten</t>
        </r>
      </text>
    </comment>
    <comment ref="F8" authorId="0" shapeId="0" xr:uid="{00000000-0006-0000-1700-000003000000}">
      <text>
        <r>
          <rPr>
            <sz val="9"/>
            <color indexed="81"/>
            <rFont val="Arial"/>
            <family val="2"/>
          </rPr>
          <t>Übertrag erfolgt aus Tabellenblatt Basisdaten</t>
        </r>
      </text>
    </comment>
    <comment ref="B17" authorId="0" shapeId="0" xr:uid="{00000000-0006-0000-1700-000004000000}">
      <text>
        <r>
          <rPr>
            <sz val="9"/>
            <color indexed="81"/>
            <rFont val="Arial"/>
            <family val="2"/>
          </rPr>
          <t>Weitere Erläuterungen siehe Tabellenblatt "Matrix - Tabelle Plausibilitätsabfragen"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OnkoZert - Roxana Rentea</author>
  </authors>
  <commentList>
    <comment ref="E5" authorId="0" shapeId="0" xr:uid="{00000000-0006-0000-0400-000001000000}">
      <text>
        <r>
          <rPr>
            <sz val="9"/>
            <color indexed="81"/>
            <rFont val="Arial"/>
            <family val="2"/>
          </rPr>
          <t>Zähler KN: 6</t>
        </r>
      </text>
    </comment>
    <comment ref="A9" authorId="0" shapeId="0" xr:uid="{00000000-0006-0000-0400-000002000000}">
      <text>
        <r>
          <rPr>
            <sz val="9"/>
            <color indexed="81"/>
            <rFont val="Arial"/>
            <family val="2"/>
          </rPr>
          <t>Verantwortlicher Kooperationspartner:       
·     Intern: Studieneinheit/ Fachbereich, von dem die Betreuung der Studie ausgeht (z.B. Abt. für Radioonkologie; Hämato-/ Onkologische Gemeinschaftspraxis Dr. Mustermann; …). Bezeichnung Kooperationspartner identisch wie unter www.oncomap.de, sofern gelistet.      
·     Extern: Zentrum (Bezeichnung wie unter www.oncomap.de gelistet) oder Klinik</t>
        </r>
      </text>
    </comment>
    <comment ref="D10" authorId="0" shapeId="0" xr:uid="{00000000-0006-0000-0400-000003000000}">
      <text>
        <r>
          <rPr>
            <sz val="9"/>
            <color indexed="81"/>
            <rFont val="Arial"/>
            <family val="2"/>
          </rPr>
          <t>Angabe optional, siehe Kap. 1.7.6</t>
        </r>
      </text>
    </comment>
    <comment ref="E10" authorId="0" shapeId="0" xr:uid="{00000000-0006-0000-0400-000004000000}">
      <text>
        <r>
          <rPr>
            <sz val="9"/>
            <color indexed="81"/>
            <rFont val="Arial"/>
            <family val="2"/>
          </rPr>
          <t>Angabe optional, siehe Kap. 1.7.6</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OnkoZert - Florina Dudu</author>
  </authors>
  <commentList>
    <comment ref="B6" authorId="0" shapeId="0" xr:uid="{00000000-0006-0000-0600-000001000000}">
      <text>
        <r>
          <rPr>
            <sz val="9"/>
            <color indexed="81"/>
            <rFont val="Arial"/>
            <family val="2"/>
          </rPr>
          <t>Voraussetzung Basisqualifikation (gemäß EB 2.2.1): 
Qualifikation koloskopierender Diagnostiker
• Facharzt für Innere Medizin und Gastroenterologie
• Facharzt für Viszeralchirurgie oder Facharzt für Allgemeinchirurgie 
• Chirurgen und Internisten mit der Fachkunde Koloskopie (Bestandsschutz) 
oder Koloskopieermächtigung der zuständigen KV</t>
        </r>
      </text>
    </comment>
    <comment ref="D6" authorId="0" shapeId="0" xr:uid="{00000000-0006-0000-0600-000002000000}">
      <text>
        <r>
          <rPr>
            <sz val="9"/>
            <color indexed="81"/>
            <rFont val="Arial"/>
            <family val="2"/>
          </rPr>
          <t>relevant bei mehrstandortigen Zentren bzw. für den Fall, dass ein Untersucher regelhaft an mehreren Standorten/ Kliniken bzw. in mehreren koloskopierenden Einheiten aktiv ist (Erfahrung Untersucher ist differenziert pro koloskopierende Einheit auszuweisen)</t>
        </r>
      </text>
    </comment>
    <comment ref="E6" authorId="0" shapeId="0" xr:uid="{00000000-0006-0000-0600-000003000000}">
      <text>
        <r>
          <rPr>
            <sz val="9"/>
            <color indexed="81"/>
            <rFont val="Arial"/>
            <family val="2"/>
          </rPr>
          <t>Zeitraum in der Regel das zurückliegende Kalenderjahr 
(= Kennzahlenjahr); Abweichungen z.B. bei Personalfluktuation, unterjährige Ernennung von Untersuchern; bei unklarer Erfüllung kann 1 Untersucher auch doppelt für 2 Zeiträume geführt werden (z.B. letztes Kalenderjahr und aktuelles Jahr bis Datum Einreichung EB)</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OnkoZert - Florina Dudu</author>
  </authors>
  <commentList>
    <comment ref="B6" authorId="0" shapeId="0" xr:uid="{00000000-0006-0000-0700-000001000000}">
      <text>
        <r>
          <rPr>
            <sz val="9"/>
            <color indexed="81"/>
            <rFont val="Arial"/>
            <family val="2"/>
          </rPr>
          <t xml:space="preserve">Voraussetzung Basisqualifikation (gemäß EB 5.2.5): Facharzt für Viszeralchirurgie mit Zusatzweiterbildung Spezielle Viszeralchirurgie (ab Muster-WbO 2003, Stand 25.06.2010). Gleichwertig anerkannt sind der Facharzt für Viszeralchirurgie nach älterer MWbO bzw. der Schwerpunkt Viszeralchirurgie nach älterer MWbO. Ebenfalls anerkannt wird für das Organ Darm der Facharzt für Allgemeinchirurgie mit der europäischen Qualifikation EBSQ Coloproctology, für die Organe Pankreas und Leber der Facharzt für Allgemeinchirurgie mit der europäischen Qualifikation EBSQ Hepato-Pancreatico-Biliary Surgery (HPB). Nicht anerkannt ist der Facharzt für Allgemeinchirurgie oder Facharzt für Viszeralchirurgie ohne Zusatzweiterbildung nach MWbO Stand 2010 oder später. Für Analkarzinom: Facharzt für Allgemein- oder Viszeralchirurgie mit der Zusatz-Weiterbildung Proktologie oder europäischer Zusatzqualifikation EBSQ coloproctology </t>
        </r>
      </text>
    </comment>
    <comment ref="C6" authorId="0" shapeId="0" xr:uid="{00000000-0006-0000-0700-000002000000}">
      <text>
        <r>
          <rPr>
            <sz val="9"/>
            <color indexed="81"/>
            <rFont val="Arial"/>
            <family val="2"/>
          </rPr>
          <t>Voraussetzung Senior-Darmoperateur (gemäß EB 5.2.5): positive Qualifikationsbewertung durch OnkoZert sowie die Benennung durch das Darmkrebszentrum  (max. 1 Senior-Darmoperateur pro Zentrum)</t>
        </r>
      </text>
    </comment>
    <comment ref="D6" authorId="0" shapeId="0" xr:uid="{00000000-0006-0000-0700-000003000000}">
      <text>
        <r>
          <rPr>
            <sz val="9"/>
            <color indexed="81"/>
            <rFont val="Arial"/>
            <family val="2"/>
          </rPr>
          <t xml:space="preserve">relevant bei mehrstandortigen Zentren bzw. für den Fall, dass ein Operateur regelhaft an mehreren Standorten/ Kliniken als Operateur aktiv ist (operative Expertise ist differenziert pro Standort/ Klinikum auszuweisen) </t>
        </r>
      </text>
    </comment>
    <comment ref="E6" authorId="0" shapeId="0" xr:uid="{00000000-0006-0000-0700-000004000000}">
      <text>
        <r>
          <rPr>
            <sz val="9"/>
            <color indexed="81"/>
            <rFont val="Arial"/>
            <family val="2"/>
          </rPr>
          <t>Zeitraum in der Regel das zurückliegende Kalenderjahr 
(= Kennzahlenjahr); Abweichungen z.B. bei Personalfluktuation, unterjährige Ernennung von Operateuren; bei unklarer Erfüllung kann 1 Operateur auch doppelt für 2 Zeiträume geführt werden (z.B. letztes Kalenderjahr und aktuelles Jahr bis Datum Einreichung EB)</t>
        </r>
      </text>
    </comment>
    <comment ref="F6" authorId="0" shapeId="0" xr:uid="{00000000-0006-0000-0700-000005000000}">
      <text>
        <r>
          <rPr>
            <sz val="9"/>
            <color indexed="81"/>
            <rFont val="Arial"/>
            <family val="2"/>
          </rPr>
          <t>bei Senior-Darmoperateuren besteht keine Anforderung an die jährliche Expertise</t>
        </r>
      </text>
    </comment>
    <comment ref="G6" authorId="0" shapeId="0" xr:uid="{00000000-0006-0000-0700-000006000000}">
      <text>
        <r>
          <rPr>
            <sz val="9"/>
            <color indexed="81"/>
            <rFont val="Arial"/>
            <family val="2"/>
          </rPr>
          <t>bei Senior-Darmoperateuren besteht keine Anforderung an die jährliche Expertise</t>
        </r>
      </text>
    </comment>
    <comment ref="F23" authorId="0" shapeId="0" xr:uid="{00000000-0006-0000-0700-000007000000}">
      <text>
        <r>
          <rPr>
            <sz val="9"/>
            <color indexed="81"/>
            <rFont val="Arial"/>
            <family val="2"/>
          </rPr>
          <t>Summe "Operative Primärfälle" Basisdaten kann sich von Summe der Operationen pro Operateur unterscheiden.</t>
        </r>
      </text>
    </comment>
    <comment ref="G23" authorId="0" shapeId="0" xr:uid="{00000000-0006-0000-0700-000008000000}">
      <text>
        <r>
          <rPr>
            <sz val="9"/>
            <color indexed="81"/>
            <rFont val="Arial"/>
            <family val="2"/>
          </rPr>
          <t>Summe "Operative Primärfälle" Basisdaten kann sich von Summe der Operationen pro Operateur unterscheiden.</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OnkoZert</author>
    <author>OnkoZert - Florina Dudu</author>
    <author>Florina</author>
  </authors>
  <commentList>
    <comment ref="C4" authorId="0" shapeId="0" xr:uid="{00000000-0006-0000-0800-000001000000}">
      <text>
        <r>
          <rPr>
            <sz val="9"/>
            <color indexed="81"/>
            <rFont val="Arial"/>
            <family val="2"/>
          </rPr>
          <t>Übertrag erfolgt aus Tabellenblatt Basisdaten</t>
        </r>
      </text>
    </comment>
    <comment ref="F4" authorId="0" shapeId="0" xr:uid="{00000000-0006-0000-0800-000002000000}">
      <text>
        <r>
          <rPr>
            <sz val="9"/>
            <color indexed="81"/>
            <rFont val="Arial"/>
            <family val="2"/>
          </rPr>
          <t>Übertrag erfolgt aus Tabellenblatt Basisdaten</t>
        </r>
      </text>
    </comment>
    <comment ref="A6" authorId="0" shapeId="0" xr:uid="{00000000-0006-0000-0800-000003000000}">
      <text>
        <r>
          <rPr>
            <sz val="9"/>
            <color indexed="81"/>
            <rFont val="Arial"/>
            <family val="2"/>
          </rPr>
          <t>KN = Kennzahl</t>
        </r>
      </text>
    </comment>
    <comment ref="B6" authorId="0" shapeId="0" xr:uid="{00000000-0006-0000-0800-000004000000}">
      <text>
        <r>
          <rPr>
            <sz val="9"/>
            <color indexed="81"/>
            <rFont val="Arial"/>
            <family val="2"/>
          </rPr>
          <t>EB = Erhebungbogen 
LL = Leitlinie (www.leitlinienprogramm-onkologie.de)</t>
        </r>
      </text>
    </comment>
    <comment ref="C6" authorId="1" shapeId="0" xr:uid="{00000000-0006-0000-0800-000005000000}">
      <text>
        <r>
          <rPr>
            <sz val="9"/>
            <color indexed="81"/>
            <rFont val="Arial"/>
            <family val="2"/>
          </rPr>
          <t>Weitere Erläuterungen siehe FAQ.</t>
        </r>
      </text>
    </comment>
    <comment ref="N6" authorId="0" shapeId="0" xr:uid="{00000000-0006-0000-0800-000006000000}">
      <text>
        <r>
          <rPr>
            <sz val="9"/>
            <color indexed="81"/>
            <rFont val="Arial"/>
            <family val="2"/>
          </rPr>
          <t>Bitte zuerst Tabellenblatt 
Basisdaten komplett bearbeiten, 
dann graue Felder Ist-Werte ausfüllen.</t>
        </r>
      </text>
    </comment>
    <comment ref="Q7" authorId="0" shapeId="0" xr:uid="{00000000-0006-0000-0800-000007000000}">
      <text>
        <r>
          <rPr>
            <sz val="9"/>
            <color indexed="81"/>
            <rFont val="Arial"/>
            <family val="2"/>
          </rPr>
          <t>Wenn Zelle grau, bitte Begründung angeben.</t>
        </r>
      </text>
    </comment>
    <comment ref="O15" authorId="2" shapeId="0" xr:uid="{00000000-0006-0000-0800-000008000000}">
      <text>
        <r>
          <rPr>
            <sz val="9"/>
            <color indexed="81"/>
            <rFont val="Arial"/>
            <family val="2"/>
          </rPr>
          <t>Übertrag erfolgt aus Anzahl KN 1</t>
        </r>
      </text>
    </comment>
    <comment ref="O18" authorId="0" shapeId="0" xr:uid="{00000000-0006-0000-0800-000009000000}">
      <text>
        <r>
          <rPr>
            <sz val="9"/>
            <color indexed="81"/>
            <rFont val="Arial"/>
            <family val="2"/>
          </rPr>
          <t>Übertrag erfolgt aus Tabellenblatt Basisdaten 
operative und endoskop. Primärfälle 
Zellen B28 bis E28</t>
        </r>
      </text>
    </comment>
    <comment ref="C20" authorId="1" shapeId="0" xr:uid="{00000000-0006-0000-0800-00000A000000}">
      <text>
        <r>
          <rPr>
            <sz val="9"/>
            <color indexed="81"/>
            <rFont val="Arial"/>
            <family val="2"/>
          </rPr>
          <t>Screeninginstrumente können der S3 Leitlinie Psychoonkologische Diagnostik, Beratung und Behandlung von erwachsenen Krebspat. entnommen werden</t>
        </r>
      </text>
    </comment>
    <comment ref="F20" authorId="1" shapeId="0" xr:uid="{00000000-0006-0000-0800-00000B000000}">
      <text>
        <r>
          <rPr>
            <sz val="9"/>
            <color indexed="81"/>
            <rFont val="Arial"/>
            <family val="2"/>
          </rPr>
          <t>Distress-Screening beinhaltet die Anwendung eines validen Distressinstruments (analog zur S3 Leitlinie Psychoonkologische Diagnostik, Beratung und Behandlung von erwachsenen Krebspat.)</t>
        </r>
      </text>
    </comment>
    <comment ref="O21" authorId="0" shapeId="0" xr:uid="{00000000-0006-0000-0800-00000C000000}">
      <text>
        <r>
          <rPr>
            <sz val="9"/>
            <color indexed="81"/>
            <rFont val="Arial"/>
            <family val="2"/>
          </rPr>
          <t>Übertrag erfolgt aus Tabellenblatt Basisdaten 
Primärfälle gesamt
Zelle H28 + Anzahl Kennzahl 1</t>
        </r>
      </text>
    </comment>
    <comment ref="O24" authorId="0" shapeId="0" xr:uid="{00000000-0006-0000-0800-00000D000000}">
      <text>
        <r>
          <rPr>
            <sz val="9"/>
            <color indexed="81"/>
            <rFont val="Arial"/>
            <family val="2"/>
          </rPr>
          <t>Übertrag erfolgt aus Tabellenblatt Basisdaten 
Primärfälle gesamt
Zelle H28 + Anzahl Kennzahl 1</t>
        </r>
      </text>
    </comment>
    <comment ref="O26" authorId="0" shapeId="0" xr:uid="{00000000-0006-0000-0800-00000E000000}">
      <text>
        <r>
          <rPr>
            <sz val="9"/>
            <color indexed="81"/>
            <rFont val="Arial"/>
            <family val="2"/>
          </rPr>
          <t>Der Zähler ist keine Teilmenge des Nenners.
Übertrag erfolgt aus Tabellenblatt Studien Zelle E5</t>
        </r>
      </text>
    </comment>
    <comment ref="O27" authorId="0" shapeId="0" xr:uid="{00000000-0006-0000-0800-00000F000000}">
      <text>
        <r>
          <rPr>
            <sz val="9"/>
            <color indexed="81"/>
            <rFont val="Arial"/>
            <family val="2"/>
          </rPr>
          <t>Übertrag erfolgt aus Tabellenblatt Basisdaten 
Primärfälle gesamt
Zelle H28</t>
        </r>
      </text>
    </comment>
    <comment ref="O30" authorId="0" shapeId="0" xr:uid="{00000000-0006-0000-0800-000010000000}">
      <text>
        <r>
          <rPr>
            <sz val="9"/>
            <color indexed="81"/>
            <rFont val="Arial"/>
            <family val="2"/>
          </rPr>
          <t>Übertrag erfolgt aus Tabellenblatt Basisdaten 
Primärfälle gesamt
Zelle H28</t>
        </r>
      </text>
    </comment>
    <comment ref="F35" authorId="1" shapeId="0" xr:uid="{00000000-0006-0000-0800-000011000000}">
      <text>
        <r>
          <rPr>
            <sz val="9"/>
            <color indexed="81"/>
            <rFont val="Arial"/>
            <family val="2"/>
          </rPr>
          <t>MSI-Analyse bei unklarer/ unplausibler Immunhistochemie</t>
        </r>
      </text>
    </comment>
    <comment ref="O42" authorId="0" shapeId="0" xr:uid="{00000000-0006-0000-0800-000012000000}">
      <text>
        <r>
          <rPr>
            <sz val="9"/>
            <color indexed="81"/>
            <rFont val="Arial"/>
            <family val="2"/>
          </rPr>
          <t xml:space="preserve">Eine therapeutische Koloskopie beinhaltet die Entnahme von Polypen. Eine therapeutische Koloskopie kann, muss aber nicht, eine Teilmenge der vollständigen Koloskopien sein, sofern der Dickdarm vollständig untersucht wird. 
Nicht als Komplikation zu werten ist eine Blutung, die bei einer Polypektomie auftritt und in derselben Sitzung gestillt werden kann. </t>
        </r>
      </text>
    </comment>
    <comment ref="O45" authorId="0" shapeId="0" xr:uid="{00000000-0006-0000-0800-000013000000}">
      <text>
        <r>
          <rPr>
            <sz val="9"/>
            <color indexed="81"/>
            <rFont val="Arial"/>
            <family val="2"/>
          </rPr>
          <t>Ohne Notfälle</t>
        </r>
      </text>
    </comment>
    <comment ref="O47" authorId="0" shapeId="0" xr:uid="{00000000-0006-0000-0800-000014000000}">
      <text>
        <r>
          <rPr>
            <sz val="9"/>
            <color indexed="81"/>
            <rFont val="Arial"/>
            <family val="2"/>
          </rPr>
          <t>Übertrag erfolgt aus Tabellenblatt Basisdaten 
operative Primärfälle Kolon
Zellen B29 und D29</t>
        </r>
      </text>
    </comment>
    <comment ref="O50" authorId="0" shapeId="0" xr:uid="{00000000-0006-0000-0800-000015000000}">
      <text>
        <r>
          <rPr>
            <sz val="9"/>
            <color indexed="81"/>
            <rFont val="Arial"/>
            <family val="2"/>
          </rPr>
          <t>Übertrag erfolgt aus Tabellenblatt Basisdaten 
operative Primärfälle Rektum
Zellen B30 bis D30</t>
        </r>
      </text>
    </comment>
    <comment ref="O54" authorId="0" shapeId="0" xr:uid="{00000000-0006-0000-0800-000016000000}">
      <text>
        <r>
          <rPr>
            <sz val="9"/>
            <color indexed="81"/>
            <rFont val="Arial"/>
            <family val="2"/>
          </rPr>
          <t>Übertrag erfolgt aus Tabellenblatt Basisdaten 
elektive Kolon-Eingriffe
Zelle B29</t>
        </r>
      </text>
    </comment>
    <comment ref="O57" authorId="0" shapeId="0" xr:uid="{00000000-0006-0000-0800-000017000000}">
      <text>
        <r>
          <rPr>
            <sz val="9"/>
            <color indexed="81"/>
            <rFont val="Arial"/>
            <family val="2"/>
          </rPr>
          <t>Übertrag erfolgt aus Tabellenblatt Basisdaten 
elektive Rektum-Eingriffe
Zelle B30</t>
        </r>
      </text>
    </comment>
    <comment ref="O66" authorId="0" shapeId="0" xr:uid="{00000000-0006-0000-0800-000018000000}">
      <text>
        <r>
          <rPr>
            <sz val="9"/>
            <color indexed="81"/>
            <rFont val="Arial"/>
            <family val="2"/>
          </rPr>
          <t>Übertrag erfolgt aus Tabellenblatt Basisdaten 
elektiv operierte Pat.
Zelle B28</t>
        </r>
      </text>
    </comment>
    <comment ref="O69" authorId="0" shapeId="0" xr:uid="{00000000-0006-0000-0800-000019000000}">
      <text>
        <r>
          <rPr>
            <sz val="9"/>
            <color indexed="81"/>
            <rFont val="Arial"/>
            <family val="2"/>
          </rPr>
          <t>Übertrag erfolgt aus Tabellenblatt Basisdaten 
elektiv operative Rektum-Eingriffe 
Zelle B30</t>
        </r>
      </text>
    </comment>
    <comment ref="O71" authorId="0" shapeId="0" xr:uid="{00000000-0006-0000-0800-00001A000000}">
      <text>
        <r>
          <rPr>
            <sz val="9"/>
            <color indexed="81"/>
            <rFont val="Arial"/>
            <family val="2"/>
          </rPr>
          <t>Vorhersehbare Stomaanlage</t>
        </r>
      </text>
    </comment>
    <comment ref="O80" authorId="2" shapeId="0" xr:uid="{00000000-0006-0000-0800-00001B000000}">
      <text>
        <r>
          <rPr>
            <sz val="9"/>
            <color indexed="81"/>
            <rFont val="Arial"/>
            <family val="2"/>
          </rPr>
          <t>Übertrag erfolgt aus Zähler KN 22a minus Anzahl KN 22b</t>
        </r>
      </text>
    </comment>
    <comment ref="O99" authorId="0" shapeId="0" xr:uid="{00000000-0006-0000-0800-00001C000000}">
      <text>
        <r>
          <rPr>
            <sz val="9"/>
            <color indexed="81"/>
            <rFont val="Arial"/>
            <family val="2"/>
          </rPr>
          <t>Übertrag erfolgt aus Zähler KN 23</t>
        </r>
      </text>
    </comment>
    <comment ref="O102" authorId="2" shapeId="0" xr:uid="{00000000-0006-0000-0800-00001D000000}">
      <text>
        <r>
          <rPr>
            <sz val="9"/>
            <color indexed="81"/>
            <rFont val="Arial"/>
            <family val="2"/>
          </rPr>
          <t>Übertrag erfolgt aus Tabellenblatt Basisdaten elektiv operierte Pat. Zelle B28</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OnkoZert</author>
  </authors>
  <commentList>
    <comment ref="C6" authorId="0" shapeId="0" xr:uid="{00000000-0006-0000-0C00-000001000000}">
      <text>
        <r>
          <rPr>
            <sz val="9"/>
            <color indexed="81"/>
            <rFont val="Arial"/>
            <family val="2"/>
          </rPr>
          <t>Übertrag erfolgt aus 
Tabellenblatt Basisdaten</t>
        </r>
      </text>
    </comment>
    <comment ref="C8" authorId="0" shapeId="0" xr:uid="{00000000-0006-0000-0C00-000002000000}">
      <text>
        <r>
          <rPr>
            <sz val="9"/>
            <color indexed="81"/>
            <rFont val="Arial"/>
            <family val="2"/>
          </rPr>
          <t>Übertrag erfolgt aus Tabellenblatt Basisdaten</t>
        </r>
      </text>
    </comment>
    <comment ref="J8" authorId="0" shapeId="0" xr:uid="{00000000-0006-0000-0C00-000003000000}">
      <text>
        <r>
          <rPr>
            <sz val="9"/>
            <color indexed="81"/>
            <rFont val="Arial"/>
            <family val="2"/>
          </rPr>
          <t>Übertrag erfolgt aus Tabellenblatt Basisdaten</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OnkoZert</author>
  </authors>
  <commentList>
    <comment ref="F6" authorId="0" shapeId="0" xr:uid="{00000000-0006-0000-0F00-000001000000}">
      <text>
        <r>
          <rPr>
            <sz val="9"/>
            <color indexed="81"/>
            <rFont val="Arial"/>
            <family val="2"/>
          </rPr>
          <t>Übertrag erfolgt aus Tabellenblatt Basisdaten</t>
        </r>
      </text>
    </comment>
    <comment ref="F8" authorId="0" shapeId="0" xr:uid="{00000000-0006-0000-0F00-000002000000}">
      <text>
        <r>
          <rPr>
            <sz val="9"/>
            <color indexed="81"/>
            <rFont val="Arial"/>
            <family val="2"/>
          </rPr>
          <t xml:space="preserve">Übertrag erfolgt aus Tabellenblatt Basisdaten
</t>
        </r>
      </text>
    </comment>
    <comment ref="T8" authorId="0" shapeId="0" xr:uid="{00000000-0006-0000-0F00-000003000000}">
      <text>
        <r>
          <rPr>
            <sz val="9"/>
            <color indexed="81"/>
            <rFont val="Arial"/>
            <family val="2"/>
          </rPr>
          <t>Übertrag erfolgt aus Tabellenblatt Basisdaten</t>
        </r>
      </text>
    </comment>
    <comment ref="M31" authorId="0" shapeId="0" xr:uid="{00000000-0006-0000-0F00-000004000000}">
      <text>
        <r>
          <rPr>
            <b/>
            <sz val="9"/>
            <color indexed="81"/>
            <rFont val="Arial"/>
            <family val="2"/>
          </rPr>
          <t>Voraussetzung REDZYK mind. 80,0%</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OnkoZert</author>
  </authors>
  <commentList>
    <comment ref="C6" authorId="0" shapeId="0" xr:uid="{00000000-0006-0000-1200-000001000000}">
      <text>
        <r>
          <rPr>
            <sz val="9"/>
            <color indexed="81"/>
            <rFont val="Arial"/>
            <family val="2"/>
          </rPr>
          <t>Übertrag erfolgt aus Tabellenblatt Basisdaten</t>
        </r>
      </text>
    </comment>
    <comment ref="C8" authorId="0" shapeId="0" xr:uid="{00000000-0006-0000-1200-000002000000}">
      <text>
        <r>
          <rPr>
            <sz val="9"/>
            <color indexed="81"/>
            <rFont val="Arial"/>
            <family val="2"/>
          </rPr>
          <t>Übertrag erfolgt aus Tabellenblatt Basisdaten</t>
        </r>
      </text>
    </comment>
    <comment ref="F8" authorId="0" shapeId="0" xr:uid="{00000000-0006-0000-1200-000003000000}">
      <text>
        <r>
          <rPr>
            <sz val="9"/>
            <color indexed="81"/>
            <rFont val="Arial"/>
            <family val="2"/>
          </rPr>
          <t>Übertrag erfolgt aus Tabellenblatt Basisdaten</t>
        </r>
      </text>
    </comment>
    <comment ref="B17" authorId="0" shapeId="0" xr:uid="{00000000-0006-0000-1200-000004000000}">
      <text>
        <r>
          <rPr>
            <sz val="9"/>
            <color indexed="81"/>
            <rFont val="Arial"/>
            <family val="2"/>
          </rPr>
          <t>Weitere Erläuterungen siehe Tabellenblatt "Matrix - Tabelle Plausibilitätsabfragen"</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OnkoZert</author>
  </authors>
  <commentList>
    <comment ref="F6" authorId="0" shapeId="0" xr:uid="{00000000-0006-0000-1400-000001000000}">
      <text>
        <r>
          <rPr>
            <sz val="9"/>
            <color indexed="81"/>
            <rFont val="Arial"/>
            <family val="2"/>
          </rPr>
          <t>Übertrag erfolgt aus Tabellenblatt Basisdaten</t>
        </r>
      </text>
    </comment>
    <comment ref="F8" authorId="0" shapeId="0" xr:uid="{00000000-0006-0000-1400-000002000000}">
      <text>
        <r>
          <rPr>
            <sz val="9"/>
            <color indexed="81"/>
            <rFont val="Arial"/>
            <family val="2"/>
          </rPr>
          <t xml:space="preserve">Übertrag erfolgt aus Tabellenblatt Basisdaten
</t>
        </r>
      </text>
    </comment>
    <comment ref="T8" authorId="0" shapeId="0" xr:uid="{00000000-0006-0000-1400-000003000000}">
      <text>
        <r>
          <rPr>
            <sz val="9"/>
            <color indexed="81"/>
            <rFont val="Arial"/>
            <family val="2"/>
          </rPr>
          <t>Übertrag erfolgt aus Tabellenblatt Basisdaten</t>
        </r>
      </text>
    </comment>
    <comment ref="M31" authorId="0" shapeId="0" xr:uid="{00000000-0006-0000-1400-000004000000}">
      <text>
        <r>
          <rPr>
            <b/>
            <sz val="9"/>
            <color indexed="81"/>
            <rFont val="Arial"/>
            <family val="2"/>
          </rPr>
          <t>Voraussetzung REDZYK mind. 80,0%</t>
        </r>
      </text>
    </comment>
  </commentList>
</comments>
</file>

<file path=xl/sharedStrings.xml><?xml version="1.0" encoding="utf-8"?>
<sst xmlns="http://schemas.openxmlformats.org/spreadsheetml/2006/main" count="3577" uniqueCount="2124">
  <si>
    <t>Darmkrebszentrum Bruchsal</t>
  </si>
  <si>
    <t>Fürst-Stirum-Klinik Bruchsal</t>
  </si>
  <si>
    <t>Darmkrebszentrum Nordoberpfalz</t>
  </si>
  <si>
    <t>Darmkrebszentrum Buchholz</t>
  </si>
  <si>
    <t>Darmkrebszentrum HELIOS Klinikum Siegburg</t>
  </si>
  <si>
    <t>HELIOS Klinikum Siegburg</t>
  </si>
  <si>
    <t>Darmkrebszentrum am Heinrich-Braun-Klinikum Zwickau</t>
  </si>
  <si>
    <t>Darmkrebszentrum Lüneburg</t>
  </si>
  <si>
    <t>Darmkrebszentrum Sana Klinikum Lichtenberg</t>
  </si>
  <si>
    <t>Darmzentrum Städtisches Klinikum Karlsruhe</t>
  </si>
  <si>
    <t>Darmzentrum Bethanien Frankfurt am Main</t>
  </si>
  <si>
    <t>Darmkrebszentrum am Krankenhaus Martha-Maria Halle-Dölau</t>
  </si>
  <si>
    <t>Krankenhaus Martha-Maria Halle-Dölau</t>
  </si>
  <si>
    <t>Evangelisches Krankenhaus Herne</t>
  </si>
  <si>
    <t>Darmkrebszentrum am Marienhospital Osnabrück</t>
  </si>
  <si>
    <t>Niels-Stensen Kliniken Marienhospital Osnabrück</t>
  </si>
  <si>
    <t>Interdisziplinäres Darmkrebszentrum Düsseldorf Kaiserswerth</t>
  </si>
  <si>
    <t>Florence-Nightingale-Krankenhaus der Kaiserswerther Diakonie</t>
  </si>
  <si>
    <t>Darmkrebszentrum Bamberg</t>
  </si>
  <si>
    <t>Johannes Wesling Klinikum Minden (JWK)</t>
  </si>
  <si>
    <t>St. Elisabeth-Krankenhaus Köln-Hohenlind</t>
  </si>
  <si>
    <t>Darmkrebszentrum Klinikum Osnabrück</t>
  </si>
  <si>
    <t>Klinikum Osnabrück</t>
  </si>
  <si>
    <t>Darmkrebszentrum Park-Klinik Weißensee Berlin</t>
  </si>
  <si>
    <t>Park-Klinik Weißensee</t>
  </si>
  <si>
    <t>Darmkrebs-Zentrum Gütersloh</t>
  </si>
  <si>
    <t>Klinikum Gütersloh</t>
  </si>
  <si>
    <t>Darmkrebszentrum Erlangen</t>
  </si>
  <si>
    <t>Darmkrebszentrum am Krankenhaus Martha-Maria Nürnberg</t>
  </si>
  <si>
    <t>Interdisziplinäres Darmkrebszentrum am Kantonsspital Baden</t>
  </si>
  <si>
    <t>Kantonsspital Baden</t>
  </si>
  <si>
    <t>Darmkrebszentrum am Diakonissenkrankenhaus Dresden</t>
  </si>
  <si>
    <t>Diakonissenkrankenhaus Dresden</t>
  </si>
  <si>
    <t>Darmkrebszentrum am KRH Klinikum Siloah</t>
  </si>
  <si>
    <t>Darmkrebszentrum Fürth</t>
  </si>
  <si>
    <t>Klinikum Fürth</t>
  </si>
  <si>
    <t>Darmkrebszentrum Oldenburg, Pius-Hospital</t>
  </si>
  <si>
    <t>Pius-Hospital Oldenburg</t>
  </si>
  <si>
    <t>Darmkrebszentrum Klinikum Robert Koch Gehrden</t>
  </si>
  <si>
    <t>KRH Klinikum Robert Koch Gehrden</t>
  </si>
  <si>
    <t>Darmkrebszentrum Universitätsklinikum Mannheim</t>
  </si>
  <si>
    <t>Universitäres Darmkrebszentrum Jena</t>
  </si>
  <si>
    <t>Darmkrebszentrum Klinikum Chemnitz</t>
  </si>
  <si>
    <t>Darmkrebszentrum Bundeswehrkrankenhaus Ulm</t>
  </si>
  <si>
    <t>Bundeswehrkrankenhaus Ulm</t>
  </si>
  <si>
    <t>Darmkrebszentrum Dresden-Friedrichstadt</t>
  </si>
  <si>
    <t>Darmkrebszentrum EVK Düsseldorf</t>
  </si>
  <si>
    <t>Evangelisches Krankenhaus Düsseldorf</t>
  </si>
  <si>
    <t>Darmkrebszentrum Kliniken Essen-Mitte</t>
  </si>
  <si>
    <t>Darmkrebszentrum am Luzerner Kantonsspital</t>
  </si>
  <si>
    <t>Luzerner Kantonsspital</t>
  </si>
  <si>
    <t>Darmkrebszentrum Berlin-Buch</t>
  </si>
  <si>
    <t>Darmkrebszentrum Itzehoe</t>
  </si>
  <si>
    <t>Darmkrebszentrum Winsen</t>
  </si>
  <si>
    <t>Krankenhaus Winsen (Luhe)</t>
  </si>
  <si>
    <t>Darmkrebszentrum am Krankenhaus Porz am Rhein</t>
  </si>
  <si>
    <t>Darmkrebszentrum Kulmbach</t>
  </si>
  <si>
    <t>Darmkrebszentrum am Johanna-Etienne-Krankenhaus Rhein-Kreis Neuss</t>
  </si>
  <si>
    <t>Johanna-Etienne-Krankenhaus</t>
  </si>
  <si>
    <t>Darmkrebszentrum UKSH Kiel</t>
  </si>
  <si>
    <t>Universitätsklinikum Schleswig-Holstein, Campus Kiel</t>
  </si>
  <si>
    <t>Darmkrebszentrum Kempten-Allgäu</t>
  </si>
  <si>
    <t>Allgemeines Krankenhaus Celle (AKH)</t>
  </si>
  <si>
    <t>Malteser Krankenhaus St. Franziskus-Hospital Flensburg</t>
  </si>
  <si>
    <t>Darmkrebszentrum Frankfurt Höchst</t>
  </si>
  <si>
    <t>Klinikum Frankfurt Höchst</t>
  </si>
  <si>
    <t>Tumordokumentation</t>
  </si>
  <si>
    <t>Österreich</t>
  </si>
  <si>
    <t>CREDOS</t>
  </si>
  <si>
    <t>Eigenentwicklung (MS Excel, MS Access etc.)</t>
  </si>
  <si>
    <t>GTDS</t>
  </si>
  <si>
    <t>KIS-Erweiterung</t>
  </si>
  <si>
    <t>KoReDos</t>
  </si>
  <si>
    <t>KRAZTUR</t>
  </si>
  <si>
    <t>Onkomedia</t>
  </si>
  <si>
    <t>Basisdaten Darm</t>
  </si>
  <si>
    <t>Auffällig niedrige Quote tumorfreier Patienten</t>
  </si>
  <si>
    <t xml:space="preserve">
</t>
  </si>
  <si>
    <t xml:space="preserve">
</t>
  </si>
  <si>
    <t>P &lt; 60%</t>
  </si>
  <si>
    <t>Nicht gelistet</t>
  </si>
  <si>
    <t>Unbekannt</t>
  </si>
  <si>
    <t>Tumorbedingt gestorben (bezüglich jeder Tumorentität)</t>
  </si>
  <si>
    <t>Y25</t>
  </si>
  <si>
    <t>Z25</t>
  </si>
  <si>
    <t>O &lt; 0</t>
  </si>
  <si>
    <t>Werte Spalte O "Pat. tumorfrei" dürfen keine negativen Werte annehmen</t>
  </si>
  <si>
    <t>-----</t>
  </si>
  <si>
    <t>Relative Quote tumorfrei 
= O / (J + K)</t>
  </si>
  <si>
    <t>Die einzelnen Werte in den Spalten R, S und T dürfen den Wert in Spalte Q nicht übersteigen</t>
  </si>
  <si>
    <t>Geringe Follow-Up Quote der Nachsorgejahre</t>
  </si>
  <si>
    <t>Nicht operativ</t>
  </si>
  <si>
    <t>geringe Follow-Up Quote der Nachsorgejahre</t>
  </si>
  <si>
    <t>Eingabe kann nicht größer sein als Ereignisse Spalte Q</t>
  </si>
  <si>
    <t>Anzahl Pat. Im Follow-Up zu hoch</t>
  </si>
  <si>
    <t>Ganze Zahl zwischen 0 und 5000 eingeben</t>
  </si>
  <si>
    <t>relevante Nachsorgejahre nicht/unvollständig bearbeitet</t>
  </si>
  <si>
    <t>Zahlen in Spalte O dürfen keine negativen Werte annehmen</t>
  </si>
  <si>
    <t>nicht geprüft</t>
  </si>
  <si>
    <t>M &lt; 70%</t>
  </si>
  <si>
    <t>Nicht ausgefüllte Zellen von relevanten Nachsorgejahren</t>
  </si>
  <si>
    <t>Alle relevanten Nachsorgejahre sind zu bearbeiten, abhängig vom Datum der Erstzertifizierung</t>
  </si>
  <si>
    <t>Y23</t>
  </si>
  <si>
    <t>Y24</t>
  </si>
  <si>
    <t>Z23</t>
  </si>
  <si>
    <t>Z24</t>
  </si>
  <si>
    <t>geringe Follow-Up Quote</t>
  </si>
  <si>
    <t>durchschnittliche Follow-Up Quote &lt; 80%</t>
  </si>
  <si>
    <t>durchschnittliche Follow-Up Quote &gt; 99%</t>
  </si>
  <si>
    <t>„Hellgrün“ hinterlegte Felder weisen auf Unplausibilitäten hin. Diese Werte sind zu analysieren und das Ergebnis ist auf dem Folgeblatt „Datendefizite_Matrix-Rektum“ darzulegen.</t>
  </si>
  <si>
    <t>Von Seiten des Fachexperten können weitere Unplausibilitäten bzw. Inkorrektheiten identifiziert und im Rahmen des Auditergebnisses dargestellt werden.</t>
  </si>
  <si>
    <t>„Hellgrün“ hinterlegte Felder weisen auf Unplausibilitäten hin. Diese Werte sind zu analysieren und das Ergebnis ist auf dem Folgeblatt „Datendefizite_Matrix-Kolon“ darzulegen.</t>
  </si>
  <si>
    <t>Nicht tumorbedingt gestorben bzw. Todesursache unbekannt</t>
  </si>
  <si>
    <t>Q &lt; Max(R bis T)</t>
  </si>
  <si>
    <t>Summe Spalten Q+U+V+W (Patienten mit Ereignisse) darf nicht größer als Summe Spalten J+K (Patientenrückmeldungen) sein.</t>
  </si>
  <si>
    <t>Nur Prozentwerte zwischen 0% und 100% können verwendet werden</t>
  </si>
  <si>
    <t>Spalte / Zelle</t>
  </si>
  <si>
    <t>Erläuterung hinsichtlich Datendefizit
Begründung / Ursachenanalyse / Aktionen</t>
  </si>
  <si>
    <t>x &lt; 65% || x &gt; 95%</t>
  </si>
  <si>
    <t>x &lt; 60% || x &gt; 90%</t>
  </si>
  <si>
    <t>x &lt; 55% || x &gt; 90%</t>
  </si>
  <si>
    <t>x &lt; 50% || x &gt; 80%</t>
  </si>
  <si>
    <t>x &lt; 45% || x &gt; 75%</t>
  </si>
  <si>
    <t>x &lt; 55% || x &gt; 85%</t>
  </si>
  <si>
    <t>x &lt; 60% || x &gt; 85%</t>
  </si>
  <si>
    <t>x &lt; 50% || x &gt; 90%</t>
  </si>
  <si>
    <t>x &lt; 60% || x &gt; 95%</t>
  </si>
  <si>
    <t>x &lt; 80% || x &gt; 99%</t>
  </si>
  <si>
    <t>x &lt; 70% || x &gt; 99%</t>
  </si>
  <si>
    <t>C &lt; 16</t>
  </si>
  <si>
    <t>Pflicht Berechnung</t>
  </si>
  <si>
    <t>I.O. (Plausibilität unklar)</t>
  </si>
  <si>
    <t>Summe</t>
  </si>
  <si>
    <t>Optional Berechnung</t>
  </si>
  <si>
    <t>optional - I.O.</t>
  </si>
  <si>
    <t>optional - I.O. (Plausibilität unklar)</t>
  </si>
  <si>
    <t>optional - Sollvorgabe nicht erfüllt</t>
  </si>
  <si>
    <t>optional - unvollständig</t>
  </si>
  <si>
    <t>optional - inkorrekt</t>
  </si>
  <si>
    <t>Kennzahlenbogen</t>
  </si>
  <si>
    <t>Nr.</t>
  </si>
  <si>
    <t>kein Eintrag</t>
  </si>
  <si>
    <t xml:space="preserve"> &lt;= Sollv. nicht erfüllt</t>
  </si>
  <si>
    <t xml:space="preserve"> &gt;= Sollv. nicht erfüllt</t>
  </si>
  <si>
    <t xml:space="preserve"> &lt; Plausi ?</t>
  </si>
  <si>
    <t xml:space="preserve"> &gt; Plausi ?</t>
  </si>
  <si>
    <t>Anzahl/Quote</t>
  </si>
  <si>
    <t>HID</t>
  </si>
  <si>
    <t>ID</t>
  </si>
  <si>
    <t>Aktion</t>
  </si>
  <si>
    <t>n.d.</t>
  </si>
  <si>
    <t>Anzahl</t>
  </si>
  <si>
    <t>Nenner</t>
  </si>
  <si>
    <t>Datenqualität Kennzahlen</t>
  </si>
  <si>
    <t>Plausibel</t>
  </si>
  <si>
    <t>Bearbeitungs-qualität</t>
  </si>
  <si>
    <t>Fehlerhaft</t>
  </si>
  <si>
    <t>EB</t>
  </si>
  <si>
    <t>Kennzahldefinition</t>
  </si>
  <si>
    <t>Kennzahlenziel</t>
  </si>
  <si>
    <t>Zähler</t>
  </si>
  <si>
    <t>Grundgesamtheit 
(= Nenner)</t>
  </si>
  <si>
    <t>Ist-Wert</t>
  </si>
  <si>
    <t>Verifizierung Zentrum</t>
  </si>
  <si>
    <t>Prätherapeutische Fallvorstellung</t>
  </si>
  <si>
    <t>%</t>
  </si>
  <si>
    <t>Postoperative Fallvorstellung</t>
  </si>
  <si>
    <t>Derzeit keine Vorgaben</t>
  </si>
  <si>
    <t>Beratung Sozialdienst</t>
  </si>
  <si>
    <t>1.7.6</t>
  </si>
  <si>
    <t>Primärfälle gesamt</t>
  </si>
  <si>
    <t>Genetische Beratung</t>
  </si>
  <si>
    <t>≥ 90%</t>
  </si>
  <si>
    <t>Möglichst geringe Komplikationsrate bei therapeutischen Koloskopien</t>
  </si>
  <si>
    <t>Möglichst häufig Angabe im Befundbericht</t>
  </si>
  <si>
    <t>5.2.4</t>
  </si>
  <si>
    <t>Operative Primärfälle Kolon</t>
  </si>
  <si>
    <t>Möglichst niedrige Rate an Revisionsoperationen nach elektiven Operationen</t>
  </si>
  <si>
    <t>Re-Interventionsbedürftige Anastomoseninsuffizienzen Kolon nach elektiven Eingriffen</t>
  </si>
  <si>
    <t>Mortalität postoperativ</t>
  </si>
  <si>
    <t>Möglichst hohe Rate an lokalen R0-Resektionen</t>
  </si>
  <si>
    <t>Anzeichnung Stomaposition</t>
  </si>
  <si>
    <t>Möglichst häufig präoperative Anzeichnung Stomaposition</t>
  </si>
  <si>
    <t>Adjuvante Chemotherapien Kolon (UICC Stad. III)</t>
  </si>
  <si>
    <t xml:space="preserve">≥ 95% </t>
  </si>
  <si>
    <t>Nr</t>
  </si>
  <si>
    <t>Zaehler</t>
  </si>
  <si>
    <t>Quote</t>
  </si>
  <si>
    <t>vID</t>
  </si>
  <si>
    <t>ErlaeuterungDatendefizit</t>
  </si>
  <si>
    <t>EingeleiteteAktionen</t>
  </si>
  <si>
    <t>Aktionen</t>
  </si>
  <si>
    <t>Kennzahlenbogen Darm</t>
  </si>
  <si>
    <t>Zähler / Anzahl</t>
  </si>
  <si>
    <t>≥ 95%</t>
  </si>
  <si>
    <t>≤ 1%</t>
  </si>
  <si>
    <t>≥ 70%</t>
  </si>
  <si>
    <t>≤ 15%</t>
  </si>
  <si>
    <t>≤ 6%</t>
  </si>
  <si>
    <t>≥ 30</t>
  </si>
  <si>
    <t>≥ 20</t>
  </si>
  <si>
    <t>≤ 5%</t>
  </si>
  <si>
    <t xml:space="preserve">Qualität des TME-Rektumpräparates (Angabe Pathologie) </t>
  </si>
  <si>
    <t>Operative Primärfälle Rektum</t>
  </si>
  <si>
    <t>Kennzahlenbogen - Analyseprotokoll Datendefizite Darm</t>
  </si>
  <si>
    <t>Begründung / Ursache</t>
  </si>
  <si>
    <t>Eingeleitete / geplante Aktionen</t>
  </si>
  <si>
    <t>Lokale R0-Resektionen Rektum</t>
  </si>
  <si>
    <t xml:space="preserve">(Erläuterungen zu den Kennzahlen sind unter 
</t>
  </si>
  <si>
    <t>Ansprechpartner</t>
  </si>
  <si>
    <t>Darmkrebszentrum am Westküstenklinikum Heide</t>
  </si>
  <si>
    <t>Westküstenklinikum Heide</t>
  </si>
  <si>
    <t>Bundesland / Land</t>
  </si>
  <si>
    <t>c37.CancerCenter</t>
  </si>
  <si>
    <t>Kolorekt</t>
  </si>
  <si>
    <t>Tudok (Tumorzentrum Regensburg)</t>
  </si>
  <si>
    <t>Daten-qualität</t>
  </si>
  <si>
    <t>Soll-vorgabe</t>
  </si>
  <si>
    <t>Plausi unklar</t>
  </si>
  <si>
    <t>Darmkrebszentrum Krankenhaus der Barmherzigen Brüder St. Veit an der Glan</t>
  </si>
  <si>
    <t>Krankenhaus der Barmherzigen Brüder St. Veit an der Glan</t>
  </si>
  <si>
    <t>Darmkrebszentrum Franziskus Hospital Bielefeld</t>
  </si>
  <si>
    <t>Darmkrebszentrum Klinikum Südstadt Rostock</t>
  </si>
  <si>
    <t>Klinikum Südstadt Rostock</t>
  </si>
  <si>
    <t>Darmkrebszentrum Gera</t>
  </si>
  <si>
    <t>ID: a</t>
  </si>
  <si>
    <t>ID: b</t>
  </si>
  <si>
    <t>ID: c</t>
  </si>
  <si>
    <t>Sollvorgabe nicht erfüllt; durchschnittliche Follow-Up Quote &lt; 80%; ID: e</t>
  </si>
  <si>
    <t>ID: d</t>
  </si>
  <si>
    <t>ID: f</t>
  </si>
  <si>
    <t>Plausibilität unklar; durchschnittliche Follow-Up Quote &gt; 99%; ID: g</t>
  </si>
  <si>
    <t>ID: h</t>
  </si>
  <si>
    <t>ID: i</t>
  </si>
  <si>
    <t>ID: j</t>
  </si>
  <si>
    <t>ID: k</t>
  </si>
  <si>
    <t>ID_intern</t>
  </si>
  <si>
    <t>Erläuterung hinsichtlich Datendefizit</t>
  </si>
  <si>
    <t>Datenverifizierung_ID</t>
  </si>
  <si>
    <t>Allgemeine Feststellungen</t>
  </si>
  <si>
    <t>Allgemeine Hinweise</t>
  </si>
  <si>
    <t>Allgemeine Abweichungen</t>
  </si>
  <si>
    <t>Bewertung Ausschuss</t>
  </si>
  <si>
    <t>Anmerkung OnkoZert</t>
  </si>
  <si>
    <t>Feststellung</t>
  </si>
  <si>
    <t>Hinweis</t>
  </si>
  <si>
    <t>Abweichung</t>
  </si>
  <si>
    <t>Darmkrebszentrum Biberach</t>
  </si>
  <si>
    <t>Darmzentrum Klinikum Bayreuth</t>
  </si>
  <si>
    <t>UniversitätsSpital Zürich</t>
  </si>
  <si>
    <t xml:space="preserve">Jahr </t>
  </si>
  <si>
    <t>Jahr</t>
  </si>
  <si>
    <t>Alle KN leer:</t>
  </si>
  <si>
    <t>Für Übertragung in Datendefizite_KB:</t>
  </si>
  <si>
    <t>KN NR.</t>
  </si>
  <si>
    <t>&lt; 20%</t>
  </si>
  <si>
    <t>&lt; 0,01%</t>
  </si>
  <si>
    <t>QuaDoSta</t>
  </si>
  <si>
    <t>OncoBox</t>
  </si>
  <si>
    <t>www.xml-oncobox.de zu finden)</t>
  </si>
  <si>
    <t>XML-OncoBox Darm</t>
  </si>
  <si>
    <r>
      <t xml:space="preserve">Eingeleitete/geplante Aktionen
</t>
    </r>
    <r>
      <rPr>
        <sz val="8"/>
        <color indexed="8"/>
        <rFont val="Arial"/>
        <family val="2"/>
      </rPr>
      <t>(bei plausibler Begründung keine Aktion erforderlich)</t>
    </r>
  </si>
  <si>
    <t xml:space="preserve">Datenqualität
</t>
  </si>
  <si>
    <t>Universitätsklinikum „Carl Gustav Carus“ Dresden</t>
  </si>
  <si>
    <t>Darmkrebszentrum Krankenhaus Landshut-Achdorf</t>
  </si>
  <si>
    <t>Krankenhaus Landshut-Achdorf</t>
  </si>
  <si>
    <t xml:space="preserve">Anastomosen-insuffizienzen Kolon </t>
  </si>
  <si>
    <t>Anastomosen-insuffizienzen Rektum</t>
  </si>
  <si>
    <t>Texte i.O.</t>
  </si>
  <si>
    <t>Klinikum St. Marien Amberg</t>
  </si>
  <si>
    <t>Klinikum Memmingen</t>
  </si>
  <si>
    <t>Klinikum Ludwigsburg</t>
  </si>
  <si>
    <t>Klinikum Nürnberg</t>
  </si>
  <si>
    <t>Texte Matrix Datenquali</t>
  </si>
  <si>
    <t>Fehlermeldungen Matrix</t>
  </si>
  <si>
    <t>nicht relevant</t>
  </si>
  <si>
    <t>Charité - Campus Virchow-Klinikum</t>
  </si>
  <si>
    <t>Klinikum Passau</t>
  </si>
  <si>
    <t>Klinikum Neumarkt</t>
  </si>
  <si>
    <t>Klinikum Fulda gAG</t>
  </si>
  <si>
    <t>Elbe Klinikum Stade</t>
  </si>
  <si>
    <t>Bei den „hellrot“ hinterlegten Feldern liegt eine Falscheingabe vor, diese ist zu korrigieren.</t>
  </si>
  <si>
    <t>B</t>
  </si>
  <si>
    <t>Zahlen müssen manuell eingegeben werden, diese dürfen nicht kopiert werden.</t>
  </si>
  <si>
    <t>Bedingung Wert</t>
  </si>
  <si>
    <t>leere Zellen</t>
  </si>
  <si>
    <t>Hegau-Bodensee-Klinikum Singen</t>
  </si>
  <si>
    <t>Klinikum Kulmbach</t>
  </si>
  <si>
    <t>Hochtaunus-Kliniken Bad Homburg</t>
  </si>
  <si>
    <t>OAS nach Kaplan-Meier    
(Overall Survival) in %</t>
  </si>
  <si>
    <t>die inkorrekten und unvollständigen Einträge beheben</t>
  </si>
  <si>
    <t>Zellen müssen nicht ausgefüllt werden</t>
  </si>
  <si>
    <t>Sollvorgabe</t>
  </si>
  <si>
    <t>Primärfälle</t>
  </si>
  <si>
    <t>Sollvorgabe nicht erfüllt</t>
  </si>
  <si>
    <t>C</t>
  </si>
  <si>
    <t>D</t>
  </si>
  <si>
    <t>E</t>
  </si>
  <si>
    <t>F</t>
  </si>
  <si>
    <t>G</t>
  </si>
  <si>
    <t>I</t>
  </si>
  <si>
    <t>O</t>
  </si>
  <si>
    <t>P</t>
  </si>
  <si>
    <t>Q</t>
  </si>
  <si>
    <t>T</t>
  </si>
  <si>
    <t>U</t>
  </si>
  <si>
    <t>V</t>
  </si>
  <si>
    <t>W</t>
  </si>
  <si>
    <t>Y</t>
  </si>
  <si>
    <t>Z</t>
  </si>
  <si>
    <t>DFS nach Kaplan-Meier
(Disease Free Survival) in %</t>
  </si>
  <si>
    <t>Mehrfachnennung möglich</t>
  </si>
  <si>
    <t>Gesamt</t>
  </si>
  <si>
    <t>Reg.-Nr.</t>
  </si>
  <si>
    <t>Bundesland</t>
  </si>
  <si>
    <t>Thüringen</t>
  </si>
  <si>
    <t>Tumordokumentationssystem</t>
  </si>
  <si>
    <t>Baden-Württemberg</t>
  </si>
  <si>
    <t>Bayern</t>
  </si>
  <si>
    <t>Berlin</t>
  </si>
  <si>
    <t>Brandenburg</t>
  </si>
  <si>
    <t>Bremen</t>
  </si>
  <si>
    <t>Hamburg</t>
  </si>
  <si>
    <t>Hessen</t>
  </si>
  <si>
    <t>Mecklenburg-Vorpommern</t>
  </si>
  <si>
    <t>Niedersachsen</t>
  </si>
  <si>
    <t>Nordrhein-Westfalen</t>
  </si>
  <si>
    <t>Rheinland-Pfalz</t>
  </si>
  <si>
    <t>Saarland</t>
  </si>
  <si>
    <t>Sachsen</t>
  </si>
  <si>
    <t>Sachsen-Anhalt</t>
  </si>
  <si>
    <t>Schleswig-Holstein</t>
  </si>
  <si>
    <t>Schweiz</t>
  </si>
  <si>
    <t>Relevante Nachsorgejahre</t>
  </si>
  <si>
    <t>Berechnung Jahreszeitraum</t>
  </si>
  <si>
    <t>OAS</t>
  </si>
  <si>
    <t>Datenqualität</t>
  </si>
  <si>
    <t>FormularID</t>
  </si>
  <si>
    <t>R</t>
  </si>
  <si>
    <t>% Angabe</t>
  </si>
  <si>
    <t>Ja</t>
  </si>
  <si>
    <t>Nein</t>
  </si>
  <si>
    <t>Tabelle Plausibilitätsabfragen:</t>
  </si>
  <si>
    <t>Bearbeitungshinweise:</t>
  </si>
  <si>
    <t>Erstelldatum</t>
  </si>
  <si>
    <t>Plausibilität unklar</t>
  </si>
  <si>
    <t xml:space="preserve">Reg.-Nr. </t>
  </si>
  <si>
    <t>Erstzertifizierung</t>
  </si>
  <si>
    <t>J</t>
  </si>
  <si>
    <t>L</t>
  </si>
  <si>
    <t>Follow-Up-Meldungen</t>
  </si>
  <si>
    <t>I.O.</t>
  </si>
  <si>
    <t>In Ordnung</t>
  </si>
  <si>
    <t>Inkorrekt</t>
  </si>
  <si>
    <t>Unvollständig</t>
  </si>
  <si>
    <t>DFS</t>
  </si>
  <si>
    <t>inkorrekt</t>
  </si>
  <si>
    <t>Kennzahlenjahr</t>
  </si>
  <si>
    <t>Datenqualität Matrix</t>
  </si>
  <si>
    <t>&gt;</t>
  </si>
  <si>
    <t>&lt;</t>
  </si>
  <si>
    <t>Relative Quote tumorfrei</t>
  </si>
  <si>
    <t>Matrix</t>
  </si>
  <si>
    <t>Datenqualtiät</t>
  </si>
  <si>
    <t>Kalenderjahr 
(Erstdiagnose)</t>
  </si>
  <si>
    <t xml:space="preserve">nur Prozentwerte können eingegeben werden </t>
  </si>
  <si>
    <t>zu geringe Anzahl der Primärfälle</t>
  </si>
  <si>
    <t>zu viele Patientinnen im Follow-Up</t>
  </si>
  <si>
    <t xml:space="preserve">Fehler bei Ereignisse </t>
  </si>
  <si>
    <t>wenn sich Minuswerte berechnen</t>
  </si>
  <si>
    <t>untere Grenze</t>
  </si>
  <si>
    <t>obere Grenze</t>
  </si>
  <si>
    <t>Werte</t>
  </si>
  <si>
    <t>von</t>
  </si>
  <si>
    <t>ART</t>
  </si>
  <si>
    <t>plausi</t>
  </si>
  <si>
    <t>sollvorgabe</t>
  </si>
  <si>
    <t>unvollständig</t>
  </si>
  <si>
    <t>Liste zum Übertragen</t>
  </si>
  <si>
    <t>Kalenderjahr(e) 
(Erstdiagnose)</t>
  </si>
  <si>
    <t>Länge</t>
  </si>
  <si>
    <t>Ereignis</t>
  </si>
  <si>
    <t>&gt; FU</t>
  </si>
  <si>
    <t>negativ</t>
  </si>
  <si>
    <t>Anzahl P.</t>
  </si>
  <si>
    <t>&lt; FU</t>
  </si>
  <si>
    <t>rQ tumorfrei</t>
  </si>
  <si>
    <t>Datum Erstzertifizierung</t>
  </si>
  <si>
    <t>Anmerkungen:</t>
  </si>
  <si>
    <t>In dieser Excel-Vorlage sind die nachfolgend skizzierten Plausibilitätsabfragen hinterlegt.</t>
  </si>
  <si>
    <t>Ein Anspruch auf Vollständigkeit besteht nicht.</t>
  </si>
  <si>
    <t>auffällig niedrige Quote tumorfreier Patienten</t>
  </si>
  <si>
    <t>zu wenig Primärfälle angegeben</t>
  </si>
  <si>
    <t>A</t>
  </si>
  <si>
    <t>Erläuterung</t>
  </si>
  <si>
    <t>relevant</t>
  </si>
  <si>
    <t>DFS auffällig niedrig oder hoch</t>
  </si>
  <si>
    <t>OAS auffällig niedrig oder hoch</t>
  </si>
  <si>
    <t>Zentrum</t>
  </si>
  <si>
    <t>Standort</t>
  </si>
  <si>
    <t>a)</t>
  </si>
  <si>
    <t>b)</t>
  </si>
  <si>
    <t>c)</t>
  </si>
  <si>
    <t>d)</t>
  </si>
  <si>
    <t>e)</t>
  </si>
  <si>
    <t>Matrix kann eingereicht werden</t>
  </si>
  <si>
    <t>Einrichtung 1</t>
  </si>
  <si>
    <t>Marienhospital Stuttgart</t>
  </si>
  <si>
    <t>f)</t>
  </si>
  <si>
    <t>Sozialstiftung Bamberg Klinikum am Bruderwald</t>
  </si>
  <si>
    <t>Sana Klinikum Lichtenberg</t>
  </si>
  <si>
    <t>Krankenhaus Buchholz</t>
  </si>
  <si>
    <t>Universitätsklinikum Ulm</t>
  </si>
  <si>
    <t>Universitätsmedizin Mannheim (UMM)</t>
  </si>
  <si>
    <t>Städtisches Klinikum Karlsruhe</t>
  </si>
  <si>
    <t>Asklepios Klinik Barmbek</t>
  </si>
  <si>
    <t>Bitte beide Tabellenblätter, Kolon und Rektum, getrennt bearbeiten !!!!</t>
  </si>
  <si>
    <t>Angaben Primärdiagnose</t>
  </si>
  <si>
    <t>K</t>
  </si>
  <si>
    <t>M</t>
  </si>
  <si>
    <t>S</t>
  </si>
  <si>
    <t>Follow-Up Quote in %
= (J + K) / I</t>
  </si>
  <si>
    <t xml:space="preserve"> Pat. mit lokoregionärem Rezidiv</t>
  </si>
  <si>
    <t xml:space="preserve"> Pat. mit Lymphknotenrezidiv</t>
  </si>
  <si>
    <t xml:space="preserve"> Pat. mit Fernmetastasen</t>
  </si>
  <si>
    <t>Für Darmkrebszentren ist die Matrix Ergebnisqualität obligat zu bearbeiten.</t>
  </si>
  <si>
    <t>Für die Bewertung der Matrix gelten folgende Regelungen:</t>
  </si>
  <si>
    <t>Spalte C - G</t>
  </si>
  <si>
    <t>R, S, T</t>
  </si>
  <si>
    <t>C &lt; 25</t>
  </si>
  <si>
    <t>Matrix - Analyseprotokoll Datendefizite Kolon</t>
  </si>
  <si>
    <t>Matrix - Analyseprotokoll Datendefizite Rektum</t>
  </si>
  <si>
    <t>zu viele Pat im Follow-Up</t>
  </si>
  <si>
    <t>Werte in Spalte R,S,T dürfen den Wert Spalte Q nicht übersteigen</t>
  </si>
  <si>
    <t>Darmzentrum Ruhr</t>
  </si>
  <si>
    <t>Interdisziplinäres Darmzentrum Ulm</t>
  </si>
  <si>
    <t>Darmzentrum Westmittelfranken</t>
  </si>
  <si>
    <t>Darmzentrum Dortmund</t>
  </si>
  <si>
    <t>Darmzentrum Klinikum Fulda</t>
  </si>
  <si>
    <t>Mittelhessisches Darmzentrum Wetzlar</t>
  </si>
  <si>
    <t>Klinikum Wetzlar-Braunfels</t>
  </si>
  <si>
    <t>Darmzentrum Main-Taunus</t>
  </si>
  <si>
    <t>St. Marien Krankenhaus Siegen</t>
  </si>
  <si>
    <t>Unvollständige Jahre</t>
  </si>
  <si>
    <t>Städtisches Klinikum Braunschweig</t>
  </si>
  <si>
    <t xml:space="preserve">Jahr der Erstdiagnose  </t>
  </si>
  <si>
    <t>Jahr der Erstdiagnose</t>
  </si>
  <si>
    <t>Ausnahmen sind die optional anzugebenden Felder OAS und DFS (Spalten Y und Z). Dezimaltrennzeichen ist das Komma (nicht der Punkt). Rundung erfolgt auf zwei Nachkommastellen.</t>
  </si>
  <si>
    <t>Darmzentrum Ostwestfalen-Lippe</t>
  </si>
  <si>
    <t>Darmzentrum Halle</t>
  </si>
  <si>
    <t>Darmzentrum Chiemgau am Klinikum Traunstein</t>
  </si>
  <si>
    <t>Darmzentrum Neumarkt</t>
  </si>
  <si>
    <t>Darmzentrum am Ev. Diakonissenkrankenhaus Leipzig</t>
  </si>
  <si>
    <t>Darmzentrum Lippe</t>
  </si>
  <si>
    <t>Darmzentrum Heilbronn-Franken</t>
  </si>
  <si>
    <t>Katholisches Krankenhaus "St. Johann Nepomuk" Erfurt</t>
  </si>
  <si>
    <t>Darmzentrum Hildesheim</t>
  </si>
  <si>
    <t>Darmzentrum Region Landshut</t>
  </si>
  <si>
    <t>Klinikum Landshut</t>
  </si>
  <si>
    <t>Darmzentrum Olpe - Südwestfalen</t>
  </si>
  <si>
    <t>Darmzentrum Berlin Treptow - Köpenick</t>
  </si>
  <si>
    <t>Offenbacher DarmCentrum</t>
  </si>
  <si>
    <t>Ketteler Krankenhaus</t>
  </si>
  <si>
    <t>Darmzentrum Elbe-Weser</t>
  </si>
  <si>
    <t>Darmzentrum Speyer</t>
  </si>
  <si>
    <t>Darmzentrum Tauber-Franken</t>
  </si>
  <si>
    <t>Klinikum Sindelfingen Böblingen</t>
  </si>
  <si>
    <t>Darmzentrum Ortenau</t>
  </si>
  <si>
    <t>Darmzentrum Ev. Krankenhaus Bethesda</t>
  </si>
  <si>
    <t>Darmzentrum Bocholt</t>
  </si>
  <si>
    <t>Universitätsklinikum Freiburg</t>
  </si>
  <si>
    <t>Darmzentrum Rosenheim</t>
  </si>
  <si>
    <t>Darmzentrum Schweinfurt-Mainfranken</t>
  </si>
  <si>
    <t>Darmzentrum Stuttgart am Marienhospital</t>
  </si>
  <si>
    <t>Darmzentrum Dachau</t>
  </si>
  <si>
    <t>Darmzentrum Südthüringen</t>
  </si>
  <si>
    <t>Darmzentrum Südwest</t>
  </si>
  <si>
    <t>Darmzentrum Reutlingen</t>
  </si>
  <si>
    <t>Darmkrebszentrum Passau</t>
  </si>
  <si>
    <t>Darmzentrum Harz</t>
  </si>
  <si>
    <t>Darmzentrum Vinzenzkrankenhaus Hannover</t>
  </si>
  <si>
    <t>Darmzentrum Straubing</t>
  </si>
  <si>
    <t>Darmzentrum Klinikum Stuttgart</t>
  </si>
  <si>
    <t>Klinikum Stuttgart, Katharinenhospital</t>
  </si>
  <si>
    <t>Darmzentrum Herford</t>
  </si>
  <si>
    <t>Klinikum Herford</t>
  </si>
  <si>
    <t>Darmkrebszentrum Mülheim</t>
  </si>
  <si>
    <t>Universitätsklinikum Würzburg, Chirurgische Klinik und Poliklinik (Chirurgische Klinik I)</t>
  </si>
  <si>
    <t>Darmzentrum Memmingen</t>
  </si>
  <si>
    <t>Darmzentrum Barmherzige Brüder Regensburg</t>
  </si>
  <si>
    <t>Krankenhaus Barmherzige Brüder Regensburg</t>
  </si>
  <si>
    <t>Universitätsklinikum Regensburg</t>
  </si>
  <si>
    <t>Darmzentrum der Deutschen Krebsgesellschaft Suhl</t>
  </si>
  <si>
    <t>Darmzentrum am Krankenhaus der Barmherzigen Brüder Trier</t>
  </si>
  <si>
    <t>Krankenhaus der Barmherzigen Brüder</t>
  </si>
  <si>
    <t>Universitäres Darmkrebszentrum Frankfurt</t>
  </si>
  <si>
    <t>Darmzentrum Nürtingen</t>
  </si>
  <si>
    <t>Darmzentrum Klinikum Kassel</t>
  </si>
  <si>
    <t>Darmzentrum Klinikum Mutterhaus der Borromäerinnen Trier</t>
  </si>
  <si>
    <t>Universitätsmedizin Greifswald</t>
  </si>
  <si>
    <t>Darmzentrum Köln Nord-West</t>
  </si>
  <si>
    <t>Interdisziplinäres Darmzentrum Barmbek</t>
  </si>
  <si>
    <t>Darmzentrum Frankfurt Nordwest</t>
  </si>
  <si>
    <t>Krankenhaus Nordwest</t>
  </si>
  <si>
    <t>Darmzentrum Rhein-Erft</t>
  </si>
  <si>
    <t>Dreifaltigkeits-Krankenhaus Wesseling</t>
  </si>
  <si>
    <t>Darmzentrum Pinneberg</t>
  </si>
  <si>
    <t>Regioklinikum Pinneberg</t>
  </si>
  <si>
    <t>Darmzentrum an der Maria-Theresia-Klinik München</t>
  </si>
  <si>
    <t>Maria-Theresia-Klinik München</t>
  </si>
  <si>
    <t>Darmzentrum Bethanien Moers</t>
  </si>
  <si>
    <t>Krankenhaus Bethanien für die Grafschaft Moers</t>
  </si>
  <si>
    <t>Vincenz-Darmzentrum Paderborn</t>
  </si>
  <si>
    <t>Universitätsklinikum Gießen und Marburg, Standort Marburg</t>
  </si>
  <si>
    <t>Darmzentrum Klinikum Dortmund</t>
  </si>
  <si>
    <t>Darmzentrum am St. Franziskus-Hospital Münster</t>
  </si>
  <si>
    <t>Darmzentrum Klinikum Ernst von Bergmann Potsdam</t>
  </si>
  <si>
    <t>Klinikum Ernst von Bergmann</t>
  </si>
  <si>
    <t>Darmzentrum am Evangelischen Krankenhaus Wesel</t>
  </si>
  <si>
    <t>Darmzentrum Warendorf</t>
  </si>
  <si>
    <t>Josephs-Hospital Warendorf</t>
  </si>
  <si>
    <t>Kliniken Ostallgäu Kaufbeuren</t>
  </si>
  <si>
    <t>Darmzentrum Juliusspital Würzburg</t>
  </si>
  <si>
    <t>Darmkrebszentrum am St. Bernward Krankenhaus Hildesheim</t>
  </si>
  <si>
    <t>Darmzentrum Oberhavel</t>
  </si>
  <si>
    <t>Darmzentrum Köln am Evangelischen Krankenhaus Kalk</t>
  </si>
  <si>
    <t>Darmzentrum Johanniter Krankenhaus Bonn</t>
  </si>
  <si>
    <t>Darmzentrum Zollernalb</t>
  </si>
  <si>
    <t>Darmkrebszentrum St. Josef Regensburg</t>
  </si>
  <si>
    <t>Caritas-Krankenhaus St. Josef</t>
  </si>
  <si>
    <t>Darmzentrum Rheinpfalz am Klinikum der Stadt Ludwigshafen</t>
  </si>
  <si>
    <t>Darmkrebszentrum Datteln</t>
  </si>
  <si>
    <t>St. Vincenz-Krankenhaus Datteln</t>
  </si>
  <si>
    <t>Darmzentrum Ravensburg</t>
  </si>
  <si>
    <t>St. Franziskus-Hospital Köln</t>
  </si>
  <si>
    <t>Darmkrebszentrum Bad Homburg Hochtaunus-Kliniken</t>
  </si>
  <si>
    <t>Darmkrebszentrum Ingolstadt</t>
  </si>
  <si>
    <t>Darmkrebszentrum Klinikum Solingen</t>
  </si>
  <si>
    <t>Klinikum Solingen</t>
  </si>
  <si>
    <t>Westpfalz-Klinikum GmbH, Standort I Kaiserslautern</t>
  </si>
  <si>
    <t>KN</t>
  </si>
  <si>
    <t>Darmkrebszentrum am Universitätsklinikum Hamburg - Eppendorf</t>
  </si>
  <si>
    <t>Universitätsklinikum Hamburg - Eppendorf</t>
  </si>
  <si>
    <t>Universitätsklinikum Schleswig-Holstein, Campus Lübeck</t>
  </si>
  <si>
    <t>Darmkrebszentrum Witten</t>
  </si>
  <si>
    <t>Darmkrebszentrum Hansestadt Stendal</t>
  </si>
  <si>
    <t>Darmkrebszentrum Celle</t>
  </si>
  <si>
    <t>Darmkrebszentrum Flensburg</t>
  </si>
  <si>
    <t>ANregiomed Klinikum Ansbach</t>
  </si>
  <si>
    <t>Klinikum Traunstein/Kliniken Südostbayern AG</t>
  </si>
  <si>
    <t>DONAUISAR Klinikum Deggendorf</t>
  </si>
  <si>
    <t>Klinikum St. Elisabeth Straubing</t>
  </si>
  <si>
    <t>Sana Klinikum Biberach</t>
  </si>
  <si>
    <t>MIQ-KRCA</t>
  </si>
  <si>
    <t>ORBIS-ODOK</t>
  </si>
  <si>
    <t>ONKOSTAR</t>
  </si>
  <si>
    <t>ONDIS</t>
  </si>
  <si>
    <t>Qualitätssicherung Kolorektalkarzinom</t>
  </si>
  <si>
    <t>SMATOS</t>
  </si>
  <si>
    <t>StuDoQ</t>
  </si>
  <si>
    <t>Tumordokumentation des Instituts für Krebsepidemiologie</t>
  </si>
  <si>
    <t>Darmkrebszentrum Böblingen</t>
  </si>
  <si>
    <t>Darmzentrum des Tumorzentrums Freiburg - CCCF</t>
  </si>
  <si>
    <t>Helios Klinikum Meiningen</t>
  </si>
  <si>
    <t>Darmzentrum Bremen West</t>
  </si>
  <si>
    <t>DIAKO Ev. Diakonie-Krankenhaus</t>
  </si>
  <si>
    <t>Vinzenzkrankenhaus Hannover</t>
  </si>
  <si>
    <t>HELIOS Park-Klinikum Leipzig</t>
  </si>
  <si>
    <t>Darmzentrum Marburg im Comprehensive Cancer Center (CCC) Marburg</t>
  </si>
  <si>
    <t>Evangelisches Krankenhaus Wesel</t>
  </si>
  <si>
    <t>St. Bernward Krankenhaus</t>
  </si>
  <si>
    <t>Darmkrebszentrum St. Anna Hospital Herne</t>
  </si>
  <si>
    <t>St. Elisabeth Gruppe - Katholische Kliniken Rhein-Ruhr</t>
  </si>
  <si>
    <t>Darmkrebszentrum St. Barbara-Klinik Hamm</t>
  </si>
  <si>
    <t>St. Barbara-Klinik Hamm</t>
  </si>
  <si>
    <t>Darmkrebszentrum Klinikum Mittelbaden Baden-Baden Balg</t>
  </si>
  <si>
    <t>Klinikum Mittelbaden Baden-Baden Balg</t>
  </si>
  <si>
    <t>Darmkrebszentrum am AGAPLESION DIAKONIEKLINIKUM ROTENBURG</t>
  </si>
  <si>
    <t>AGAPLESION DIAKONIEKLINIKUM ROTENBURG</t>
  </si>
  <si>
    <t>Universitätsmedizin Rostock</t>
  </si>
  <si>
    <t>Klinikum Itzehoe</t>
  </si>
  <si>
    <t>Krankenhaus Porz am Rhein</t>
  </si>
  <si>
    <t>Darmkrebszentrum Braunschweig</t>
  </si>
  <si>
    <t>Darmkrebszentrum Bremen-Mitte</t>
  </si>
  <si>
    <t>Darmkrebszentrum St. Joseph-Stift Bremen</t>
  </si>
  <si>
    <t>St. Joseph-Stift Bremen</t>
  </si>
  <si>
    <t>Darmkrebszentrum am Städtischen Krankenhaus Kiel</t>
  </si>
  <si>
    <t>Städtisches Krankenhaus Kiel</t>
  </si>
  <si>
    <t>Sana Klinikum Hof</t>
  </si>
  <si>
    <t>Darmtumorzentrum Winterthur</t>
  </si>
  <si>
    <t>Kantonsspital Winterthur</t>
  </si>
  <si>
    <t>Darmkrebszentrum am Klinikum St. Georg Leipzig</t>
  </si>
  <si>
    <t>Klinikum St. Georg Leipzig</t>
  </si>
  <si>
    <t>≥ 5%</t>
  </si>
  <si>
    <t>Patienten, die stationär oder ambulant psychoonkologisch betreut wurden (Gesprächsdauer ≥ 25 Min.)</t>
  </si>
  <si>
    <t>Patienten, die stationär oder ambulant durch den Sozialdienst beraten wurden</t>
  </si>
  <si>
    <t>Möglichst häufig Erfassung der Familienanamnese</t>
  </si>
  <si>
    <t>Möglichst häufig Beratung bei pos. Familienanamnese</t>
  </si>
  <si>
    <t>Immunhistochemische Bestimmung der MMR-Proteine</t>
  </si>
  <si>
    <t>Angabe Abstand mesorektale Faszie bei RK im unteren und mittleren Drittel</t>
  </si>
  <si>
    <t>Postoperativ verstorbene Patienten nach elektiven Eingriffen innerhalb von 30d</t>
  </si>
  <si>
    <r>
      <t xml:space="preserve">Begründung/Ursache
</t>
    </r>
    <r>
      <rPr>
        <sz val="8"/>
        <color indexed="8"/>
        <rFont val="Arial"/>
        <family val="2"/>
      </rPr>
      <t>(min. 30 Zeichen / max. 500 Zeichen)</t>
    </r>
  </si>
  <si>
    <t>Darmkrebszentrum Franziskus-Hospital Harderberg</t>
  </si>
  <si>
    <t>Niels-Stensen-Kliniken, Franziskus-Hospital Harderberg</t>
  </si>
  <si>
    <t>Darmkrebszentrum Triemli</t>
  </si>
  <si>
    <t>Möglichst niedrige Rate an Anastomoseninsuff. nach elektiven Eingriffen am Kolon</t>
  </si>
  <si>
    <t>Möglichst niedrige Rate an Anastomoseninsuff. nach elektiven Eingriffen am Rektum</t>
  </si>
  <si>
    <t xml:space="preserve">Operative Primärfälle Kolon </t>
  </si>
  <si>
    <t>Revisions-OP's Kolon</t>
  </si>
  <si>
    <t xml:space="preserve">Revisions-OP's Rektum </t>
  </si>
  <si>
    <t xml:space="preserve">Nachsorgejahr "relevant" (Spalte A) =&gt; Sämtliche „hellgrau“ hinterlegten Felder sollten vollständig bearbeitet werden; dies gilt auch für Nullwerte (=0).         </t>
  </si>
  <si>
    <t>UCC-TDS (Tumorzentrum Dresden)</t>
  </si>
  <si>
    <t>Darmzentrum der Kliniken Maria Hilf GmbH Mönchengladbach</t>
  </si>
  <si>
    <t>Kliniken Maria Hilf GmbH</t>
  </si>
  <si>
    <t>Ammerland-Klinik Westerstede</t>
  </si>
  <si>
    <t>Ev. Diakonissenkrankenhaus Leipzig</t>
  </si>
  <si>
    <t>Diakonissen-Stiftungs-Krankenhaus Speyer</t>
  </si>
  <si>
    <t>RoMed Klinikum Rosenheim</t>
  </si>
  <si>
    <t>Schwarzwald-Baar Klinikum Villingen-Schwenningen</t>
  </si>
  <si>
    <t>Leipziger Darmzentrum am HELIOS Park-Klinikum</t>
  </si>
  <si>
    <t>Darmkrebszentrum des Universitätsklinikums Würzburg</t>
  </si>
  <si>
    <t>SRH Zentralklinikum</t>
  </si>
  <si>
    <t>Darmzentrum Klinikum Hanau</t>
  </si>
  <si>
    <t>Klinikum Hanau</t>
  </si>
  <si>
    <t>Johanniter GmbH - Johanniter Krankenhaus Bonn</t>
  </si>
  <si>
    <t>Klinikum Ingolstadt</t>
  </si>
  <si>
    <t>Heinrich-Braun-Klinikum, Standort Zwickau</t>
  </si>
  <si>
    <t>Darmkrebszentrum HELIOS Klinikum Pforzheim</t>
  </si>
  <si>
    <t>HELIOS Klinikum Pforzheim</t>
  </si>
  <si>
    <t>Darmkrebszentrum der Universitätsmedizin Rostock</t>
  </si>
  <si>
    <t>SRH Wald-Klinikum Gera</t>
  </si>
  <si>
    <t>DarmkrebsZentrum am Marien Hospital Düsseldorf</t>
  </si>
  <si>
    <t>Marien Hospital Düsseldorf</t>
  </si>
  <si>
    <t>Gesundheit Nord, Standort Klinikum Bremen-Mitte</t>
  </si>
  <si>
    <t>Darmkrebszentrum am Kantonsspital Aarau</t>
  </si>
  <si>
    <t>Kantonsspital Aarau</t>
  </si>
  <si>
    <t>Darmkrebszentrum Ruit</t>
  </si>
  <si>
    <t>Darmkrebszentrum Klinikum Friedrichshafen</t>
  </si>
  <si>
    <t>Klinikum Friedrichshafen</t>
  </si>
  <si>
    <t>Darmkrebszentrum Kemperhof Koblenz</t>
  </si>
  <si>
    <t xml:space="preserve">Darmkrebszentrum der Universitätsmedizin Mainz </t>
  </si>
  <si>
    <t>Universitätsmedizin Mainz</t>
  </si>
  <si>
    <t>&gt;10%</t>
  </si>
  <si>
    <t>Beginn der adjuvanten systemischen Therapie</t>
  </si>
  <si>
    <t>Möglichst häufig Beginn der adjuvanten systemischen Therapie innerhalb der vorgegebenen Zeit</t>
  </si>
  <si>
    <t>Transanale Vollwand-exzision (TVE)</t>
  </si>
  <si>
    <r>
      <t xml:space="preserve">Operative </t>
    </r>
    <r>
      <rPr>
        <sz val="8"/>
        <color indexed="8"/>
        <rFont val="Arial"/>
        <family val="2"/>
      </rPr>
      <t xml:space="preserve">und endoskopische Primärfälle </t>
    </r>
  </si>
  <si>
    <t>Y26</t>
  </si>
  <si>
    <t>Z26</t>
  </si>
  <si>
    <t>Deutschland</t>
  </si>
  <si>
    <t>Marien Darmkrebszentrum Siegen</t>
  </si>
  <si>
    <t>Darmzentrum Worms</t>
  </si>
  <si>
    <t>Klinikum Worms</t>
  </si>
  <si>
    <t>Krankenhaus St. Elisabeth und St. Barbara Halle (Saale) GmbH</t>
  </si>
  <si>
    <t>Caritas-Krankenhaus Bad Mergentheim</t>
  </si>
  <si>
    <t>Klinikum Magdeburg</t>
  </si>
  <si>
    <t>St. Agnes-Hospital Bocholt Klinikum Westmünsterland</t>
  </si>
  <si>
    <t>Klinikum Mutterhaus der Borromäerinnen</t>
  </si>
  <si>
    <t>Darmzentrum am AGAPLESION Elisabethenstift Darmstadt</t>
  </si>
  <si>
    <t>AGAPLESION ELISABETHENSTIFT</t>
  </si>
  <si>
    <t>Klinikum Dortmund</t>
  </si>
  <si>
    <t>St. Franziskus-Hospital Münster</t>
  </si>
  <si>
    <t>Darmkrebszentrum Kaufbeuren</t>
  </si>
  <si>
    <t>Marien Hospital Witten</t>
  </si>
  <si>
    <t>Klinikum der Stadt Ludwigshafen am Rhein gGmbH</t>
  </si>
  <si>
    <t>Darmkrebszentrum Kaiserslautern am Westpfalz-Klinikum</t>
  </si>
  <si>
    <t>Darmzentrum Berlin I Westend</t>
  </si>
  <si>
    <t>Kliniken Nordoberpfalz, Standort Klinikum Weiden</t>
  </si>
  <si>
    <t>Darmkrebszentrum Diakovere Henriettenstift Hannover</t>
  </si>
  <si>
    <t>Diakovere Henriettenstift</t>
  </si>
  <si>
    <t>Klinikum Bayreuth</t>
  </si>
  <si>
    <t>Darmkrebszentrum am Krankenhaus St. Joseph-Stift Dresden</t>
  </si>
  <si>
    <t>Krankenhaus St. Joseph-Stift Dresden</t>
  </si>
  <si>
    <t xml:space="preserve">Gemeinschaftsklinikum Mittelrhein, Kemperhof </t>
  </si>
  <si>
    <t>Universitätsmedizin Göttingen</t>
  </si>
  <si>
    <t>Darmkrebszentrum St. Claraspital Basel</t>
  </si>
  <si>
    <t>St. Claraspital Basel</t>
  </si>
  <si>
    <t>Darmkrebszentrum am HEH Braunschweig</t>
  </si>
  <si>
    <t>Herzogin-Elisabeth-Hospital Braunschweig</t>
  </si>
  <si>
    <t>Darmkrebszentrum Winnenden</t>
  </si>
  <si>
    <t>Rems-Murr-Klinikum Winnenden</t>
  </si>
  <si>
    <t>Darmkrebszentrum Klinikum Wolfsburg</t>
  </si>
  <si>
    <t>Klinikum Wolfsburg</t>
  </si>
  <si>
    <t>CaritasKlinikum Saarbrücken St. Theresia</t>
  </si>
  <si>
    <t>Darmkrebszentrum Medizinische Hochschule Hannover</t>
  </si>
  <si>
    <t>Medizinische Hochschule Hannover</t>
  </si>
  <si>
    <t>Darmkrebszentrum am Dietrich-Bonhoeffer-Klinikum Neubrandenburg</t>
  </si>
  <si>
    <t>Dietrich-Bonhoeffer-Klinikum Neubrandenburg</t>
  </si>
  <si>
    <t>Darmkrebszentrum am HELIOS Klinikum Krefeld</t>
  </si>
  <si>
    <t>HELIOS Klinikum Krefeld</t>
  </si>
  <si>
    <t>Operative Primärfälle Rektum 
(inkl. TVE)</t>
  </si>
  <si>
    <t>Patienten mit RK, bei denen in einer elektiven Tumorresektion eine Anastomose angelegt wurde (ohne TVE)</t>
  </si>
  <si>
    <t>Elektiv operierte Patienten (ohne TVE)</t>
  </si>
  <si>
    <t>Siehe Sollvorgabe</t>
  </si>
  <si>
    <r>
      <t xml:space="preserve">UICC I  </t>
    </r>
    <r>
      <rPr>
        <vertAlign val="superscript"/>
        <sz val="8"/>
        <rFont val="Arial"/>
        <family val="2"/>
      </rPr>
      <t>1)</t>
    </r>
    <r>
      <rPr>
        <sz val="8"/>
        <rFont val="Arial"/>
        <family val="2"/>
      </rPr>
      <t xml:space="preserve"> </t>
    </r>
  </si>
  <si>
    <r>
      <t xml:space="preserve">UICC II  </t>
    </r>
    <r>
      <rPr>
        <vertAlign val="superscript"/>
        <sz val="8"/>
        <rFont val="Arial"/>
        <family val="2"/>
      </rPr>
      <t>1)</t>
    </r>
  </si>
  <si>
    <r>
      <t xml:space="preserve">UICC III  </t>
    </r>
    <r>
      <rPr>
        <vertAlign val="superscript"/>
        <sz val="8"/>
        <rFont val="Arial"/>
        <family val="2"/>
      </rPr>
      <t>1)</t>
    </r>
  </si>
  <si>
    <r>
      <t xml:space="preserve">UICC IV  </t>
    </r>
    <r>
      <rPr>
        <vertAlign val="superscript"/>
        <sz val="8"/>
        <rFont val="Arial"/>
        <family val="2"/>
      </rPr>
      <t>1)</t>
    </r>
  </si>
  <si>
    <r>
      <t xml:space="preserve">Follow-Up-Daten vom Krebsregister </t>
    </r>
    <r>
      <rPr>
        <vertAlign val="superscript"/>
        <sz val="8"/>
        <rFont val="Arial"/>
        <family val="2"/>
      </rPr>
      <t>3) 4) 5) 6)</t>
    </r>
  </si>
  <si>
    <r>
      <t xml:space="preserve">Follow-Up-Daten vom Zentrum  
(bzw. Quelle nicht bekannt) </t>
    </r>
    <r>
      <rPr>
        <vertAlign val="superscript"/>
        <sz val="8"/>
        <rFont val="Arial"/>
        <family val="2"/>
      </rPr>
      <t>3) 4)</t>
    </r>
  </si>
  <si>
    <r>
      <t xml:space="preserve">Keine Rückmeldung </t>
    </r>
    <r>
      <rPr>
        <vertAlign val="superscript"/>
        <sz val="8"/>
        <rFont val="Arial"/>
        <family val="2"/>
      </rPr>
      <t>3)</t>
    </r>
  </si>
  <si>
    <r>
      <t>1)</t>
    </r>
    <r>
      <rPr>
        <sz val="8"/>
        <rFont val="Arial"/>
        <family val="2"/>
      </rPr>
      <t xml:space="preserve"> Stratifizierung nach Tumorstatus (pathologisch); nach neoadjuvanter Vorbehandlung Berechnung des UICC-Stadiums mit dem klinischen Tumorstatus.</t>
    </r>
  </si>
  <si>
    <r>
      <t xml:space="preserve">5)  </t>
    </r>
    <r>
      <rPr>
        <sz val="8"/>
        <rFont val="Arial"/>
        <family val="2"/>
      </rPr>
      <t>In der Regel werden die Follow-Up-Daten entweder extern (Krebsregister) oder durch das Zentrum eingeholt. Eine Kombination ist jedoch möglich (keine doppelte Zuordnung!).</t>
    </r>
  </si>
  <si>
    <t>Darmkrebszentrum am Alfried Krupp Krankenhaus Rüttenscheid</t>
  </si>
  <si>
    <t xml:space="preserve">AGAPLESION DIAKONIEKLINIKUM HAMBURG </t>
  </si>
  <si>
    <t>Johanniter GmbH Ev. Krankenhaus Bethesda Mönchengladbach</t>
  </si>
  <si>
    <t>Leopoldina Krankenhaus der Stadt Schweinfurt</t>
  </si>
  <si>
    <t>Darmzentrum am DONAUISAR Klinikum Deggendorf</t>
  </si>
  <si>
    <t>HELIOS Darmkrebszentrum Gifhorn</t>
  </si>
  <si>
    <t>HELIOS Klinikum Gifhorn</t>
  </si>
  <si>
    <t>Evangelisches Krankenhaus Mülheim an der Ruhr</t>
  </si>
  <si>
    <t>Klinikum Esslingen</t>
  </si>
  <si>
    <t>medius KLINIK NÜRTINGEN</t>
  </si>
  <si>
    <t>Klinikum Kassel</t>
  </si>
  <si>
    <t xml:space="preserve">Evangelisches Krankenhaus Kalk </t>
  </si>
  <si>
    <t>Städtisches Klinikum Lüneburg</t>
  </si>
  <si>
    <t>darmzentrum west-brandenburg</t>
  </si>
  <si>
    <t>AGAPLESION BETHANIEN KRANKENHAUS</t>
  </si>
  <si>
    <t>Darmkrebszentrum St. Marienhospital Vechta</t>
  </si>
  <si>
    <t>St. Marienhospital Vechta</t>
  </si>
  <si>
    <t>Hufeland Darmkrebszentrum Mühlhausen</t>
  </si>
  <si>
    <t>Hufeland Klinikum GmbH Standort Mühlhausen</t>
  </si>
  <si>
    <t>KRH Klinikum Siloah</t>
  </si>
  <si>
    <t>Städtisches Klinikum Dresden, Standort Friedrichstadt</t>
  </si>
  <si>
    <t>Evangelisches Krankenhaus BETHESDA zu Duisburg</t>
  </si>
  <si>
    <t>Franziskus Hospital Bielefeld</t>
  </si>
  <si>
    <t>Darmtumorzentrum am Cancer Center UniversitätsSpital Zürich</t>
  </si>
  <si>
    <t>medius KLINIK OSTFILDERN-RUIT</t>
  </si>
  <si>
    <t>Darmkrebszentrum am CaritasKlinikum Saarbrücken St. Theresia</t>
  </si>
  <si>
    <t xml:space="preserve">Klinikum Bad Salzungen </t>
  </si>
  <si>
    <t>Darmkrebszentrum am Universitätsklinikum Leipzig</t>
  </si>
  <si>
    <t>Universitätsklinikum Leipzig AöR</t>
  </si>
  <si>
    <t>Darmkrebszentrum am St. Josefs-Hospital Wiesbaden</t>
  </si>
  <si>
    <t>St. Josefs-Hospital Wiesbaden</t>
  </si>
  <si>
    <t>Elisabeth-Krankenhaus Rheydt</t>
  </si>
  <si>
    <t>Darmkrebszentrum Agatharied</t>
  </si>
  <si>
    <t>Darmkrebszentrum Baselland KSBL Liestal</t>
  </si>
  <si>
    <t>Kantonsspital Baselland - Liestal</t>
  </si>
  <si>
    <t>Subgruppe</t>
  </si>
  <si>
    <t>Frauen</t>
  </si>
  <si>
    <t>Männer</t>
  </si>
  <si>
    <t xml:space="preserve">Patienten mit KK, bei denen in einer elektiven Tumorresektion eine Anastomose angelegt wurde  </t>
  </si>
  <si>
    <t>Alter</t>
  </si>
  <si>
    <t>50-69</t>
  </si>
  <si>
    <t>≥ 70</t>
  </si>
  <si>
    <t>Tumor-stadium 
nach UICC</t>
  </si>
  <si>
    <t>II</t>
  </si>
  <si>
    <t>III</t>
  </si>
  <si>
    <t>IV</t>
  </si>
  <si>
    <t>Krebs-
vorer-
krankung</t>
  </si>
  <si>
    <t>ja</t>
  </si>
  <si>
    <t>nein</t>
  </si>
  <si>
    <t>unbekannt</t>
  </si>
  <si>
    <t>Patienten mit Anastomoseninsuffizienz Grad B (mit Antibiotikagabe o. interventioneller Drainage o. transanaler Lavage / Drainage) oder C ((Re-) Laparotomie</t>
  </si>
  <si>
    <t xml:space="preserve">Mortalität postoperativ </t>
  </si>
  <si>
    <t>(4)</t>
  </si>
  <si>
    <t xml:space="preserve">Psychoonkologische Betreuung </t>
  </si>
  <si>
    <t>Primärfälle Gesamt</t>
  </si>
  <si>
    <t>Im Gegensatz zur Kennzahl im Kennzahlenbogen werden nur Primärfälle betrachtet</t>
  </si>
  <si>
    <t>(5)</t>
  </si>
  <si>
    <t xml:space="preserve">Beratung Sozialdienst </t>
  </si>
  <si>
    <r>
      <t xml:space="preserve">Primärfälle Darmkrebs
</t>
    </r>
    <r>
      <rPr>
        <sz val="8"/>
        <color theme="1"/>
        <rFont val="Arial"/>
        <family val="2"/>
      </rPr>
      <t>Def. gemäß EB</t>
    </r>
  </si>
  <si>
    <t>Anastomosen-insuffizienzen Kolon - Gesamt - Frauen</t>
  </si>
  <si>
    <t>Anastomosen-insuffizienzen Kolon - Gesamt - Männer</t>
  </si>
  <si>
    <t>Anastomosen-insuffizienzen Kolon - Alter ≤ 49 - Frauen</t>
  </si>
  <si>
    <t>Anastomosen-insuffizienzen Kolon - Alter 50-69 - Frauen</t>
  </si>
  <si>
    <t>Anastomosen-insuffizienzen Kolon - Alter ≥ 70 - Frauen</t>
  </si>
  <si>
    <t>Anastomosen-insuffizienzen Kolon - Tumorstadium nach UICC I - Frauen</t>
  </si>
  <si>
    <t>Anastomosen-insuffizienzen Kolon - Tumorstadium nach UICC II - Frauen</t>
  </si>
  <si>
    <t>Anastomosen-insuffizienzen Kolon - Tumorstadium nach UICC III - Frauen</t>
  </si>
  <si>
    <t>Anastomosen-insuffizienzen Kolon - Tumorstadium nach UICC IV - Frauen</t>
  </si>
  <si>
    <t>Anastomosen-insuffizienzen Kolon - Krebsvorerkrankung ja - Frauen</t>
  </si>
  <si>
    <t>Anastomosen-insuffizienzen Kolon - Krebsvorerkrankung nein - Frauen</t>
  </si>
  <si>
    <t>Anastomosen-insuffizienzen Kolon - Krebsvorerkrankung unbekannt - Frauen</t>
  </si>
  <si>
    <t>Anastomosen-insuffizienzen Kolon - Primärfälle low risk - Frauen</t>
  </si>
  <si>
    <t>Anastomosen-insuffizienzen Rektum - Gesamt - Frauen</t>
  </si>
  <si>
    <t>Anastomosen-insuffizienzen Rektum - Alter ≤ 49 - Frauen</t>
  </si>
  <si>
    <t>Anastomosen-insuffizienzen Rektum - Alter 50-69 - Frauen</t>
  </si>
  <si>
    <t>Anastomosen-insuffizienzen Rektum - Alter ≥ 70 - Frauen</t>
  </si>
  <si>
    <t>Anastomosen-insuffizienzen Rektum - Tumorstadium nach UICC I - Frauen</t>
  </si>
  <si>
    <t>Anastomosen-insuffizienzen Rektum - Tumorstadium nach UICC II - Frauen</t>
  </si>
  <si>
    <t>Anastomosen-insuffizienzen Rektum - Tumorstadium nach UICC III - Frauen</t>
  </si>
  <si>
    <t>Anastomosen-insuffizienzen Rektum - Tumorstadium nach UICC IV - Frauen</t>
  </si>
  <si>
    <t>Anastomosen-insuffizienzen Rektum - Krebsvorerkrankung ja - Frauen</t>
  </si>
  <si>
    <t>Anastomosen-insuffizienzen Rektum - Krebsvorerkrankung nein - Frauen</t>
  </si>
  <si>
    <t>Anastomosen-insuffizienzen Rektum - Krebsvorerkrankung unbekannt - Frauen</t>
  </si>
  <si>
    <t>Anastomosen-insuffizienzen Rektum - Primärfälle low risk - Frauen</t>
  </si>
  <si>
    <t>Mortalität postoperativ - Gesamt - Frauen</t>
  </si>
  <si>
    <t>Mortalität postoperativ - Alter ≤ 49 - Frauen</t>
  </si>
  <si>
    <t>Mortalität postoperativ - Alter 50-69 - Frauen</t>
  </si>
  <si>
    <t>Mortalität postoperativ - Alter ≥ 70 - Frauen</t>
  </si>
  <si>
    <t>Mortalität postoperativ - Tumorstadium nach UICC I - Frauen</t>
  </si>
  <si>
    <t>Mortalität postoperativ - Tumorstadium nach UICC II - Frauen</t>
  </si>
  <si>
    <t>Mortalität postoperativ - Tumorstadium nach UICC III - Frauen</t>
  </si>
  <si>
    <t>Mortalität postoperativ - Tumorstadium nach UICC IV - Frauen</t>
  </si>
  <si>
    <t>Mortalität postoperativ - Krebsvorerkrankung ja - Frauen</t>
  </si>
  <si>
    <t>Mortalität postoperativ - Krebsvorerkrankung nein - Frauen</t>
  </si>
  <si>
    <t>Mortalität postoperativ - Krebsvorerkrankung unbekannt - Frauen</t>
  </si>
  <si>
    <t>Mortalität postoperativ - Primärfälle low risk - Frauen</t>
  </si>
  <si>
    <t>Psychoonkologische Betreuung - Gesamt - Frauen</t>
  </si>
  <si>
    <t>Psychoonkologische Betreuung - Alter ≤ 49 - Frauen</t>
  </si>
  <si>
    <t>Psychoonkologische Betreuung - Alter 50-69 - Frauen</t>
  </si>
  <si>
    <t>Psychoonkologische Betreuung - Alter ≥ 70 - Frauen</t>
  </si>
  <si>
    <t>Psychoonkologische Betreuung - Tumorstadium nach UICC I - Frauen</t>
  </si>
  <si>
    <t>Psychoonkologische Betreuung - Tumorstadium nach UICC II - Frauen</t>
  </si>
  <si>
    <t>Psychoonkologische Betreuung - Tumorstadium nach UICC III - Frauen</t>
  </si>
  <si>
    <t>Psychoonkologische Betreuung - Tumorstadium nach UICC IV - Frauen</t>
  </si>
  <si>
    <t>Psychoonkologische Betreuung - Krebsvorerkrankung ja - Frauen</t>
  </si>
  <si>
    <t>Psychoonkologische Betreuung - Krebsvorerkrankung nein - Frauen</t>
  </si>
  <si>
    <t>Psychoonkologische Betreuung - Krebsvorerkrankung unbekannt - Frauen</t>
  </si>
  <si>
    <t>Psychoonkologische Betreuung - Primärfälle low risk - Frauen</t>
  </si>
  <si>
    <t>Beratung Sozialdienst - Gesamt - Frauen</t>
  </si>
  <si>
    <t>Beratung Sozialdienst - Alter ≤ 49 - Frauen</t>
  </si>
  <si>
    <t>Beratung Sozialdienst - Alter 50-69 - Frauen</t>
  </si>
  <si>
    <t>Beratung Sozialdienst - Alter ≥ 70 - Frauen</t>
  </si>
  <si>
    <t>Beratung Sozialdienst - Tumorstadium nach UICC I - Frauen</t>
  </si>
  <si>
    <t>Beratung Sozialdienst - Tumorstadium nach UICC II - Frauen</t>
  </si>
  <si>
    <t>Beratung Sozialdienst - Tumorstadium nach UICC III - Frauen</t>
  </si>
  <si>
    <t>Beratung Sozialdienst - Tumorstadium nach UICC IV - Frauen</t>
  </si>
  <si>
    <t>Beratung Sozialdienst - Krebsvorerkrankung ja - Frauen</t>
  </si>
  <si>
    <t>Beratung Sozialdienst - Krebsvorerkrankung nein - Frauen</t>
  </si>
  <si>
    <t>Beratung Sozialdienst - Krebsvorerkrankung unbekannt - Frauen</t>
  </si>
  <si>
    <t>Beratung Sozialdienst - Primärfälle low risk - Frauen</t>
  </si>
  <si>
    <t>Anastomosen-insuffizienzen Kolon - Alter ≤ 49 - Männer</t>
  </si>
  <si>
    <t>Anastomosen-insuffizienzen Kolon - Alter 50-69 - Männer</t>
  </si>
  <si>
    <t>Anastomosen-insuffizienzen Kolon - Alter ≥ 70 - Männer</t>
  </si>
  <si>
    <t>Anastomosen-insuffizienzen Kolon - Tumorstadium nach UICC I - Männer</t>
  </si>
  <si>
    <t>Anastomosen-insuffizienzen Kolon - Tumorstadium nach UICC II - Männer</t>
  </si>
  <si>
    <t>Anastomosen-insuffizienzen Kolon - Tumorstadium nach UICC III - Männer</t>
  </si>
  <si>
    <t>Anastomosen-insuffizienzen Kolon - Tumorstadium nach UICC IV - Männer</t>
  </si>
  <si>
    <t>Anastomosen-insuffizienzen Kolon - Krebsvorerkrankung ja - Männer</t>
  </si>
  <si>
    <t>Anastomosen-insuffizienzen Kolon - Krebsvorerkrankung nein - Männer</t>
  </si>
  <si>
    <t>Anastomosen-insuffizienzen Kolon - Krebsvorerkrankung unbekannt - Männer</t>
  </si>
  <si>
    <t>Anastomosen-insuffizienzen Kolon - Primärfälle low risk - Männer</t>
  </si>
  <si>
    <t>Anastomosen-insuffizienzen Rektum - Gesamt - Männer</t>
  </si>
  <si>
    <t>Anastomosen-insuffizienzen Rektum - Alter ≤ 49 - Männer</t>
  </si>
  <si>
    <t>Anastomosen-insuffizienzen Rektum - Alter 50-69 - Männer</t>
  </si>
  <si>
    <t>Anastomosen-insuffizienzen Rektum - Alter ≥ 70 - Männer</t>
  </si>
  <si>
    <t>Anastomosen-insuffizienzen Rektum - Tumorstadium nach UICC I - Männer</t>
  </si>
  <si>
    <t>Anastomosen-insuffizienzen Rektum - Tumorstadium nach UICC II - Männer</t>
  </si>
  <si>
    <t>Anastomosen-insuffizienzen Rektum - Tumorstadium nach UICC III - Männer</t>
  </si>
  <si>
    <t>Anastomosen-insuffizienzen Rektum - Tumorstadium nach UICC IV - Männer</t>
  </si>
  <si>
    <t>Anastomosen-insuffizienzen Rektum - Krebsvorerkrankung ja - Männer</t>
  </si>
  <si>
    <t>Anastomosen-insuffizienzen Rektum - Krebsvorerkrankung nein - Männer</t>
  </si>
  <si>
    <t>Anastomosen-insuffizienzen Rektum - Krebsvorerkrankung unbekannt - Männer</t>
  </si>
  <si>
    <t>Anastomosen-insuffizienzen Rektum - Primärfälle low risk - Männer</t>
  </si>
  <si>
    <t>Mortalität postoperativ - Gesamt - Männer</t>
  </si>
  <si>
    <t>Mortalität postoperativ - Alter ≤ 49 - Männer</t>
  </si>
  <si>
    <t>Mortalität postoperativ - Alter 50-69 - Männer</t>
  </si>
  <si>
    <t>Mortalität postoperativ - Alter ≥ 70 - Männer</t>
  </si>
  <si>
    <t>Mortalität postoperativ - Tumorstadium nach UICC I - Männer</t>
  </si>
  <si>
    <t>Mortalität postoperativ - Tumorstadium nach UICC II - Männer</t>
  </si>
  <si>
    <t>Mortalität postoperativ - Tumorstadium nach UICC III - Männer</t>
  </si>
  <si>
    <t>Mortalität postoperativ - Tumorstadium nach UICC IV - Männer</t>
  </si>
  <si>
    <t>Mortalität postoperativ - Krebsvorerkrankung ja - Männer</t>
  </si>
  <si>
    <t>Mortalität postoperativ - Krebsvorerkrankung nein - Männer</t>
  </si>
  <si>
    <t>Mortalität postoperativ - Krebsvorerkrankung unbekannt - Männer</t>
  </si>
  <si>
    <t>Mortalität postoperativ - Primärfälle low risk - Männer</t>
  </si>
  <si>
    <t>Psychoonkologische Betreuung - Gesamt - Männer</t>
  </si>
  <si>
    <t>Psychoonkologische Betreuung - Alter ≤ 49 - Männer</t>
  </si>
  <si>
    <t>Psychoonkologische Betreuung - Alter 50-69 - Männer</t>
  </si>
  <si>
    <t>Psychoonkologische Betreuung - Primärfälle low risk - Männer</t>
  </si>
  <si>
    <t>Psychoonkologische Betreuung - Alter ≥ 70 - Männer</t>
  </si>
  <si>
    <t>Psychoonkologische Betreuung - Tumorstadium nach UICC I - Männer</t>
  </si>
  <si>
    <t>Psychoonkologische Betreuung - Tumorstadium nach UICC II - Männer</t>
  </si>
  <si>
    <t>Psychoonkologische Betreuung - Tumorstadium nach UICC III - Männer</t>
  </si>
  <si>
    <t>Psychoonkologische Betreuung - Tumorstadium nach UICC IV - Männer</t>
  </si>
  <si>
    <t>Psychoonkologische Betreuung - Krebsvorerkrankung ja - Männer</t>
  </si>
  <si>
    <t>Psychoonkologische Betreuung - Krebsvorerkrankung nein - Männer</t>
  </si>
  <si>
    <t>Psychoonkologische Betreuung - Krebsvorerkrankung unbekannt - Männer</t>
  </si>
  <si>
    <t>Beratung Sozialdienst - Gesamt - Männer</t>
  </si>
  <si>
    <t>Beratung Sozialdienst - Alter ≤ 49 - Männer</t>
  </si>
  <si>
    <t>Beratung Sozialdienst - Alter 50-69 - Männer</t>
  </si>
  <si>
    <t>Beratung Sozialdienst - Alter ≥ 70 - Männer</t>
  </si>
  <si>
    <t>Beratung Sozialdienst - Tumorstadium nach UICC I - Männer</t>
  </si>
  <si>
    <t>Beratung Sozialdienst - Tumorstadium nach UICC II - Männer</t>
  </si>
  <si>
    <t>Beratung Sozialdienst - Tumorstadium nach UICC III - Männer</t>
  </si>
  <si>
    <t>Beratung Sozialdienst - Tumorstadium nach UICC IV - Männer</t>
  </si>
  <si>
    <t>Beratung Sozialdienst - Krebsvorerkrankung ja - Männer</t>
  </si>
  <si>
    <t>Beratung Sozialdienst - Krebsvorerkrankung nein - Männer</t>
  </si>
  <si>
    <t>Beratung Sozialdienst - Krebsvorerkrankung unbekannt - Männer</t>
  </si>
  <si>
    <t>Beratung Sozialdienst - Primärfälle low risk - Männer</t>
  </si>
  <si>
    <t>19.1F</t>
  </si>
  <si>
    <t>19.2F</t>
  </si>
  <si>
    <t>19.3F</t>
  </si>
  <si>
    <t>19.4F</t>
  </si>
  <si>
    <t>19.5F</t>
  </si>
  <si>
    <t>19.6F</t>
  </si>
  <si>
    <t>19.7F</t>
  </si>
  <si>
    <t>19.8F</t>
  </si>
  <si>
    <t>19.9F</t>
  </si>
  <si>
    <t>19.10F</t>
  </si>
  <si>
    <t>19.11F</t>
  </si>
  <si>
    <t>19.12F</t>
  </si>
  <si>
    <t>20.1F</t>
  </si>
  <si>
    <t>20.2F</t>
  </si>
  <si>
    <t>20.3F</t>
  </si>
  <si>
    <t>20.4F</t>
  </si>
  <si>
    <t>20.5F</t>
  </si>
  <si>
    <t>20.6F</t>
  </si>
  <si>
    <t>20.7F</t>
  </si>
  <si>
    <t>20.8F</t>
  </si>
  <si>
    <t>20.9F</t>
  </si>
  <si>
    <t>20.10F</t>
  </si>
  <si>
    <t>20.11F</t>
  </si>
  <si>
    <t>20.12F</t>
  </si>
  <si>
    <t>4.1F</t>
  </si>
  <si>
    <t>4.2F</t>
  </si>
  <si>
    <t>4.3F</t>
  </si>
  <si>
    <t>4.4F</t>
  </si>
  <si>
    <t>4.5F</t>
  </si>
  <si>
    <t>4.6F</t>
  </si>
  <si>
    <t>4.7F</t>
  </si>
  <si>
    <t>4.8F</t>
  </si>
  <si>
    <t>4.9F</t>
  </si>
  <si>
    <t>4.10F</t>
  </si>
  <si>
    <t>4.11F</t>
  </si>
  <si>
    <t>4.12F</t>
  </si>
  <si>
    <t>5.1F</t>
  </si>
  <si>
    <t>5.2F</t>
  </si>
  <si>
    <t>5.3F</t>
  </si>
  <si>
    <t>5.4F</t>
  </si>
  <si>
    <t>5.6F</t>
  </si>
  <si>
    <t>5.5F</t>
  </si>
  <si>
    <t>5.7F</t>
  </si>
  <si>
    <t>5.8F</t>
  </si>
  <si>
    <t>5.9F</t>
  </si>
  <si>
    <t>5.10F</t>
  </si>
  <si>
    <t>5.11F</t>
  </si>
  <si>
    <t>5.12F</t>
  </si>
  <si>
    <t>19.1M</t>
  </si>
  <si>
    <t>19.2M</t>
  </si>
  <si>
    <t>19.3M</t>
  </si>
  <si>
    <t>19.4M</t>
  </si>
  <si>
    <t>19.5M</t>
  </si>
  <si>
    <t>19.6M</t>
  </si>
  <si>
    <t>19.7M</t>
  </si>
  <si>
    <t>19.8M</t>
  </si>
  <si>
    <t>19.9M</t>
  </si>
  <si>
    <t>19.10M</t>
  </si>
  <si>
    <t>19.11M</t>
  </si>
  <si>
    <t>19.12M</t>
  </si>
  <si>
    <t>20.1M</t>
  </si>
  <si>
    <t>20.2M</t>
  </si>
  <si>
    <t>20.3M</t>
  </si>
  <si>
    <t>20.4M</t>
  </si>
  <si>
    <t>20.5M</t>
  </si>
  <si>
    <t>20.6M</t>
  </si>
  <si>
    <t>20.7M</t>
  </si>
  <si>
    <t>20.8M</t>
  </si>
  <si>
    <t>20.9M</t>
  </si>
  <si>
    <t>20.10M</t>
  </si>
  <si>
    <t>20.11M</t>
  </si>
  <si>
    <t>20.12M</t>
  </si>
  <si>
    <t>4.1M</t>
  </si>
  <si>
    <t>4.2M</t>
  </si>
  <si>
    <t>4.3M</t>
  </si>
  <si>
    <t>4.4M</t>
  </si>
  <si>
    <t>4.5M</t>
  </si>
  <si>
    <t>4.6M</t>
  </si>
  <si>
    <t>4.7M</t>
  </si>
  <si>
    <t>4.8M</t>
  </si>
  <si>
    <t>4.9M</t>
  </si>
  <si>
    <t>4.10M</t>
  </si>
  <si>
    <t>4.11M</t>
  </si>
  <si>
    <t>4.12M</t>
  </si>
  <si>
    <t>5.1M</t>
  </si>
  <si>
    <t>5.2M</t>
  </si>
  <si>
    <t>5.3M</t>
  </si>
  <si>
    <t>5.4M</t>
  </si>
  <si>
    <t>5.5M</t>
  </si>
  <si>
    <t>5.6M</t>
  </si>
  <si>
    <t>5.7M</t>
  </si>
  <si>
    <t>5.8M</t>
  </si>
  <si>
    <t>5.9M</t>
  </si>
  <si>
    <t>5.10M</t>
  </si>
  <si>
    <t>5.11M</t>
  </si>
  <si>
    <t>5.12M</t>
  </si>
  <si>
    <t>≤ 49</t>
  </si>
  <si>
    <t>Anastomosen-insuffizienzen Kolon - Gesamt - Frauen und Männer</t>
  </si>
  <si>
    <t>19.1G</t>
  </si>
  <si>
    <t>19.2G</t>
  </si>
  <si>
    <t>19.3G</t>
  </si>
  <si>
    <t>19.4G</t>
  </si>
  <si>
    <t>19.5G</t>
  </si>
  <si>
    <t>19.6G</t>
  </si>
  <si>
    <t>19.7G</t>
  </si>
  <si>
    <t>19.8G</t>
  </si>
  <si>
    <t>19.9G</t>
  </si>
  <si>
    <t>19.10G</t>
  </si>
  <si>
    <t>19.11G</t>
  </si>
  <si>
    <t>19.12G</t>
  </si>
  <si>
    <t>20.1G</t>
  </si>
  <si>
    <t>20.2G</t>
  </si>
  <si>
    <t>20.3G</t>
  </si>
  <si>
    <t>20.4G</t>
  </si>
  <si>
    <t>20.5G</t>
  </si>
  <si>
    <t>20.6G</t>
  </si>
  <si>
    <t>20.7G</t>
  </si>
  <si>
    <t>20.8G</t>
  </si>
  <si>
    <t>20.9G</t>
  </si>
  <si>
    <t>20.10G</t>
  </si>
  <si>
    <t>20.11G</t>
  </si>
  <si>
    <t>20.12G</t>
  </si>
  <si>
    <t>4.1G</t>
  </si>
  <si>
    <t>4.2G</t>
  </si>
  <si>
    <t>4.3G</t>
  </si>
  <si>
    <t>4.4G</t>
  </si>
  <si>
    <t>4.5G</t>
  </si>
  <si>
    <t>4.6G</t>
  </si>
  <si>
    <t>4.7G</t>
  </si>
  <si>
    <t>4.8G</t>
  </si>
  <si>
    <t>4.9G</t>
  </si>
  <si>
    <t>4.10G</t>
  </si>
  <si>
    <t>4.11G</t>
  </si>
  <si>
    <t>4.12G</t>
  </si>
  <si>
    <t>5.1G</t>
  </si>
  <si>
    <t>5.2G</t>
  </si>
  <si>
    <t>5.3G</t>
  </si>
  <si>
    <t>5.4G</t>
  </si>
  <si>
    <t>5.5G</t>
  </si>
  <si>
    <t>5.6G</t>
  </si>
  <si>
    <t>5.7G</t>
  </si>
  <si>
    <t>5.8G</t>
  </si>
  <si>
    <t>5.9G</t>
  </si>
  <si>
    <t>5.10G</t>
  </si>
  <si>
    <t>5.11G</t>
  </si>
  <si>
    <t>5.12G</t>
  </si>
  <si>
    <t>Anastomosen-insuffizienzen Kolon - Alter ≤ 49 - Frauen und Männer</t>
  </si>
  <si>
    <t>Anastomosen-insuffizienzen Kolon - Alter 50-69 - Frauen und Männer</t>
  </si>
  <si>
    <t>Anastomosen-insuffizienzen Kolon - Alter ≥ 70 - Frauen und Männer</t>
  </si>
  <si>
    <t>Anastomosen-insuffizienzen Kolon - Tumorstadium nach UICC I - Frauen und Männer</t>
  </si>
  <si>
    <t>Anastomosen-insuffizienzen Kolon - Tumorstadium nach UICC II - Frauen und Männer</t>
  </si>
  <si>
    <t>Anastomosen-insuffizienzen Kolon - Tumorstadium nach UICC III - Frauen und Männer</t>
  </si>
  <si>
    <t>Anastomosen-insuffizienzen Kolon - Tumorstadium nach UICC IV - Frauen und Männer</t>
  </si>
  <si>
    <t>Anastomosen-insuffizienzen Kolon - Krebsvorerkrankung ja - Frauen und Männer</t>
  </si>
  <si>
    <t>Anastomosen-insuffizienzen Kolon - Krebsvorerkrankung nein - Frauen und Männer</t>
  </si>
  <si>
    <t>Anastomosen-insuffizienzen Kolon - Krebsvorerkrankung unbekannt - Frauen und Männer</t>
  </si>
  <si>
    <t>Anastomosen-insuffizienzen Kolon - Primärfälle low risk - Frauen und Männer</t>
  </si>
  <si>
    <t>Anastomosen-insuffizienzen Rektum - Gesamt - Frauen und Männer</t>
  </si>
  <si>
    <t>Anastomosen-insuffizienzen Rektum - Alter ≤ 49 - Frauen und Männer</t>
  </si>
  <si>
    <t>Anastomosen-insuffizienzen Rektum - Alter 50-69 - Frauen und Männer</t>
  </si>
  <si>
    <t>Anastomosen-insuffizienzen Rektum - Alter ≥ 70 - Frauen und Männer</t>
  </si>
  <si>
    <t>Anastomosen-insuffizienzen Rektum - Tumorstadium nach UICC I - Frauen und Männer</t>
  </si>
  <si>
    <t>Anastomosen-insuffizienzen Rektum - Tumorstadium nach UICC II - Frauen und Männer</t>
  </si>
  <si>
    <t>Anastomosen-insuffizienzen Rektum - Tumorstadium nach UICC III - Frauen und Männer</t>
  </si>
  <si>
    <t>Anastomosen-insuffizienzen Rektum - Tumorstadium nach UICC IV - Frauen und Männer</t>
  </si>
  <si>
    <t>Anastomosen-insuffizienzen Rektum - Krebsvorerkrankung ja - Frauen und Männer</t>
  </si>
  <si>
    <t>Anastomosen-insuffizienzen Rektum - Krebsvorerkrankung nein - Frauen und Männer</t>
  </si>
  <si>
    <t>Anastomosen-insuffizienzen Rektum - Krebsvorerkrankung unbekannt - Frauen und Männer</t>
  </si>
  <si>
    <t>Anastomosen-insuffizienzen Rektum - Primärfälle low risk - Frauen und Männer</t>
  </si>
  <si>
    <t>Mortalität postoperativ - Gesamt - Frauen und Männer</t>
  </si>
  <si>
    <t>Mortalität postoperativ - Alter ≤ 49 - Frauen und Männer</t>
  </si>
  <si>
    <t>Mortalität postoperativ - Alter 50-69 - Frauen und Männer</t>
  </si>
  <si>
    <t>Mortalität postoperativ - Alter ≥ 70 - Frauen und Männer</t>
  </si>
  <si>
    <t>Mortalität postoperativ - Tumorstadium nach UICC I - Frauen und Männer</t>
  </si>
  <si>
    <t>Mortalität postoperativ - Tumorstadium nach UICC II - Frauen und Männer</t>
  </si>
  <si>
    <t>Mortalität postoperativ - Tumorstadium nach UICC III - Frauen und Männer</t>
  </si>
  <si>
    <t>Mortalität postoperativ - Tumorstadium nach UICC IV - Frauen und Männer</t>
  </si>
  <si>
    <t>Mortalität postoperativ - Krebsvorerkrankung ja - Frauen und Männer</t>
  </si>
  <si>
    <t>Mortalität postoperativ - Krebsvorerkrankung nein - Frauen und Männer</t>
  </si>
  <si>
    <t>Mortalität postoperativ - Krebsvorerkrankung unbekannt - Frauen und Männer</t>
  </si>
  <si>
    <t>Mortalität postoperativ - Primärfälle low risk - Frauen und Männer</t>
  </si>
  <si>
    <t>Psychoonkologische Betreuung - Gesamt - Frauen und Männer</t>
  </si>
  <si>
    <t>Psychoonkologische Betreuung - Alter ≤ 49 - Frauen und Männer</t>
  </si>
  <si>
    <t>Psychoonkologische Betreuung - Alter 50-69 - Frauen und Männer</t>
  </si>
  <si>
    <t>Psychoonkologische Betreuung - Alter ≥ 70 - Frauen und Männer</t>
  </si>
  <si>
    <t>Psychoonkologische Betreuung - Tumorstadium nach UICC I - Frauen und Männer</t>
  </si>
  <si>
    <t>Psychoonkologische Betreuung - Tumorstadium nach UICC II - Frauen und Männer</t>
  </si>
  <si>
    <t>Psychoonkologische Betreuung - Tumorstadium nach UICC III - Frauen und Männer</t>
  </si>
  <si>
    <t>Psychoonkologische Betreuung - Tumorstadium nach UICC IV - Frauen und Männer</t>
  </si>
  <si>
    <t>Psychoonkologische Betreuung - Krebsvorerkrankung ja - Frauen und Männer</t>
  </si>
  <si>
    <t>Psychoonkologische Betreuung - Krebsvorerkrankung nein - Frauen und Männer</t>
  </si>
  <si>
    <t>Psychoonkologische Betreuung - Krebsvorerkrankung unbekannt - Frauen und Männer</t>
  </si>
  <si>
    <t>Psychoonkologische Betreuung - Primärfälle low risk - Frauen und Männer</t>
  </si>
  <si>
    <t>Beratung Sozialdienst - Gesamt - Frauen und Männer</t>
  </si>
  <si>
    <t>Beratung Sozialdienst - Alter ≤ 49 - Frauen und Männer</t>
  </si>
  <si>
    <t>Beratung Sozialdienst - Alter 50-69 - Frauen und Männer</t>
  </si>
  <si>
    <t>Beratung Sozialdienst - Alter ≥ 70 - Frauen und Männer</t>
  </si>
  <si>
    <t>Beratung Sozialdienst - Tumorstadium nach UICC I - Frauen und Männer</t>
  </si>
  <si>
    <t>Beratung Sozialdienst - Tumorstadium nach UICC II - Frauen und Männer</t>
  </si>
  <si>
    <t>Beratung Sozialdienst - Tumorstadium nach UICC III - Frauen und Männer</t>
  </si>
  <si>
    <t>Beratung Sozialdienst - Tumorstadium nach UICC IV - Frauen und Männer</t>
  </si>
  <si>
    <t>Beratung Sozialdienst - Krebsvorerkrankung ja - Frauen und Männer</t>
  </si>
  <si>
    <t>Beratung Sozialdienst - Krebsvorerkrankung nein - Frauen und Männer</t>
  </si>
  <si>
    <t>Beratung Sozialdienst - Krebsvorerkrankung unbekannt - Frauen und Männer</t>
  </si>
  <si>
    <t>Beratung Sozialdienst - Primärfälle low risk - Frauen und Männer</t>
  </si>
  <si>
    <t>Primärfälle low risk:
(Alter &lt; 70; UICC I-III; 
Krebsvorerkrankung nein)</t>
  </si>
  <si>
    <t>Primärfälle des Nenners, die in der postoperativen Konferenz vorgestellt wurden</t>
  </si>
  <si>
    <t>Primärfälle des Nenners, denen eine Vorstellung zur genetischen Beratung empfohlen wurde</t>
  </si>
  <si>
    <t>RAS- und BRAF-Bestimmung zu Beginn Erstlinientherapie bei metastasiertem KRK</t>
  </si>
  <si>
    <t xml:space="preserve">Möglichst häufig KRAS- und BRAF-Bestimmung vor Erstlinientherapie </t>
  </si>
  <si>
    <t>&lt; 50%</t>
  </si>
  <si>
    <t xml:space="preserve">Koloskopien des Nenners mit Komplikationen (Blutung, die eine Re-Intervention (Rekoloskopie, Operation) oder eine Transfusion erforderlich macht u./o. Perforation) </t>
  </si>
  <si>
    <t>Operationen des Nenners mit lokalen R0-Resektionen nach Abschluss der operativen Therapie</t>
  </si>
  <si>
    <t>------</t>
  </si>
  <si>
    <t>Kombinationschemotherapie bei metastasiertem KRK mit systemischer Erstlinientherapie</t>
  </si>
  <si>
    <t>Möglichst häufig Kombinationschemotherapie bei metastasiertem KRK mit systemischer Erstlinientherapie</t>
  </si>
  <si>
    <t>≥ 85%</t>
  </si>
  <si>
    <t>Befundbericht nach operativer Resektion bei KRK</t>
  </si>
  <si>
    <t>Möglichst häufig vollständiger Befundbericht nach vollständiger Resektion</t>
  </si>
  <si>
    <t>Lymphknotenuntersuchung</t>
  </si>
  <si>
    <t>10</t>
  </si>
  <si>
    <t>Kennzahlenbogen plus Primärfälle 2016-2018</t>
  </si>
  <si>
    <t>Ausnahme</t>
  </si>
  <si>
    <t>Ausnahme (Plausibilität unklar)</t>
  </si>
  <si>
    <t>optional - Ausnahme (Plausibilität unklar)</t>
  </si>
  <si>
    <t>LL QI 10</t>
  </si>
  <si>
    <t>Primärfälle aus 
2016-2018 gesamt</t>
  </si>
  <si>
    <t>LL QI 9</t>
  </si>
  <si>
    <t>21.1F</t>
  </si>
  <si>
    <t>21.1M</t>
  </si>
  <si>
    <t>21.1G</t>
  </si>
  <si>
    <t>21.2F</t>
  </si>
  <si>
    <t>21.2M</t>
  </si>
  <si>
    <t>21.2G</t>
  </si>
  <si>
    <t>21.3F</t>
  </si>
  <si>
    <t>21.3M</t>
  </si>
  <si>
    <t>21.3G</t>
  </si>
  <si>
    <t>21.4F</t>
  </si>
  <si>
    <t>21.4M</t>
  </si>
  <si>
    <t>21.4G</t>
  </si>
  <si>
    <t>21.5F</t>
  </si>
  <si>
    <t>21.5M</t>
  </si>
  <si>
    <t>21.5G</t>
  </si>
  <si>
    <t>21.6F</t>
  </si>
  <si>
    <t>21.6M</t>
  </si>
  <si>
    <t>21.6G</t>
  </si>
  <si>
    <t>21.7F</t>
  </si>
  <si>
    <t>21.7M</t>
  </si>
  <si>
    <t>21.7G</t>
  </si>
  <si>
    <t>21.8F</t>
  </si>
  <si>
    <t>21.8M</t>
  </si>
  <si>
    <t>21.8G</t>
  </si>
  <si>
    <t>21.9F</t>
  </si>
  <si>
    <t>21.9M</t>
  </si>
  <si>
    <t>21.9G</t>
  </si>
  <si>
    <t>21.10F</t>
  </si>
  <si>
    <t>21.10M</t>
  </si>
  <si>
    <t>21.10G</t>
  </si>
  <si>
    <t>21.11F</t>
  </si>
  <si>
    <t>21.11M</t>
  </si>
  <si>
    <t>21.11G</t>
  </si>
  <si>
    <t>21.12F</t>
  </si>
  <si>
    <t>21.12M</t>
  </si>
  <si>
    <t>21.12G</t>
  </si>
  <si>
    <t>Kliniken des Main-Taunus-Kreises</t>
  </si>
  <si>
    <t>Helios Amper–Klinikum Dachau</t>
  </si>
  <si>
    <t>Klinikum Aschaffenburg - Alzenau gemeinnützige GmbH Standort AB</t>
  </si>
  <si>
    <t>Harzklinikum Dorothea Christiane Erxleben, Standort Quedlinburg</t>
  </si>
  <si>
    <t>Helios Klinikum Berlin-Buch</t>
  </si>
  <si>
    <t>Darmkrebszentrum der Universitätsmedizin Göttingen</t>
  </si>
  <si>
    <t>Darmkrebszentrum Städtische Kliniken Mönchengladbach</t>
  </si>
  <si>
    <t>Darmkrebszentrum Klinik Hirslanden Zürich</t>
  </si>
  <si>
    <t>Klinik Hirslanden Zürich</t>
  </si>
  <si>
    <t>Darmkrebszentrum Asklepios Klinik Lich</t>
  </si>
  <si>
    <t xml:space="preserve">Asklepios Klinik Lich </t>
  </si>
  <si>
    <t>HELIOS Darmkrebszentrum Gotha</t>
  </si>
  <si>
    <t>HELIOS Klinikum Gotha</t>
  </si>
  <si>
    <t>Darmkrebszentrum Saalfeld</t>
  </si>
  <si>
    <t>Thüringen-Kliniken Saalfeld</t>
  </si>
  <si>
    <t>Interdisziplinäres Darmkrebszentrum Vivantes Klinikum Neukölln</t>
  </si>
  <si>
    <t>Vivantes Klinikum Neukölln</t>
  </si>
  <si>
    <t>Summe Plausibilität unklar</t>
  </si>
  <si>
    <r>
      <t xml:space="preserve">Ausgehend von der ADDZ Tagung </t>
    </r>
    <r>
      <rPr>
        <sz val="9"/>
        <color rgb="FFFF0000"/>
        <rFont val="Arial"/>
        <family val="2"/>
      </rPr>
      <t>2017</t>
    </r>
    <r>
      <rPr>
        <sz val="9"/>
        <rFont val="Arial"/>
        <family val="2"/>
      </rPr>
      <t xml:space="preserve"> im Kloster Banz, wurde eine differenzierte Auswertung nach Risikogruppen intensiv diskutiert. Hierbei entstand auch die Fragestellung in wie weit über die OncoBox eine solche Datenerhebung automatisiert erfolgen kann, ohne dass es für die Zentren einen mehrfachen Dokumentationsaufwand bedeutet. Mit den nachfolgenden Daten, welche automatisiert über die OncoBox generiert werden, soll nun eine zentrumsübergreifende Datengrundlage erstellt werden, anhand deren die oben genannte Fragestellung weitergehenden, auf Basis aggregierter Daten, betrachtet werden kann.
Somit wird diesen Daten in dem </t>
    </r>
    <r>
      <rPr>
        <sz val="9"/>
        <color rgb="FFFF0000"/>
        <rFont val="Arial"/>
        <family val="2"/>
      </rPr>
      <t>Auditjahr 2019</t>
    </r>
    <r>
      <rPr>
        <sz val="9"/>
        <rFont val="Arial"/>
        <family val="2"/>
      </rPr>
      <t xml:space="preserve"> keine Bedeutung in dem zentrumsspezifischen Zertifizierungsprozess zugeteilt. Die Erhebung soll wichtige Kentnisse für die weiterentwicklung des Datenmanagments innerhalb des DKG-Zertifierzierungssystems geben.</t>
    </r>
  </si>
  <si>
    <t>ODSeasy / ODSeasyNet</t>
  </si>
  <si>
    <t>Interdisziplinäres Darmkrebszentrum im Charité Comprehensive Cancer Center</t>
  </si>
  <si>
    <t>Interdisziplinäres Darmkrebszentrum Neustadt a.d. Weinstraße</t>
  </si>
  <si>
    <t>Marienhaus Klinikum Hetzelstift</t>
  </si>
  <si>
    <t>Ordensklinikum Linz Barmherzige Schwestern</t>
  </si>
  <si>
    <t>Darmkrebszentrum Helios Kliniken Schwerin</t>
  </si>
  <si>
    <t>Helios Kliniken Schwerin</t>
  </si>
  <si>
    <t>Komplikationsrate therapeutische Koloskopien</t>
  </si>
  <si>
    <t>Elektive Kolon-Operationen</t>
  </si>
  <si>
    <t>Elektive Rektum-Operationen
(ohne TVE)</t>
  </si>
  <si>
    <t xml:space="preserve">Anastomoseninsuffizienzen Kolon </t>
  </si>
  <si>
    <t>Anastomoseninsuffizienzen Rektum</t>
  </si>
  <si>
    <t>Resektion</t>
  </si>
  <si>
    <t>Operativ Elektiv Resektion</t>
  </si>
  <si>
    <t>Operativ Notfall</t>
  </si>
  <si>
    <t>Endoskopisch</t>
  </si>
  <si>
    <t>Nicht operativ palliativ</t>
  </si>
  <si>
    <t>Nicht operativ Watch and Wait</t>
  </si>
  <si>
    <t>Anmerkung:</t>
  </si>
  <si>
    <t>M31</t>
  </si>
  <si>
    <t>M31 &lt; 80%</t>
  </si>
  <si>
    <t>M31 &gt; 99%</t>
  </si>
  <si>
    <t>Y27</t>
  </si>
  <si>
    <t>Z27</t>
  </si>
  <si>
    <t xml:space="preserve">2019, </t>
  </si>
  <si>
    <r>
      <t xml:space="preserve">Operativ </t>
    </r>
    <r>
      <rPr>
        <vertAlign val="superscript"/>
        <sz val="9"/>
        <color theme="1"/>
        <rFont val="Arial"/>
        <family val="2"/>
      </rPr>
      <t>1)</t>
    </r>
  </si>
  <si>
    <r>
      <t xml:space="preserve">Elektiv </t>
    </r>
    <r>
      <rPr>
        <vertAlign val="superscript"/>
        <sz val="9"/>
        <rFont val="Arial"/>
        <family val="2"/>
      </rPr>
      <t>2)</t>
    </r>
  </si>
  <si>
    <r>
      <t xml:space="preserve">Notfall </t>
    </r>
    <r>
      <rPr>
        <vertAlign val="superscript"/>
        <sz val="9"/>
        <rFont val="Arial"/>
        <family val="2"/>
      </rPr>
      <t>2)</t>
    </r>
  </si>
  <si>
    <r>
      <t xml:space="preserve">Endoskopisch </t>
    </r>
    <r>
      <rPr>
        <sz val="8"/>
        <color theme="1"/>
        <rFont val="Arial"/>
        <family val="2"/>
      </rPr>
      <t>(außer TVE)</t>
    </r>
    <r>
      <rPr>
        <sz val="11"/>
        <color theme="1"/>
        <rFont val="Arial"/>
        <family val="2"/>
      </rPr>
      <t xml:space="preserve"> </t>
    </r>
    <r>
      <rPr>
        <vertAlign val="superscript"/>
        <sz val="9"/>
        <color theme="1"/>
        <rFont val="Arial"/>
        <family val="2"/>
      </rPr>
      <t>1)</t>
    </r>
  </si>
  <si>
    <r>
      <t xml:space="preserve">palliativ </t>
    </r>
    <r>
      <rPr>
        <vertAlign val="superscript"/>
        <sz val="9"/>
        <color theme="1"/>
        <rFont val="Arial"/>
        <family val="2"/>
      </rPr>
      <t>1)</t>
    </r>
  </si>
  <si>
    <r>
      <t xml:space="preserve">Watch and Wait </t>
    </r>
    <r>
      <rPr>
        <sz val="8"/>
        <color theme="1"/>
        <rFont val="Arial"/>
        <family val="2"/>
      </rPr>
      <t>(nicht endoskopisch
 kurativ)</t>
    </r>
    <r>
      <rPr>
        <sz val="11"/>
        <color theme="1"/>
        <rFont val="Arial"/>
        <family val="2"/>
      </rPr>
      <t xml:space="preserve"> </t>
    </r>
    <r>
      <rPr>
        <vertAlign val="superscript"/>
        <sz val="9"/>
        <color theme="1"/>
        <rFont val="Arial"/>
        <family val="2"/>
      </rPr>
      <t>1) 4)</t>
    </r>
  </si>
  <si>
    <r>
      <t xml:space="preserve">Kolon </t>
    </r>
    <r>
      <rPr>
        <vertAlign val="superscript"/>
        <sz val="9"/>
        <color theme="1"/>
        <rFont val="Arial"/>
        <family val="2"/>
      </rPr>
      <t>3)</t>
    </r>
  </si>
  <si>
    <r>
      <t xml:space="preserve">Rektum </t>
    </r>
    <r>
      <rPr>
        <vertAlign val="superscript"/>
        <sz val="9"/>
        <color theme="1"/>
        <rFont val="Arial"/>
        <family val="2"/>
      </rPr>
      <t>3)</t>
    </r>
  </si>
  <si>
    <t>SHGHoncoDoc</t>
  </si>
  <si>
    <t>Operativ Elektiv Transanale Vollwand-exzision</t>
  </si>
  <si>
    <t>Darmkrebszentrum Klinikum Nürnberg</t>
  </si>
  <si>
    <t>Darmkrebszentrum Katholisches Krankenhaus Erfurt</t>
  </si>
  <si>
    <t>Helios Klinikum Hildesheim</t>
  </si>
  <si>
    <t>DRK Kliniken Berlin Köpenick</t>
  </si>
  <si>
    <t>Darmzentrum München Klinik Bogenhausen</t>
  </si>
  <si>
    <t>München Klinik Bogenhausen</t>
  </si>
  <si>
    <t>Darmzentrum München Klinik Neuperlach</t>
  </si>
  <si>
    <t>München Klinik Neuperlach Städtisches Klinikum München</t>
  </si>
  <si>
    <t>Darmkrebszentrum Nagold</t>
  </si>
  <si>
    <t>Kreisklinikum Calw-Nagold, Kliniken Nagold</t>
  </si>
  <si>
    <t>Klinikum am Steinenberg, Kreiskliniken Reutlingen</t>
  </si>
  <si>
    <t>Darmkrebszentrum am Universitätsklinikum Regensburg</t>
  </si>
  <si>
    <t>Darmkrebszentrum am Helios Universitätsklinikum Wuppertal</t>
  </si>
  <si>
    <t>Helios Universitätsklinikum Wuppertal</t>
  </si>
  <si>
    <t>Universitätsklinikum Augsburg - Medizincampus</t>
  </si>
  <si>
    <t>Darmkrebszentrum im CIO Köln</t>
  </si>
  <si>
    <t>Centrum für Integrierte Onkologie Aachen Bonn Köln Düsseldorf im Universitätsklinikum Köln</t>
  </si>
  <si>
    <t>Universitätsklinikum Jena</t>
  </si>
  <si>
    <t>Darmkrebszentrum Sana Klinikum Offenbach</t>
  </si>
  <si>
    <t>Sana Klinikum Offenbach</t>
  </si>
  <si>
    <t>Universitätsklinikum Magdeburg</t>
  </si>
  <si>
    <t>Katholisches Klinikum Bochum, St. Josef-Hospital, Universitätsklinikum der RUB</t>
  </si>
  <si>
    <t>Charité - Campus Benjamin-Franklin</t>
  </si>
  <si>
    <t>Darmkrebszentrum Leipziger Land</t>
  </si>
  <si>
    <t>Sana Klinikum Borna</t>
  </si>
  <si>
    <t>Ortenau Klinikum Offenburg-Kehl</t>
  </si>
  <si>
    <t>Darmkrebszentrum im Zentrum für Gastrointestinale Onkologie Tübingen</t>
  </si>
  <si>
    <t>Darmzentrum im Evangelischen Waldkrankenhaus Spandau</t>
  </si>
  <si>
    <t>Evangelisches Waldkrankenhaus Spandau</t>
  </si>
  <si>
    <t>Darmkrebszentrum Sankt Gertrauden-Krankenhaus, Berlin</t>
  </si>
  <si>
    <t>Darmkrebszentrum Neumünster</t>
  </si>
  <si>
    <t>Friedrich-Ebert-Krankenhaus Neumünster</t>
  </si>
  <si>
    <t>Darmkrebszentrum am Universitätsklinikum Gießen</t>
  </si>
  <si>
    <t>Universitätsklinikum Gießen und Marburg, Standort Gießen</t>
  </si>
  <si>
    <t>EB/ LL</t>
  </si>
  <si>
    <t>2a</t>
  </si>
  <si>
    <t>2b</t>
  </si>
  <si>
    <t>LLQI</t>
  </si>
  <si>
    <t>Operationen des Nenners mit Revisionsoperationen infolge von perioperativen Komplikationen innerhalb von 30 d nach OP (nicht gezählt werden: diagnostische Spüllaparoskopien)</t>
  </si>
  <si>
    <t>LL QI</t>
  </si>
  <si>
    <t>Lebermetastasenresektion</t>
  </si>
  <si>
    <t>Möglichst häufig Lebermetastasenresektion</t>
  </si>
  <si>
    <t>Lebermetastasenresektion am operativen Standort des Darmkrebszentrums</t>
  </si>
  <si>
    <t>Möglichst wenige postoperative Ereignisse</t>
  </si>
  <si>
    <t>&gt; 10%</t>
  </si>
  <si>
    <t>1</t>
  </si>
  <si>
    <t>27</t>
  </si>
  <si>
    <t xml:space="preserve">2020, </t>
  </si>
  <si>
    <t>DarmZentrum Recklinghausen</t>
  </si>
  <si>
    <t>Stiftungsklinikum PROSELIS, Standort Prosper-Hospital Recklinghausen</t>
  </si>
  <si>
    <t>Darmkrebszentrum Oberberg</t>
  </si>
  <si>
    <t>Kreiskrankenhaus Gummersbach</t>
  </si>
  <si>
    <t>Ludgerus-Kliniken Münster, Standort Clemenshospital</t>
  </si>
  <si>
    <t>Klinikum Oranienburg</t>
  </si>
  <si>
    <t>Darmkrebszentrum Neuruppin</t>
  </si>
  <si>
    <t>Helios Darmzentrum Erfurt</t>
  </si>
  <si>
    <t>Helios Klinikum Erfurt</t>
  </si>
  <si>
    <t>DRK Kliniken Berlin Westend</t>
  </si>
  <si>
    <t>Darmkrebszentrum Universitätsklinikum Augsburg</t>
  </si>
  <si>
    <t>Darmkrebszentrum Köln-Hohenlind</t>
  </si>
  <si>
    <t>Klinikum Chemnitz, Standort Flemmingstraße</t>
  </si>
  <si>
    <t>Darmkrebszentrum Wolfenbüttel</t>
  </si>
  <si>
    <t>Städtisches Klinikum Wolfenbüttel</t>
  </si>
  <si>
    <t>Darmkrebszentrum Lingen</t>
  </si>
  <si>
    <t>Bonifatius Hospital</t>
  </si>
  <si>
    <t>Darmkrebszentrum Klinikum Darmstadt</t>
  </si>
  <si>
    <t>Darmkrebszentrum Waldfriede Berlin</t>
  </si>
  <si>
    <t>Krankenhaus Waldfriede</t>
  </si>
  <si>
    <t>Darmkrebszentrum Krankenhaus Reinbek St. Adolf-Stift</t>
  </si>
  <si>
    <t>Krankenhaus Reinbek St. Adolf-Stift</t>
  </si>
  <si>
    <t>Lebermetastasenresektion außerhalb des operativen Standortes des Darmkrebszentrums</t>
  </si>
  <si>
    <t xml:space="preserve">2021, </t>
  </si>
  <si>
    <t>Pat. des Nenners, die prätherapeutisch in einer interdisziplinären Tumorkonferenz vorgestellt wurden</t>
  </si>
  <si>
    <t>Elektive Pat. mit RK und alle elektiven Pat. mit KK Stad. IV</t>
  </si>
  <si>
    <t>Pat. des Nenners, die in der prätherapeutischen Konferenz vorgestellt wurden</t>
  </si>
  <si>
    <t>Primärfälle Gesamt + Pat. mit neuaufgetretenem Rezidiv und/oder Fernmetastasen 
(= Kennzahl 1)</t>
  </si>
  <si>
    <t>Pat. des Nenners, die stationär oder ambulant durch den Sozialdienst beraten wurden</t>
  </si>
  <si>
    <t>Anteil Studienpat.</t>
  </si>
  <si>
    <t>Pat. des Nenners mit Angabe des Abstands zur mesorektalen Faszie im Befundbericht</t>
  </si>
  <si>
    <t>Pat. mit RK im unteren und mittleren Drittel und MRT oder Dünnschicht-CT des Beckens</t>
  </si>
  <si>
    <t>Pat. des Nenners mit Re-Interventionsbedürftigen Anastomoseninsuffizienzen Kolon nach Eingriffen</t>
  </si>
  <si>
    <r>
      <t xml:space="preserve">Pat. mit KK, bei denen in einer elektiven Tumorresektion eine Anastomose angelegt wurde </t>
    </r>
    <r>
      <rPr>
        <sz val="8"/>
        <color rgb="FFFF0000"/>
        <rFont val="Arial"/>
        <family val="2"/>
      </rPr>
      <t xml:space="preserve"> </t>
    </r>
  </si>
  <si>
    <t>Pat. mit RK, bei denen in einer elektiven Tumorresektion eine Anastomose angelegt wurde (ohne TVE)</t>
  </si>
  <si>
    <t>Möglichst niedrige Rate an postoperativ verstorbenen Pat. nach elektiven Eingriffen</t>
  </si>
  <si>
    <t>Pat. des Nenners, die innerhalb von 30 d postoperativ verstorben sind</t>
  </si>
  <si>
    <t>Elektiv operierte Pat. (ohne TVE)</t>
  </si>
  <si>
    <t>Pat. des Nenners mit präoperativer Anzeichnung der Stomaposition</t>
  </si>
  <si>
    <t>Pat. des Nenners, die eine Lebermetastasenresektion erhalten haben</t>
  </si>
  <si>
    <t>Möglichst hohe Rate an Chemotherapien bei Pat. mit einem Kolonkarzinom UICC Stad. III</t>
  </si>
  <si>
    <t>Pat. des Nenners, die eine adjuvante Chemotherapie erhalten haben</t>
  </si>
  <si>
    <t>Pat. ≤ 75 Jahre mit einem Kolonkarzinom UICC Stad. III, bei denen eine R0-Resektion des Primärtumors erfolgte</t>
  </si>
  <si>
    <t>Pat. des Nenners mit Kombinationschemotherapie</t>
  </si>
  <si>
    <t>Pat. mit metastasiertem KRK, ECOG 0-1 und systemischer Erstlinientherapie</t>
  </si>
  <si>
    <t>Möglichst viele Pat. mit TME-Rektumpräparaten mit guter o. moderater Qualität</t>
  </si>
  <si>
    <t>Pat. des Nenners mit guter o. moderater Qualität (Grad 1: Mesorektale Faszie erhalten o. Grad 2: Intramesorektale Einrisse) der TME</t>
  </si>
  <si>
    <t xml:space="preserve">Pat. des Nenners mit Befundbericht mit Angabe von:
• Tumortyp nach WHO-Klassifikation und
• Tumorinvasionstiefe (pT-Klassifikation) und
• Status der regionären Lymphknoten (pN-Klassifikation) und
• Anzahl der untersuchten Lymphknoten und
• Grading und
• Abstand von den Resektionsrändern (beim Rektumkarzinom auch circumferentiell) und
• R-Klassifikation  </t>
  </si>
  <si>
    <t>Pat. mit KRK und operativer Resektion</t>
  </si>
  <si>
    <t>Bei ≥ 95% der Pat. mit Lymphadenektomie werden ≥ 12 Lymphknoten pathologisch untersucht</t>
  </si>
  <si>
    <t xml:space="preserve">Pat. des Nenners mit ≥ 12 pathologisch untersuchten Lymphknoten </t>
  </si>
  <si>
    <t>Pat. mit KRK, die eine elektive OP mit Lymphadenektomie erhalten haben (ohne TVE)</t>
  </si>
  <si>
    <t>Pat. des Nenners mit Beginn der Chemotherapie innerhalb von 8 Wochen nach OP</t>
  </si>
  <si>
    <t>Die jeweilige Eingabe oder Änderung  "Anzahl / Zähler / Nenner" (gepunktete Felder) ist nur im Tabellenblatt "Basisdaten" möglich, die Übertragung erfolgt automatisch. 
Der Zähler ist immer eine Teilmenge des Nenners (Ausnahme: Kennzahl 6 - Anteil Studienpat.).</t>
  </si>
  <si>
    <t>Im Sinne einer gendergerechten Sprache verwenden wir für die Begriffe „Patientinnen“, „Patienten“, „Patient*innen“ die Bezeichnung „Pat.“, die ausdrücklich jede Geschlechtszuschreibung (weiblich, männlich, divers) einschließt.</t>
  </si>
  <si>
    <t xml:space="preserve"> In Ordnung</t>
  </si>
  <si>
    <t xml:space="preserve">                        </t>
  </si>
  <si>
    <t xml:space="preserve">                    Sollvorgabe nicht erfüllt</t>
  </si>
  <si>
    <t>Anzahl Primärpat.</t>
  </si>
  <si>
    <r>
      <t xml:space="preserve">Pat.  „im Follow-Up“
(aus Grundgesamtheit Primärpat.)  </t>
    </r>
    <r>
      <rPr>
        <vertAlign val="superscript"/>
        <sz val="8"/>
        <rFont val="Arial"/>
        <family val="2"/>
      </rPr>
      <t>3)</t>
    </r>
  </si>
  <si>
    <r>
      <t xml:space="preserve">Pat. mit mindestens 1 der Ereignisse in Spalte R bis T </t>
    </r>
    <r>
      <rPr>
        <vertAlign val="superscript"/>
        <sz val="8"/>
        <rFont val="Arial"/>
        <family val="2"/>
      </rPr>
      <t>7)</t>
    </r>
  </si>
  <si>
    <r>
      <t xml:space="preserve">2)  </t>
    </r>
    <r>
      <rPr>
        <sz val="8"/>
        <rFont val="Arial"/>
        <family val="2"/>
      </rPr>
      <t>Fußnote 2 für Darmkrebspat. nicht relevant.</t>
    </r>
  </si>
  <si>
    <r>
      <t xml:space="preserve">3) </t>
    </r>
    <r>
      <rPr>
        <sz val="8"/>
        <rFont val="Arial"/>
        <family val="2"/>
      </rPr>
      <t xml:space="preserve"> Pat., die in dieser Darstellung (Spalte I - W) nicht berücksichtigt werden dürfen, sind: primäre UICC IV-Pat. (auch kurativ therapiert) und Pat. mit vorausgegangenem Tumor (alle Entitäten, inkl. Darm).</t>
    </r>
  </si>
  <si>
    <r>
      <t xml:space="preserve">6)  </t>
    </r>
    <r>
      <rPr>
        <sz val="8"/>
        <rFont val="Arial"/>
        <family val="2"/>
      </rPr>
      <t>Krebsregister können in der Regel keine Follow-Up-Daten zu Pat. außerhalb des Einzugsgebietes einholen.</t>
    </r>
  </si>
  <si>
    <r>
      <t xml:space="preserve">7)  </t>
    </r>
    <r>
      <rPr>
        <sz val="8"/>
        <rFont val="Arial"/>
        <family val="2"/>
      </rPr>
      <t xml:space="preserve">Zusätzlich können hier Pat. mit Ereignis ohne exakte Lokalisationsangabe eingetragen werden, die keiner der drei Spalten R - T genau zuzuordnen sind. </t>
    </r>
  </si>
  <si>
    <t>Alle Pat. ab dem Folgejahr der EZ sind im Follow-Up zu berücksichtigen; alle relevanten Nachsorgejahre sind zu bearbeiten, abhängig vom Datum der Erstzertifizierung.</t>
  </si>
  <si>
    <t>Werte Spalte I "Pat. im Follow-Up" müssen kleiner gleich sein als Spalte G subtrahiert von Spalte C; siehe Fußnote 3</t>
  </si>
  <si>
    <t>Prätherapeutische Vorstellung aller Pat. mit einem Rektumkarzinom u. Kolonkarzinom UICC Stad. IV</t>
  </si>
  <si>
    <t>Postoperative Vorstellung aller Primärfallpat.</t>
  </si>
  <si>
    <t>KRK-Pat. mit Erfassung Familienanamnese</t>
  </si>
  <si>
    <t>Matrix - Ergebnisqualität Primärbehandlung (Kolonpat.)</t>
  </si>
  <si>
    <t>Matrix - Ergebnisqualität Primärbehandlung (Rektumpat.)</t>
  </si>
  <si>
    <t>Darmkrebszentrum am Marienhaus Klinikum Mainz</t>
  </si>
  <si>
    <t>Marienhaus Klinikum Mainz</t>
  </si>
  <si>
    <t>Darmkrebszentrum am Klinikum Magdeburg</t>
  </si>
  <si>
    <t>Darmkrebszentrum Hegau-Bodensee</t>
  </si>
  <si>
    <t>Darmkrebszentrum am AGAPLESION MARKUS KRANKENHAUS Frankfurt</t>
  </si>
  <si>
    <t>AGAPLESION MARKUS KRANKENHAUS</t>
  </si>
  <si>
    <t>Darmkrebszentrum Esslingen (DZE)</t>
  </si>
  <si>
    <t>Main-Kinzig-Kliniken Gelnhausen</t>
  </si>
  <si>
    <t>Darmkrebszentrum am St. Joseph Krankenhaus Berlin - Tempelhof</t>
  </si>
  <si>
    <t>St. Joseph Krankenhaus</t>
  </si>
  <si>
    <t>Darmzentrum Friedberg - Augsburg</t>
  </si>
  <si>
    <t>Krankenhaus Friedberg</t>
  </si>
  <si>
    <t>OberschwabenklinikSt. Elisabethen-Klinikum, Ravensburg</t>
  </si>
  <si>
    <t>Darm-Gesundheitszentrum im Ordensklinikum Linz</t>
  </si>
  <si>
    <t>Darmkrebszentrum Helios Dr. Horst Schmidt Kliniken Wiesbaden</t>
  </si>
  <si>
    <t>Helios Dr. Horst Schmidt Kliniken Wiesbaden</t>
  </si>
  <si>
    <t>Darmkrebszentrum Dinslaken-Niederrhein</t>
  </si>
  <si>
    <t>Evangelisches Krankenhaus Dinslaken</t>
  </si>
  <si>
    <t>Darmkrebszentrum im Helios Klinikum Bad Saarow</t>
  </si>
  <si>
    <t>Helios Klinikum Bad Saarow</t>
  </si>
  <si>
    <t>Darmkrebszentrum am Nationalen Centrum für Tumorerkrankungen Dresden (NCT/UCC)</t>
  </si>
  <si>
    <t>Darmkrebszentrum am UKSH, Campus Lübeck</t>
  </si>
  <si>
    <t>Darmkrebszentrum Hof</t>
  </si>
  <si>
    <t>Darmkrebszentrum Klinikum Bielefeld Mitte</t>
  </si>
  <si>
    <t>Klinikum Bielefeld Mitte</t>
  </si>
  <si>
    <t>Krankenhaus Agatharied</t>
  </si>
  <si>
    <t>Darmkrebszentrum am St. Johannes Hospital Dortmund</t>
  </si>
  <si>
    <t>St. Johannes Hospital Dortmund</t>
  </si>
  <si>
    <t>Darmkrebszentrum Helios Klinikum Emil von Behring Berlin-Zehlendorf</t>
  </si>
  <si>
    <t>Helios Klinikum Emil von Behring Berlin</t>
  </si>
  <si>
    <t>Darmkrebszentrum Vivantes Auguste-Viktoria-Klinikum Berlin</t>
  </si>
  <si>
    <t>Auguste-Viktoria-Klinikum</t>
  </si>
  <si>
    <t xml:space="preserve">Darmkrebszentrum Thun - Berner Oberland </t>
  </si>
  <si>
    <t>Spital STS AG Thun</t>
  </si>
  <si>
    <t>Darmkrebszentrum Schön Klinik Neustadt</t>
  </si>
  <si>
    <t>Schön Klinik Neustadt</t>
  </si>
  <si>
    <t>Darmkrebszentrum Lindenhof Bern</t>
  </si>
  <si>
    <t>Lindenhofspital Bern</t>
  </si>
  <si>
    <t>Darmkrebszentrum Augusta Bochum</t>
  </si>
  <si>
    <t xml:space="preserve">Augusta-Kranken-Anstalt Bochum </t>
  </si>
  <si>
    <t>Darmkrebszentrum Eisenach</t>
  </si>
  <si>
    <t>St. Georg Klinikum Eisenach</t>
  </si>
  <si>
    <t>Darmkrebszentrum am Israelitischen Krankenhaus in Hamburg</t>
  </si>
  <si>
    <t>Israelitisches Krankenhaus in Hamburg</t>
  </si>
  <si>
    <t xml:space="preserve">Filtername EMAC: "Liste Reg.Nr DS" </t>
  </si>
  <si>
    <t>Primärfälle des Nenners mit ausgefülltem Pat.fragebogen (https://www.krebsgesellschaft.de/zertdokumente.html unter dem Punkt Darmkrebs)</t>
  </si>
  <si>
    <t>Pat. des Zentrums mit metastasiertem KRK und
1. ausschließlicher Lebermetastasierung (primär oder im Kennzahlenjahr neuaufgetreten) ohne leber-spezifische Chemotherapie
(Zählzeitpunkt: Diagnosedatum Lebermetastase)
oder
2. ausschließlicher Lebermeta-stasierung, die eine Chemotherapie wegen der Lebermetastasierung erhalten haben
(Zählzeitpunkt: Ende CHTH im Kennzahlenjahr)</t>
  </si>
  <si>
    <t>Psychoonkologisches Distress-Screening</t>
  </si>
  <si>
    <t>Adäquate Rate an psychoonkologischem Distress-Screening</t>
  </si>
  <si>
    <t>Pat. des Nenners, die psychoonkologisch gescreent wurden</t>
  </si>
  <si>
    <t>≥ 65%</t>
  </si>
  <si>
    <t>Adäquate Rate an Beratung durch Sozialdienst</t>
  </si>
  <si>
    <t>Einschluss von möglichst vielen Pat. in Studien</t>
  </si>
  <si>
    <t xml:space="preserve">Pat., die in eine Studie mit Ethikvotum oder kolorektale Präventionsstudie eingebracht wurden </t>
  </si>
  <si>
    <t>Pat. mit metastasiertem KRK und systemischer Erstlinientherapie</t>
  </si>
  <si>
    <t>≥ 50%</t>
  </si>
  <si>
    <t>Operationen des Nenners mit Revisionsoperationen infolge von perioperativen Komplikationen innerhalb von 30 d nach OP (nicht gezählt werden: diagnostische Spüllaparoskopien, endoskopische Einlage Vakuumschwamm)</t>
  </si>
  <si>
    <t xml:space="preserve">
Lebermetastasenresektion am operativen Standort des Darmkrebszentrums durchgeführt
(Teilmenge Zähler 22a)</t>
  </si>
  <si>
    <t xml:space="preserve">Lebermetastasenresektion außerhalb des operativen Standortes des Darmkrebszentrums durchgeführt
(Teilmenge Zähler 22a)
</t>
  </si>
  <si>
    <t>Pat. mit elektiv radikal operiertem RK im mittleren oder unteren Drittel (ohne TVE)</t>
  </si>
  <si>
    <t>Pat. mit einem Kolonkarzinom UICC Stad. III, die eine adjuvante Chemotherapie erhalten haben (= Zähler Kennzahl 23)</t>
  </si>
  <si>
    <t>Elektiv operierte Pat.
(= Nenner Kennzahl 19)</t>
  </si>
  <si>
    <t>Pat. des Nenners, die 
• innerhalb von 30 d postoperativ verstorben sind (Zähler Kennzahl 19) oder
• in ein anderes Akut-Krankenhaus verlegt wurden oder
• einen Krankenhausaufenthalt &gt; 
22 d nach Tumorresektion hatten</t>
  </si>
  <si>
    <t>22a</t>
  </si>
  <si>
    <t>22b</t>
  </si>
  <si>
    <t>22c</t>
  </si>
  <si>
    <t>24</t>
  </si>
  <si>
    <t>26</t>
  </si>
  <si>
    <t xml:space="preserve">2022, </t>
  </si>
  <si>
    <t>MTL22-Indikator (Mortalität, Transfer, postoperative Liegedauer)</t>
  </si>
  <si>
    <t>Klinikum am Gesundbrunnen / SLK-Kliniken Heilbronn</t>
  </si>
  <si>
    <t>Darmzentrum Aschaffenburg</t>
  </si>
  <si>
    <t>Darmzentrum Main-Kinzig-Kliniken Gelnhausen</t>
  </si>
  <si>
    <t>CCC Tübingen-Stuttgart am Universitätsklinikum Tübingen</t>
  </si>
  <si>
    <t>Universitätsklinikum Ruppin-Brandenburg</t>
  </si>
  <si>
    <t>Darmkrebszentrum am LMU Klinikum</t>
  </si>
  <si>
    <t>LMU Klinikum</t>
  </si>
  <si>
    <t>Darmkrebszentrum der GFO Kliniken Bonn St. Marien Hospital</t>
  </si>
  <si>
    <t>GFO Kliniken Bonn St. Marien Hospital Bonn</t>
  </si>
  <si>
    <t>Universitätsklinikum Brandenburg an der Havel</t>
  </si>
  <si>
    <t>Darmkrebszentrum in der Universitätsklinik für Allgemein- und Viszeralchirurgie - Klinikum Oldenburg</t>
  </si>
  <si>
    <t>Klinikum Oldenburg</t>
  </si>
  <si>
    <t>Christophorus Darmzentrum</t>
  </si>
  <si>
    <t>Christophorus Kliniken Coesfeld-Dülmen-Nottuln</t>
  </si>
  <si>
    <t>Stadtspital Zürich Triemli</t>
  </si>
  <si>
    <t>Darmkrebszentrum der Universitätsmedizin Magdeburg</t>
  </si>
  <si>
    <t>Darmkrebszentrum ELBLANDKLINIKUM Riesa</t>
  </si>
  <si>
    <t>ELBLANDKLINIKUM Riesa</t>
  </si>
  <si>
    <t>Darmkrebszentrum Universitätsklinikum Heidelberg</t>
  </si>
  <si>
    <t>Darmkrebszentrum DRK Kliniken Berlin Mitte</t>
  </si>
  <si>
    <t>DRK Kliniken Berlin Mitte</t>
  </si>
  <si>
    <t>Darmkrebszentrum Klinikum Saarbrücken</t>
  </si>
  <si>
    <t>Klinikum Saarbrücken gGmbH</t>
  </si>
  <si>
    <t>Alexianer Darmkrebszentrum Krefeld</t>
  </si>
  <si>
    <t>Alexianer Krefeld GmbH - Krankenhaus Maria-Hilf</t>
  </si>
  <si>
    <t>Darmkrebszentrum St. Anna Luzern</t>
  </si>
  <si>
    <t>Hirslanden Klinik St. Anna Luzern</t>
  </si>
  <si>
    <t>Darmkrebszentrum Klinikum Leverkusen</t>
  </si>
  <si>
    <t>Klinikum Leverkusen</t>
  </si>
  <si>
    <t>Darmkrebszentrum St. Elisabeth-Krankenhaus Leipzig</t>
  </si>
  <si>
    <t>St. Elisabeth-Krankenhaus Leipzig</t>
  </si>
  <si>
    <t>Darmkrebszentrum Helios St. Johannes Klinik Duisburg</t>
  </si>
  <si>
    <t>Helios St. Johannes Klinik Duisburg</t>
  </si>
  <si>
    <t>Darmkrebszentrum GFO Klinik Brühl - Marienhospital</t>
  </si>
  <si>
    <t>Darmkrebszentrum BHS Wien</t>
  </si>
  <si>
    <t xml:space="preserve">Barmherzige Schwestern Krankenhaus Wien </t>
  </si>
  <si>
    <t>Welche Daten erhalten Sie vom Krebsregister (§65c)?</t>
  </si>
  <si>
    <t>Keine Auswahl zutreffend</t>
  </si>
  <si>
    <r>
      <rPr>
        <vertAlign val="superscript"/>
        <sz val="8"/>
        <rFont val="Arial"/>
        <family val="2"/>
      </rPr>
      <t>8)</t>
    </r>
    <r>
      <rPr>
        <sz val="8"/>
        <rFont val="Arial"/>
        <family val="2"/>
      </rPr>
      <t xml:space="preserve"> Ausgelöst durch die Follow-Up-Strukturen der Krebsregister (Latenzzeit Vollzähligkeit der Registrierung von Zielereignissen) ist es für die letzten beiden Kalenderjahre ausreichend, die 
aufgeschlüsselten Primärfälle (Spalte D-G) anzugeben.</t>
    </r>
  </si>
  <si>
    <r>
      <rPr>
        <vertAlign val="superscript"/>
        <sz val="8"/>
        <color rgb="FF000000"/>
        <rFont val="Arial"/>
        <family val="2"/>
      </rPr>
      <t>9)</t>
    </r>
    <r>
      <rPr>
        <sz val="8"/>
        <color indexed="8"/>
        <rFont val="Arial"/>
        <family val="2"/>
      </rPr>
      <t xml:space="preserve"> Basaliome (= Basalzellneoplasien, C44, ICD-O3 809-811 Histologie) werden nicht als Zweittumor gezählt.</t>
    </r>
  </si>
  <si>
    <r>
      <rPr>
        <vertAlign val="superscript"/>
        <sz val="8"/>
        <color rgb="FF000000"/>
        <rFont val="Arial"/>
        <family val="2"/>
      </rPr>
      <t>10)</t>
    </r>
    <r>
      <rPr>
        <sz val="8"/>
        <color indexed="8"/>
        <rFont val="Arial"/>
        <family val="2"/>
      </rPr>
      <t xml:space="preserve"> Wenn die Matrizen Ergebnisqualität von einem Krebsregister nach § 65c erstellt werden, gelten Patienten, für die am 31.12. des Vorkennzahlenjahres kein meldepflichtiges Ereignis vorliegt (Rezidiv (lokal/Lymphknoten), Fernmetastasen, Zweitkarzinomen, Tod) in den jeweiligen Spalten der Matrizen Ergebnisqualität als „tumorfrei“ (= passives Follow-Up). Besonderheiten für den Umgang mit passivem Follow-Up im OncoBox-Organ sind in der OncoBox-Spezifikation Tabellenblatt „Matrix Kolon“ / „Matrix Rektum“ als FAQ zu finden.</t>
    </r>
  </si>
  <si>
    <t>geringe Follow-Up Quote der Jahre 2019-2021</t>
  </si>
  <si>
    <t>zu hohe Follow-Up Quote der Jahre 2019-2021</t>
  </si>
  <si>
    <t xml:space="preserve">2023, </t>
  </si>
  <si>
    <r>
      <t xml:space="preserve">Pat. tumorfrei </t>
    </r>
    <r>
      <rPr>
        <vertAlign val="superscript"/>
        <sz val="8"/>
        <rFont val="Arial"/>
        <family val="2"/>
      </rPr>
      <t>10)</t>
    </r>
  </si>
  <si>
    <r>
      <t xml:space="preserve">Diagnose Zweitmalignom im Verlauf </t>
    </r>
    <r>
      <rPr>
        <vertAlign val="superscript"/>
        <sz val="8"/>
        <rFont val="Arial"/>
        <family val="2"/>
      </rPr>
      <t>9)</t>
    </r>
  </si>
  <si>
    <t>Auswertungen</t>
  </si>
  <si>
    <t>SLG St. Paulus GmbH, St. Josefs Hospital Dortmund</t>
  </si>
  <si>
    <t>Kreiskliniken Herford-Bünde (AöR), Standort: Lukas-Krankenhaus Bünde</t>
  </si>
  <si>
    <t>Klinikum Lippe, Standort Detmold</t>
  </si>
  <si>
    <t>Darmzentrum Stauferklinikum Schwäbisch Gmünd</t>
  </si>
  <si>
    <t>Stauferklinikum Schwäbisch Gmünd</t>
  </si>
  <si>
    <t>Darmkrebszentrum Vivantes Klinikum im Friedrichshain</t>
  </si>
  <si>
    <t>Vivantes Klinikum Friedrichshain</t>
  </si>
  <si>
    <t>Darmzentrum Weißenfels</t>
  </si>
  <si>
    <t>Asklepios-Klinik Weißenfels</t>
  </si>
  <si>
    <t>Klinikum Würzburg Mitte, Standort Juliusspital</t>
  </si>
  <si>
    <t>Darmkrebszentrum Universitätsklinikum Düsseldorf</t>
  </si>
  <si>
    <t>Centrum für Integrierte Onkologie Aachen Bonn Köln Düsseldorf im Universitätsklinikum Düsseldorf</t>
  </si>
  <si>
    <t>Darmkrebszentrum Evangelisches Krankenhaus Herne</t>
  </si>
  <si>
    <t>Darmkrebszentrum Minden (in Kooperation mit dem Krankenhaus Bad Oeynhausen)</t>
  </si>
  <si>
    <t>Darmkrebszentrum Bad Oeynhausen DKZBOE (in Kooperation mit dem Johannes Wesling Klinikum Minden)</t>
  </si>
  <si>
    <t>Krankenhaus Bad Oeynhausen, Mühlenkreiskliniken AöR</t>
  </si>
  <si>
    <t>Uniklinikum Erlangen</t>
  </si>
  <si>
    <t>Darmkrebszentrum Schön Klinik Rendsburg</t>
  </si>
  <si>
    <t>Schön Klinik Rendsburg</t>
  </si>
  <si>
    <t>KEM | Evang. Kliniken Essen-Mitte, Standort Evang. Huyssens-Stiftung Essen-Huttrop</t>
  </si>
  <si>
    <t>Johanniter GmbH - Johanniter Krankenhaus Stendal</t>
  </si>
  <si>
    <t>Darmkrebszentrum am Westdeutschen Tumorzentrum - Universitätsmedizin Essen</t>
  </si>
  <si>
    <t>Universitätsklinikum Essen</t>
  </si>
  <si>
    <t>Darmkrebszentrum im CIO Bonn</t>
  </si>
  <si>
    <t>Centrum für Integrierte Onkologie Aachen Bonn Köln Düsseldorf im Universitätsklinikum Bonn</t>
  </si>
  <si>
    <t>Klinikum Rheine (Standort Mathias-Spital)</t>
  </si>
  <si>
    <t>Klinikum Darmstadt</t>
  </si>
  <si>
    <t>Darmkrebszentrum am Klinikum Wilhelmshaven</t>
  </si>
  <si>
    <t>Klinikum Wilhelmshaven gGmbH</t>
  </si>
  <si>
    <t>Darmkrebszentrum am Vivantes Humboldt-Klinikum Berlin</t>
  </si>
  <si>
    <t>Vivantes Humboldt-Klinikum</t>
  </si>
  <si>
    <t>Centro per la cura dei tumori colorettali Clinica Moncucco</t>
  </si>
  <si>
    <t>Clinica Moncucco</t>
  </si>
  <si>
    <t>GFO Klinik Brühl Marienhospital</t>
  </si>
  <si>
    <t>Darmkrebszentrum Weinheim</t>
  </si>
  <si>
    <t>GRN-Klinik Weinheim</t>
  </si>
  <si>
    <t>Darmkrebszentrum soH, Bürgerspital Solothurn</t>
  </si>
  <si>
    <t>Bürgerspital Solothurn</t>
  </si>
  <si>
    <t>Darmkrebszentrum Vogtland am Helios Vogtland-Klinikum Plauen</t>
  </si>
  <si>
    <t>Helios Vogtland-Klinikum Plauen</t>
  </si>
  <si>
    <t>Darmkrebszentrum Siloah St. Trudpert Klinikum Pforzheim</t>
  </si>
  <si>
    <t>Siloah St. Trudpert Klinikum</t>
  </si>
  <si>
    <t>Darmkrebszentrum Spitalzentrum Biel</t>
  </si>
  <si>
    <t xml:space="preserve">Spitalzentrum Biel </t>
  </si>
  <si>
    <t>Darmkrebszentrum Ahaus</t>
  </si>
  <si>
    <t>St. Marien-Krankenhaus Ahaus</t>
  </si>
  <si>
    <t>Keine Daten für Berechnung von Kennzahlen und kein Follow-up/ Matrix</t>
  </si>
  <si>
    <t>Keine Daten für Berechnung von Kennzahlen, aber vollständiges Follow-up/ Matrix</t>
  </si>
  <si>
    <t>Daten für Berechnung von Kennzahlen und vollständiges Follow-up/ Matrix</t>
  </si>
  <si>
    <t>Keine Daten für Berechnung von Kennzahlen, aber teilweise Follow-up/ Matrix 
(z.B. nur Vitalstatus)</t>
  </si>
  <si>
    <t>Daten für Berechnung von Kennzahlen und teilweise Follow-up/ Matrix 
(z.B. nur Vitalstatus)</t>
  </si>
  <si>
    <t>Daten vom Krebsregister</t>
  </si>
  <si>
    <t>IK-Nummer</t>
  </si>
  <si>
    <t>Standort-Nummer</t>
  </si>
  <si>
    <r>
      <t>2024</t>
    </r>
    <r>
      <rPr>
        <sz val="9"/>
        <rFont val="Arial"/>
        <family val="2"/>
      </rPr>
      <t xml:space="preserve"> </t>
    </r>
    <r>
      <rPr>
        <vertAlign val="superscript"/>
        <sz val="9"/>
        <rFont val="Arial"/>
        <family val="2"/>
      </rPr>
      <t>8)</t>
    </r>
  </si>
  <si>
    <t xml:space="preserve">2024, </t>
  </si>
  <si>
    <t>2018,</t>
  </si>
  <si>
    <t>Liste der Studien</t>
  </si>
  <si>
    <t xml:space="preserve">                Gesamt:</t>
  </si>
  <si>
    <t xml:space="preserve">Verantwortlicher Kooperationspartner </t>
  </si>
  <si>
    <t>Name der Studie</t>
  </si>
  <si>
    <t>Anzahl Studienpat., die im Kennzahlenjahr</t>
  </si>
  <si>
    <t>im eigenen Zentrum in eine Studie eingeschlossen wurden</t>
  </si>
  <si>
    <t>von anderen Zentren/ Kliniken in eine Studie im eigenen Zentrum eingeschlossen wurden</t>
  </si>
  <si>
    <t>in anderen Zentren/ Kliniken in eine Studie eingeschlossen wurden</t>
  </si>
  <si>
    <r>
      <rPr>
        <u/>
        <sz val="8"/>
        <color theme="1"/>
        <rFont val="Arial"/>
        <family val="2"/>
      </rPr>
      <t>Bearbeitungshinweis</t>
    </r>
    <r>
      <rPr>
        <sz val="8"/>
        <color theme="1"/>
        <rFont val="Arial"/>
        <family val="2"/>
      </rPr>
      <t>: Studienpat. können für 2 Zentren gezählt werden, sofern das entsendende Zentrum selbst mindestens eine Studie für Pat. des Darmkrebszentrums durchführt. Sofern diese Zählweise gewählt wird (fakultativ), muss das Zentrum darstellen, wie viele Pat. in Studien im eigenen Zentrum eingebracht, an andere Zentren/ Kliniken zur Studienteilnahme geschickt und aus anderen Zentren/ Kliniken für die Studienteilnahme übernommen werden.</t>
    </r>
  </si>
  <si>
    <t>Die Liste der akkreditierten und somit für die Studienquote anrechenbaren Studien ist unter www.studybox.de abgebildet.</t>
  </si>
  <si>
    <t>Tabelle Untersucher (Qualifikation gemäß EB 2.2.1)</t>
  </si>
  <si>
    <t>Titel, Name, Vorname</t>
  </si>
  <si>
    <t>Status
Untersucher</t>
  </si>
  <si>
    <t>Koloskopierende Einheit
(Praxis/ Klinikabteilung)</t>
  </si>
  <si>
    <t>Zeitraum 
von  …  bis im Kennzahlenjahr</t>
  </si>
  <si>
    <t>Anzahl Koloskopien
≥ 200 Pat. pro Jahr</t>
  </si>
  <si>
    <t>Anzahl Polypektomien
(nur Schlinge)
≥ 25 Pat. pro Jahr</t>
  </si>
  <si>
    <t>Begründung/ Ursache</t>
  </si>
  <si>
    <t>Basisqualifikation erfüllt ja/ nein</t>
  </si>
  <si>
    <t>Tabelle Operateure (Qualifikation gemäß EB 5.2.5)</t>
  </si>
  <si>
    <t>Status 
Operateur</t>
  </si>
  <si>
    <t>Standort/ Klinikum</t>
  </si>
  <si>
    <t>Anzahl OP’s
Kolon ≥ 15</t>
  </si>
  <si>
    <t>Anzahl OP’s
Rektum ≥ 10</t>
  </si>
  <si>
    <t>benannter Operateur</t>
  </si>
  <si>
    <t>nicht benannter Operateur</t>
  </si>
  <si>
    <t>Senior-Operateur</t>
  </si>
  <si>
    <t xml:space="preserve">   Summe:</t>
  </si>
  <si>
    <t>Möglichst hohe Rate an immunhistochemischer Bestimmung d. MMR-Proteine und ggf. molekularer MSI-Analyse bei Pat. mit KRK</t>
  </si>
  <si>
    <t>Pat. des Nenners mit immunhistochemischer Bestimmung d. MMR-Proteine und ggf. molekularer MSI-Analyse</t>
  </si>
  <si>
    <t xml:space="preserve">Pat. mit der Erstdiagnose KRK </t>
  </si>
  <si>
    <t>Pat. des Nenners mit IHC der MMR-Proteine und Bestimmung RAS- 
(= KRAS u. NRAS-Mutationen) sowie BRAF-Mutation zu Beginn der Erstlinientherapie</t>
  </si>
  <si>
    <t>Therapeutische Koloskopien je koloskopierende Einheit (nicht nur Pat. DZ)</t>
  </si>
  <si>
    <t xml:space="preserve">≥ 80% </t>
  </si>
  <si>
    <r>
      <rPr>
        <b/>
        <u/>
        <sz val="8"/>
        <rFont val="Arial"/>
        <family val="2"/>
      </rPr>
      <t>Bearbeitungshinweise:</t>
    </r>
    <r>
      <rPr>
        <sz val="8"/>
        <rFont val="Arial"/>
        <family val="2"/>
      </rPr>
      <t xml:space="preserve">
Definitionen zu den in der Tabelle verwendeten Begriffen sind grundsätzlich im Tabellenblatt "Datenfelder" des Spezifikationsdokuments in der jeweils gültigen Version (Download unter www.xml-oncobox.de) hinterlegt:
           1)  Datenfeld C1
           2)  Datenfeld G4 (E = elektiv, N = Notfall)
           3)  Datenfeld D6
Darüber hinaus finden sich in dem Dokument Informationen zur Fallzählung (Appendices) und Definition aller Kennzahlen.
4) Bei Watch &amp; Wait-Pat. handelt es sich um neu diagnostizierte Rektumkarzinome, die nach radiotherapeutischer und/ oder chemotherapeutischer Vorbehandlung bei klinischer Vollremission zunächst nicht operativ therapiert werden. Wenn diese Pat. bei Tumor-Rekurrenz oder aus anderen Gründen sekundär operiert werden, zählen sie als operativer Primärfall.
Die Felder stehen teilweise in Abhängigkeit voneinander, daher sollte jede Zeile vollständig von links nach rechts und fortlaufend von oben nach unten bearbeitet werden. Graue Felder müssen bearbeitet werden. Die Bearbeitung des Datenblattes sollte mit Microsoft Office 2010 oder einer der Folgeversionen erfolgen. Microsoft Office 2007 ist mit Einschränkungen nutzbar (u.a. werden Info-Buttons nicht angezeigt). Vorversionen von Microsoft Office 2007 sind für die Bearbeitung des Datenblattes nicht geeignet. Alle Zahlen und Texte müssen manuell eingegeben werden (nicht über copy-/ paste-Funktion; Ausnahme sind Daten, die von der OncoBox eingelesen werden). Jede Änderung an den Basisdaten zieht eine Änderung des Kennzahlenbogens nach sich. In dem Dokument „Bestimmungen Datenqualität“ sind die wesentlichen Grundlagen für die Datenbewertung im Rahmen des Auditprozesses festgelegt. Insbesondere ist der Umgang mit Kennzahlen mit unterschrittener Sollvorgabe beschrieben (Download unter www.onkozert.de; Abschnitt Hinweise).</t>
    </r>
  </si>
  <si>
    <t>Pat. mit neuaufgetretenem Rezidiv und/ oder Fernmetastasen</t>
  </si>
  <si>
    <t>Prätherapeutische Fallvorstellung Rezidiv/ metachrone Metastasen</t>
  </si>
  <si>
    <t>Prätherapeutische Vorstellung aller Pat. mit Rezidiv/ metachronen Metastasen</t>
  </si>
  <si>
    <t>Pat. mit neuaufgetretenem Rezidiv und/ oder Fernmetastasen 
(= Kennzahl 1)</t>
  </si>
  <si>
    <t xml:space="preserve">Primärfälle Gesamt + Pat. mit neuaufgetretenem Rezidiv und/ oder Fernmetastasen 
(= Kennzahl 1) </t>
  </si>
  <si>
    <t>Pat. des Nenners mit Anastomoseninsuffizienz Grad B (mit Antibiotikagabe o. interventioneller Drainage o. transanaler Lavage/ Drainage) oder C ((Re-) Laparotomie)</t>
  </si>
  <si>
    <t>Pat. mit RK, bei denen eine elektive Operation mit Stomaanlage durchgeführt wurde (ohne TVE)</t>
  </si>
  <si>
    <t>1) Plausibilität unklar
Der angegebene Kennzahlenwert stellt im Vergleich zu anderen Zentren einen außergewöhnlichen Wert dar. Die Einstufung „Plausibilität unklar“ bedeutet nicht automatisch eine negative Bewertung. Der Kennzahlenwert ist aufgrund seiner Außergewöhnlichkeit auf Korrektheit zu überprüfen. Im Einzelfall kann ein positiver Kennzahlenwert bei einer detaillierten Betrachtung auch eine negative Versorgungssituation darstellen (z.B. Überversorgung). Das Ergebnis dieser Überprüfung ist durch das Zentrum im Kennzahlenbogen in der Spalte „Begründung/ Ursache“ näher zu erläutern. Ggf. sollten entsprechend dem Vorgehen „Sollvorgabe nicht erfüllt“ zum Zwecke der Verbesserung gezielte Aktionen definiert und durchgeführt werden.
2) Sollvorgabe nicht erfüllt
Die betroffenen Kennzahlen sind zu analysieren. Das Ergebnis ist im Feld "Begründung/ Ursache" zu dokumentieren. Ergeben sich aus der Ursachenanalyse konkrete Aktionen zur Verbesserung des Kennzahlenwertes, sind diese in der Spalte "Eingeleitete/ geplante Aktionen" zu beschreiben.
3) Unvollständig
Sofern Kennzahlen den Status „unvollständig“ haben, sind diese entweder nachzuliefern oder es ist eine eindeutige Aussage über die Möglichkeit der zukünftigen Darlegung zu treffen („unvollständige Kennzahlen“ stellen grundsätzlich eine potentielle Abweichung dar).</t>
  </si>
  <si>
    <t>Verantwortlicher Kooperationspartner</t>
  </si>
  <si>
    <t>am eigenen Standort in eine Studie eingeschlossen wurden (obligat für alle LZ)</t>
  </si>
  <si>
    <t xml:space="preserve">an einem anderen Standort des eigenen Zentrums in eine Studie eingeschlossen wurden (obligat für mehrst. LZ)  </t>
  </si>
  <si>
    <t>von anderen Zentren/ Kliniken in eine eigene Studie eingeschlossen wurden (fakultativ)</t>
  </si>
  <si>
    <t>in anderen Zentren/ Kliniken in eine Studie eingeschlossen wurden (fakultativ)</t>
  </si>
  <si>
    <t>Art der Studie interventionell</t>
  </si>
  <si>
    <t>Art der Studie nicht interventionell</t>
  </si>
  <si>
    <t>Anzahl Zentrumspat. im Kennzahlenjahr rekurtiert</t>
  </si>
  <si>
    <t>Anzahl eingeschlossene Pat. im Kennzahlenjahr</t>
  </si>
  <si>
    <t>FAD-Z-001-4</t>
  </si>
  <si>
    <t>Katholisches Krankenhaus Dortmund-West / St. Rochus Hospital Castrop-Rauxel</t>
  </si>
  <si>
    <t>FAD-Z-004</t>
  </si>
  <si>
    <t>FAD-Z-005</t>
  </si>
  <si>
    <t>FAD-Z-006</t>
  </si>
  <si>
    <t>Darmkrebszentrum St. Marien Amberg</t>
  </si>
  <si>
    <t>FAD-Z-014</t>
  </si>
  <si>
    <t>FAD-Z-016</t>
  </si>
  <si>
    <t>FAD-Z-020</t>
  </si>
  <si>
    <t>FAD-Z-021</t>
  </si>
  <si>
    <t>FAD-Z-029</t>
  </si>
  <si>
    <t>FAD-Z-030</t>
  </si>
  <si>
    <t>FAD-Z-034</t>
  </si>
  <si>
    <t>FAD-Z-038</t>
  </si>
  <si>
    <t>FAD-Z-039</t>
  </si>
  <si>
    <t>FAD-Z-042</t>
  </si>
  <si>
    <t>FAD-Z-051</t>
  </si>
  <si>
    <t>FAD-Z-054</t>
  </si>
  <si>
    <t>FAD-Z-056</t>
  </si>
  <si>
    <t>FAD-Z-057</t>
  </si>
  <si>
    <t>FAD-Z-058</t>
  </si>
  <si>
    <t>FAD-Z-059</t>
  </si>
  <si>
    <t>FAD-Z-061</t>
  </si>
  <si>
    <t>FAD-Z-066</t>
  </si>
  <si>
    <t>Darmkrebszentrum Robert Bosch Krankenhaus</t>
  </si>
  <si>
    <t>Robert Bosch Krankenhaus Stuttgart</t>
  </si>
  <si>
    <t>FAD-Z-075</t>
  </si>
  <si>
    <t>FAD-Z-077</t>
  </si>
  <si>
    <t>FAD-Z-078</t>
  </si>
  <si>
    <t>FAD-Z-080</t>
  </si>
  <si>
    <t>FAD-Z-084</t>
  </si>
  <si>
    <t>FAD-Z-089</t>
  </si>
  <si>
    <t>FAD-Z-094</t>
  </si>
  <si>
    <t>FAD-Z-100</t>
  </si>
  <si>
    <t>Darmkrebszentrum Ludwigsburg</t>
  </si>
  <si>
    <t>FAD-Z-104</t>
  </si>
  <si>
    <t>FAD-Z-111</t>
  </si>
  <si>
    <t>FAD-Z-116</t>
  </si>
  <si>
    <t>Darmkrebszentrum Klinikum Dritter Orden München-Nymphenburg</t>
  </si>
  <si>
    <t>FAD-Z-119</t>
  </si>
  <si>
    <t>FAD-Z-124</t>
  </si>
  <si>
    <t>Darmkrebszentrum Clemenshospital/Portal 10, Münster</t>
  </si>
  <si>
    <t>FAD-Z-128</t>
  </si>
  <si>
    <t>FAD-Z-129</t>
  </si>
  <si>
    <t>FAD-Z-130</t>
  </si>
  <si>
    <t>FAD-Z-132</t>
  </si>
  <si>
    <t>FAD-Z-143</t>
  </si>
  <si>
    <t>FAD-Z-146</t>
  </si>
  <si>
    <t>FAD-Z-147</t>
  </si>
  <si>
    <t>FAD-Z-148</t>
  </si>
  <si>
    <t>FAD-Z-152</t>
  </si>
  <si>
    <t>FAD-Z-153</t>
  </si>
  <si>
    <t>FAD-Z-155</t>
  </si>
  <si>
    <t>Zollernalb Klinikum Balingen</t>
  </si>
  <si>
    <t>FAD-Z-157</t>
  </si>
  <si>
    <t>FAD-Z-158</t>
  </si>
  <si>
    <t>FAD-Z-159</t>
  </si>
  <si>
    <t>FAD-Z-161</t>
  </si>
  <si>
    <t>FAD-Z-164</t>
  </si>
  <si>
    <t>FAD-Z-168</t>
  </si>
  <si>
    <t>FAD-Z-170</t>
  </si>
  <si>
    <t>FAD-Z-176</t>
  </si>
  <si>
    <t>ALB FILS KLINIKUM Göppingen</t>
  </si>
  <si>
    <t>FAD-Z-181</t>
  </si>
  <si>
    <t>FAD-Z-182</t>
  </si>
  <si>
    <t>FAD-Z-183</t>
  </si>
  <si>
    <t>FAD-Z-184</t>
  </si>
  <si>
    <t>FAD-Z-189</t>
  </si>
  <si>
    <t>FAD-Z-192</t>
  </si>
  <si>
    <t>FAD-Z-194</t>
  </si>
  <si>
    <t>FAD-Z-195</t>
  </si>
  <si>
    <t>FAD-Z-197</t>
  </si>
  <si>
    <t>FAD-Z-201</t>
  </si>
  <si>
    <t>GLG Werner Forßmann Klinikum Eberswalde</t>
  </si>
  <si>
    <t>FAD-Z-206</t>
  </si>
  <si>
    <t>FAD-Z-210-2</t>
  </si>
  <si>
    <t>FAD-Z-211</t>
  </si>
  <si>
    <t>FAD-Z-219</t>
  </si>
  <si>
    <t>FAD-Z-221</t>
  </si>
  <si>
    <t>FAD-Z-222</t>
  </si>
  <si>
    <t>Darmkrebszentrum an der Medizinischen Universität Lausitz- Carl Thiem | Cottbus</t>
  </si>
  <si>
    <t>Medizinische Universität Lausitz – Carl Thiem</t>
  </si>
  <si>
    <t>FAD-Z-238</t>
  </si>
  <si>
    <t>Darmkrebszentrum Lünen</t>
  </si>
  <si>
    <t>St. Marien Hospital Lünen</t>
  </si>
  <si>
    <t>FAD-Z-240</t>
  </si>
  <si>
    <t>FAD-Z-241</t>
  </si>
  <si>
    <t>Darmkrebszentrum der ViDia Christliche Kliniken Karlsruhe</t>
  </si>
  <si>
    <t>ViDia Christliche Kliniken Karlsruhe</t>
  </si>
  <si>
    <t>FAD-Z-246</t>
  </si>
  <si>
    <t>Darmkrebszentrum AGAPLESION KLINIKUM HAGEN</t>
  </si>
  <si>
    <t>AGAPLESION KLINIKUM HAGEN</t>
  </si>
  <si>
    <t>FAD-Z-253</t>
  </si>
  <si>
    <t>FAD-Z-258</t>
  </si>
  <si>
    <t>FAD-Z-260</t>
  </si>
  <si>
    <t>FAD-Z-262</t>
  </si>
  <si>
    <t>FAD-Z-263</t>
  </si>
  <si>
    <t>FAD-Z-266</t>
  </si>
  <si>
    <t>FAD-Z-268</t>
  </si>
  <si>
    <t>FAD-Z-269</t>
  </si>
  <si>
    <t>FAD-Z-272</t>
  </si>
  <si>
    <t>FAD-Z-275</t>
  </si>
  <si>
    <t>FAD-Z-279</t>
  </si>
  <si>
    <t>FAD-Z-282</t>
  </si>
  <si>
    <t>FAD-Z-289</t>
  </si>
  <si>
    <t>FAD-Z-290</t>
  </si>
  <si>
    <t>FAD-Z-292</t>
  </si>
  <si>
    <t>FAD-Z-294</t>
  </si>
  <si>
    <t>FAD-Z-299</t>
  </si>
  <si>
    <t>FAD-Z-301</t>
  </si>
  <si>
    <t>FAD-Z-309</t>
  </si>
  <si>
    <t>FAD-Z-317</t>
  </si>
  <si>
    <t>FAD-Z-320</t>
  </si>
  <si>
    <t>FAD-Z-323</t>
  </si>
  <si>
    <t>FAD-Z-328</t>
  </si>
  <si>
    <t>FAD-Z-329</t>
  </si>
  <si>
    <t>Cellitinnen-Krankenhaus St.Petrus</t>
  </si>
  <si>
    <t>FAD-Z-338</t>
  </si>
  <si>
    <t>FAD-Z-339</t>
  </si>
  <si>
    <t>FAD-Z-342</t>
  </si>
  <si>
    <t>FAD-Z-343</t>
  </si>
  <si>
    <t>FAD-Z-346</t>
  </si>
  <si>
    <t>FAD-Z-347</t>
  </si>
  <si>
    <t>FAD-Z-349</t>
  </si>
  <si>
    <t>FAD-Z-350</t>
  </si>
  <si>
    <t>FAD-Z-351</t>
  </si>
  <si>
    <t>FAD-Z-357</t>
  </si>
  <si>
    <t>FAD-Z-366</t>
  </si>
  <si>
    <t>FAD-Z-369</t>
  </si>
  <si>
    <t>FAD-Z-370</t>
  </si>
  <si>
    <t>FAD-Z-372</t>
  </si>
  <si>
    <t>FAD-Z-373</t>
  </si>
  <si>
    <t>FAD-Z-375</t>
  </si>
  <si>
    <t>FAD-Z-380</t>
  </si>
  <si>
    <t>FAD-Z-381</t>
  </si>
  <si>
    <t>FAD-Z-383</t>
  </si>
  <si>
    <t>Darmkrebszentrum MHG Gelsenkirchen</t>
  </si>
  <si>
    <t>Marienhospital Gelsenkirchen</t>
  </si>
  <si>
    <t>FAD-Z-386</t>
  </si>
  <si>
    <t>Märkisches Darmkrebszentrum Lüdenscheid</t>
  </si>
  <si>
    <t>Klinikum Lüdenscheid</t>
  </si>
  <si>
    <t>FAD-Z-387</t>
  </si>
  <si>
    <t>FAD-Z-388</t>
  </si>
  <si>
    <t>FAD-Z-389</t>
  </si>
  <si>
    <t>FAD-Z-390</t>
  </si>
  <si>
    <t>FAD-Z-391</t>
  </si>
  <si>
    <t>FAD-Z-392</t>
  </si>
  <si>
    <t>FAD-Z-393</t>
  </si>
  <si>
    <t>FAD-Z-394</t>
  </si>
  <si>
    <t>Darmkrebszentrum Rheinland Klinikum Neuss - Lukaskrankenhaus</t>
  </si>
  <si>
    <t>Rheinland Klinikum Neuss</t>
  </si>
  <si>
    <t>FAD-Z-396</t>
  </si>
  <si>
    <t>FAD-Z-397</t>
  </si>
  <si>
    <t>FAD-Z-398</t>
  </si>
  <si>
    <t>Darmkrebszentrum Thurgau am Kantonsspital Frauenfeld</t>
  </si>
  <si>
    <t>Kantonsspital Frauenfeld</t>
  </si>
  <si>
    <t>FAD-Z-400</t>
  </si>
  <si>
    <t>Darmkrebszentrum am Städtischen Klinikum Dessau</t>
  </si>
  <si>
    <t>Städtisches Klinikum Dessau</t>
  </si>
  <si>
    <t>FAD-Z-401</t>
  </si>
  <si>
    <t>Universitätskliniken Genf</t>
  </si>
  <si>
    <t>FAD-Z-402</t>
  </si>
  <si>
    <t>Dreifaltigkeits-Hospital Lippstadt</t>
  </si>
  <si>
    <t>FAD-Z-403</t>
  </si>
  <si>
    <t>Darmkrebszentrum Aurich</t>
  </si>
  <si>
    <t>Ubbo-Emmius-Klinik Aurich</t>
  </si>
  <si>
    <t>FAD-Z-405</t>
  </si>
  <si>
    <t>Darmkrebszentrum Euregio-Klinik Nordhorn</t>
  </si>
  <si>
    <t>EUREGIO-Klinik Nordhorn</t>
  </si>
  <si>
    <t xml:space="preserve">StudyBox Liste </t>
  </si>
  <si>
    <t>ABCSG C08 -Exercise II</t>
  </si>
  <si>
    <t>ABRIL-Studie</t>
  </si>
  <si>
    <t>ACO/ARO/AIO-18.2 (AIO-KRK-0319)</t>
  </si>
  <si>
    <t>AFORCE-1 (Albumin FunctiOn in eaRly CancEr)</t>
  </si>
  <si>
    <t>ANTIPASTO-1 (Pat. mit Lynch-Syndrom)</t>
  </si>
  <si>
    <t>ANTIPASTO-2 (familiäre adenomatöse Polyposis)</t>
  </si>
  <si>
    <t>ARMANI</t>
  </si>
  <si>
    <t>Ars Vivendi</t>
  </si>
  <si>
    <t>AZUR-1 (219369)</t>
  </si>
  <si>
    <t>AZUR-2 (219606)</t>
  </si>
  <si>
    <t>BactlmmCoR</t>
  </si>
  <si>
    <t>BERING CRC</t>
  </si>
  <si>
    <t>BNT000-001</t>
  </si>
  <si>
    <t>CIRCULATE (AIO-KRK-0217)</t>
  </si>
  <si>
    <t>COLOPREDICT PLUS 2.0</t>
  </si>
  <si>
    <t>COMPASS</t>
  </si>
  <si>
    <t>CoRDPI-Studie (PanDPI-Studie)</t>
  </si>
  <si>
    <t>CP DKZ LARS</t>
  </si>
  <si>
    <t>CpMCR</t>
  </si>
  <si>
    <t>Dragon 2</t>
  </si>
  <si>
    <t>ECHTER-001</t>
  </si>
  <si>
    <t>FIRE-8; 
AIO-KRK/YMO-0519</t>
  </si>
  <si>
    <t>FIRE-9 - PORT/ AIO-KRK-0418</t>
  </si>
  <si>
    <t>FrailtyStudy24</t>
  </si>
  <si>
    <t>FusoMetro-001</t>
  </si>
  <si>
    <t>GASTRY</t>
  </si>
  <si>
    <t>GMA-CRC</t>
  </si>
  <si>
    <t>GO42144</t>
  </si>
  <si>
    <t>GUIDE.MRD-01-CRC</t>
  </si>
  <si>
    <t>HOT-Gerät</t>
  </si>
  <si>
    <t>HULC</t>
  </si>
  <si>
    <t>IBDS-CRC</t>
  </si>
  <si>
    <t>Impact of physical activity on immune cell populations in cancer patients receiving immune checkpoint inhibitors (API)</t>
  </si>
  <si>
    <t>IMSUP</t>
  </si>
  <si>
    <t>IndiTREC (Individualized Treatment of Rectal Cancer)</t>
  </si>
  <si>
    <t>inTiva</t>
  </si>
  <si>
    <t>JUMP_START</t>
  </si>
  <si>
    <t>KISIMA-01</t>
  </si>
  <si>
    <t>LANA CARE</t>
  </si>
  <si>
    <t>Längenvergleichstudie</t>
  </si>
  <si>
    <t>lePRO</t>
  </si>
  <si>
    <t>Lipide in der Entstehung und Behandlung von humanen Darmerkrankungen - Lipide bei Darmerkrankungen</t>
  </si>
  <si>
    <t>LocLiv</t>
  </si>
  <si>
    <t>MAESTRO</t>
  </si>
  <si>
    <t>MALGAT</t>
  </si>
  <si>
    <t>MBR-Studie</t>
  </si>
  <si>
    <t>MEFOX (AIO-KRK-0119)</t>
  </si>
  <si>
    <t>MErkE</t>
  </si>
  <si>
    <t>Microbiome and Cancer Therapy</t>
  </si>
  <si>
    <t>MK-6598</t>
  </si>
  <si>
    <t>MK-9999-02A</t>
  </si>
  <si>
    <t>MOBIL-MD</t>
  </si>
  <si>
    <t>MTHFR</t>
  </si>
  <si>
    <t>Neocare</t>
  </si>
  <si>
    <t>Netzwerk Onkologie (NO-Studie)</t>
  </si>
  <si>
    <t>OnkoPat-LQ</t>
  </si>
  <si>
    <t>P.E.L.I.O.N. - Studie</t>
  </si>
  <si>
    <t>PEARL</t>
  </si>
  <si>
    <t>PEMREC study</t>
  </si>
  <si>
    <t>PRIMO</t>
  </si>
  <si>
    <t>PROMESH</t>
  </si>
  <si>
    <t>Prospektive HIPEC-Studie</t>
  </si>
  <si>
    <t>PROSPERITY</t>
  </si>
  <si>
    <t>Psychoonkologie</t>
  </si>
  <si>
    <t>PURPLE</t>
  </si>
  <si>
    <t>QoL-Cancer</t>
  </si>
  <si>
    <t>QS-mCRC</t>
  </si>
  <si>
    <t>RIP_CM</t>
  </si>
  <si>
    <t>SABR-COMET 10</t>
  </si>
  <si>
    <t>SELREC</t>
  </si>
  <si>
    <t>SEVTAR-Studie</t>
  </si>
  <si>
    <t>SOUND</t>
  </si>
  <si>
    <t>StOP? II trial</t>
  </si>
  <si>
    <t>T³riangle SARIFA</t>
  </si>
  <si>
    <t>TAK-676</t>
  </si>
  <si>
    <t>TIARA</t>
  </si>
  <si>
    <t>TransBioLine</t>
  </si>
  <si>
    <t>Translationale Immunologie-Studie</t>
  </si>
  <si>
    <t>Trophit1</t>
  </si>
  <si>
    <t>(Freitext)</t>
  </si>
  <si>
    <r>
      <rPr>
        <u/>
        <sz val="8"/>
        <color theme="1"/>
        <rFont val="Arial"/>
        <family val="2"/>
      </rPr>
      <t>Bearbeitungshinweis:</t>
    </r>
    <r>
      <rPr>
        <sz val="8"/>
        <color theme="1"/>
        <rFont val="Arial"/>
        <family val="2"/>
      </rPr>
      <t xml:space="preserve"> Sofern die Untersucher keine Untersuchungen im Betrachtungszeitraum durchgeführt haben, ist „0“ einzutragen.</t>
    </r>
  </si>
  <si>
    <r>
      <rPr>
        <u/>
        <sz val="8"/>
        <color theme="1"/>
        <rFont val="Arial"/>
        <family val="2"/>
      </rPr>
      <t>Bearbeitungshinweis:</t>
    </r>
    <r>
      <rPr>
        <sz val="8"/>
        <color theme="1"/>
        <rFont val="Arial"/>
        <family val="2"/>
      </rPr>
      <t xml:space="preserve"> Sofern die Operateure keine Operationen im Betrachtungszeitraum durchgeführt haben, ist „0“ einzutragen.</t>
    </r>
  </si>
  <si>
    <t>0352-2187</t>
  </si>
  <si>
    <t>BNT122-01</t>
  </si>
  <si>
    <t>BREAKWATER</t>
  </si>
  <si>
    <t>kp-acs-2</t>
  </si>
  <si>
    <t>LEONORA</t>
  </si>
  <si>
    <t>PIPCOCA-I</t>
  </si>
  <si>
    <t>STELLAR-303</t>
  </si>
  <si>
    <t>TATRA</t>
  </si>
  <si>
    <t>EDIUM</t>
  </si>
  <si>
    <t>iDa</t>
  </si>
  <si>
    <t>OUTLIVE CRC</t>
  </si>
  <si>
    <t>Oxa-Iri-Events</t>
  </si>
  <si>
    <t>Studie zur Standardisierung der laparoskopischen CME</t>
  </si>
  <si>
    <t>Anlage EB P1.1 (Auditjahr 2026 / Kennzahlenjahr 2025)</t>
  </si>
  <si>
    <t>Grundlage des Erhebungsbogens stellt die TNM – Klassifikation maligner Tumoren, 8. Auflage 2017 sowie die ICD-Klassifikation ICD-10-GM 2025 (BfArM) und die OPS-Klassifikation OPS 2025 (BfArM) dar.</t>
  </si>
  <si>
    <t>Stand 29.09.2025</t>
  </si>
  <si>
    <t>Clinic WinData</t>
  </si>
  <si>
    <t>D-Flow Onco (vormals OncoAssist)</t>
  </si>
  <si>
    <t>Primärfälle mit pos. Pat.fragebogen u./o. auffälliger IHC (MSH2/ MSH6/ PMS2 in 
&lt; 10% d. Tumorzellen positiv) u./o. MSI; bei MLH1 in &lt; 10% d. Tumorzellen u. BRAF-wt und Ausschluss MLH1-Promotormethylierung</t>
  </si>
  <si>
    <t>Auditjahr 2026 / Kennzahlenjahr 2025</t>
  </si>
  <si>
    <r>
      <t>2025</t>
    </r>
    <r>
      <rPr>
        <sz val="9"/>
        <rFont val="Arial"/>
        <family val="2"/>
      </rPr>
      <t xml:space="preserve"> </t>
    </r>
    <r>
      <rPr>
        <vertAlign val="superscript"/>
        <sz val="9"/>
        <rFont val="Arial"/>
        <family val="2"/>
      </rPr>
      <t>8)</t>
    </r>
  </si>
  <si>
    <t xml:space="preserve">      Ø Follow-Up Quote der Jahre 2021-2023</t>
  </si>
  <si>
    <r>
      <t xml:space="preserve">4)  </t>
    </r>
    <r>
      <rPr>
        <sz val="8"/>
        <rFont val="Arial"/>
        <family val="2"/>
      </rPr>
      <t>Die Daten müssen pat.bezogen rückverfolgbar sein. Es werden Follow-Up-Daten aus dem vorletzten Kalenderjahr vor dem Auditjahr betrachtet (Auditjahr 2026 =&gt; Follow-Up Daten aus dem Zeitraum 01.01.2024-31.12.2024).</t>
    </r>
  </si>
  <si>
    <t>Follow-Up Quote der Jahre 2021-2023</t>
  </si>
  <si>
    <t>Follow-Up Quote der Jahre 2021-2023 (positive Unplausibilität)</t>
  </si>
  <si>
    <t>2021-2023</t>
  </si>
  <si>
    <t xml:space="preserve">2025, </t>
  </si>
  <si>
    <t>2019,</t>
  </si>
  <si>
    <t>Elektive Rektum-OP's (ohne TVE)</t>
  </si>
  <si>
    <t>FAD-MF-001-2-V</t>
  </si>
  <si>
    <t>FAD-MF-001-3-V</t>
  </si>
  <si>
    <t>FAD-MF-002-V</t>
  </si>
  <si>
    <t>FAD-MF-003-1-V</t>
  </si>
  <si>
    <t>FAD-MF-003-3-V</t>
  </si>
  <si>
    <t>FAD-MF-007-V</t>
  </si>
  <si>
    <t>FAD-MF-009-V</t>
  </si>
  <si>
    <t>Darmzentrum der Ammerland-Klinik</t>
  </si>
  <si>
    <t>FAD-MF-010-V</t>
  </si>
  <si>
    <t>FAD-MF-013-V</t>
  </si>
  <si>
    <t>FAD-MF-018-V</t>
  </si>
  <si>
    <t>Alfried Krupp Krankenhaus Essen</t>
  </si>
  <si>
    <t>FAD-MF-022-V</t>
  </si>
  <si>
    <t>FAD-MF-023-V</t>
  </si>
  <si>
    <t>FAD-MF-027-V</t>
  </si>
  <si>
    <t>FAD-MF-031-V</t>
  </si>
  <si>
    <t>FAD-MF-032-V</t>
  </si>
  <si>
    <t>FAD-MF-033-V</t>
  </si>
  <si>
    <t>FAD-MF-037-V</t>
  </si>
  <si>
    <t>FAD-MF-040-V</t>
  </si>
  <si>
    <t>FAD-MF-043-V</t>
  </si>
  <si>
    <t>FAD-MF-044-V</t>
  </si>
  <si>
    <t>Darmkrebszentrum Coburg</t>
  </si>
  <si>
    <t>Sana Kliniken Oberfranken – Klinikum Coburg</t>
  </si>
  <si>
    <t>FAD-MF-046-V</t>
  </si>
  <si>
    <t>FAD-MF-047-V</t>
  </si>
  <si>
    <t>FAD-MF-048-V</t>
  </si>
  <si>
    <t>FAD-MF-052-V</t>
  </si>
  <si>
    <t>FAD-MF-055-V</t>
  </si>
  <si>
    <t>FAD-MF-060-V</t>
  </si>
  <si>
    <t>FAD-MF-063-V</t>
  </si>
  <si>
    <t>FAD-MF-064-V</t>
  </si>
  <si>
    <t>FAD-MF-067-V</t>
  </si>
  <si>
    <t>FAD-MF-068-V</t>
  </si>
  <si>
    <t>FAD-MF-070-V</t>
  </si>
  <si>
    <t>FAD-MF-071-V</t>
  </si>
  <si>
    <t>FAD-MF-072-V</t>
  </si>
  <si>
    <t>FAD-MF-074-V</t>
  </si>
  <si>
    <t>FAD-MF-076-V</t>
  </si>
  <si>
    <t>FAD-MF-083-V</t>
  </si>
  <si>
    <t>FAD-MF-087-V</t>
  </si>
  <si>
    <t>FAD-MF-090-V</t>
  </si>
  <si>
    <t>FAD-MF-091-V</t>
  </si>
  <si>
    <t>FAD-MF-093-V</t>
  </si>
  <si>
    <t>FAD-MF-096-V</t>
  </si>
  <si>
    <t>FAD-MF-097-V</t>
  </si>
  <si>
    <t>FAD-MF-098-V</t>
  </si>
  <si>
    <t>FAD-MF-099-V</t>
  </si>
  <si>
    <t>FAD-MF-101-V</t>
  </si>
  <si>
    <t>FAD-MF-103-V</t>
  </si>
  <si>
    <t>FAD-MF-106-V</t>
  </si>
  <si>
    <t>FAD-MF-107-V</t>
  </si>
  <si>
    <t>FAD-MF-108-V</t>
  </si>
  <si>
    <t>Universitätsmedizin Frankfurt</t>
  </si>
  <si>
    <t>FAD-MF-109-V</t>
  </si>
  <si>
    <t>FAD-MF-112-V</t>
  </si>
  <si>
    <t>FAD-MF-113-V</t>
  </si>
  <si>
    <t>FAD-MF-115-V</t>
  </si>
  <si>
    <t>FAD-MF-118-V</t>
  </si>
  <si>
    <t>Darmkrebszentrum Greifswald</t>
  </si>
  <si>
    <t>FAD-MF-121-V</t>
  </si>
  <si>
    <t>FAD-MF-122-V</t>
  </si>
  <si>
    <t>FAD-MF-123-V</t>
  </si>
  <si>
    <t>FAD-MF-126-V</t>
  </si>
  <si>
    <t>FAD-MF-131-V</t>
  </si>
  <si>
    <t>FAD-MF-133-V</t>
  </si>
  <si>
    <t>FAD-MF-135-V</t>
  </si>
  <si>
    <t>FAD-MF-137-V</t>
  </si>
  <si>
    <t>FAD-MF-139-V</t>
  </si>
  <si>
    <t>FAD-MF-141-V</t>
  </si>
  <si>
    <t>FAD-MF-142-V</t>
  </si>
  <si>
    <t>FAD-MF-144-V</t>
  </si>
  <si>
    <t>FAD-MF-149-V</t>
  </si>
  <si>
    <t>FAD-MF-150-V</t>
  </si>
  <si>
    <t>FAD-MF-154-V</t>
  </si>
  <si>
    <t>FAD-MF-160-V</t>
  </si>
  <si>
    <t>FAD-MF-162-V</t>
  </si>
  <si>
    <t>FAD-MF-167-V</t>
  </si>
  <si>
    <t>FAD-MF-173-V</t>
  </si>
  <si>
    <t>FAD-MF-174-V</t>
  </si>
  <si>
    <t>FAD-MF-175-V</t>
  </si>
  <si>
    <t>FAD-MF-177-V</t>
  </si>
  <si>
    <t>Darmkrebszentrum des ALB FILS KLINIKUMS</t>
  </si>
  <si>
    <t>FAD-MF-178-V</t>
  </si>
  <si>
    <t>FAD-MF-179-V</t>
  </si>
  <si>
    <t>FAD-MF-180-V</t>
  </si>
  <si>
    <t>FAD-MF-185-V</t>
  </si>
  <si>
    <t>FAD-MF-186-V</t>
  </si>
  <si>
    <t>FAD-MF-187-V</t>
  </si>
  <si>
    <t>FAD-MF-190-V</t>
  </si>
  <si>
    <t>FAD-MF-191-V</t>
  </si>
  <si>
    <t>FAD-MF-196-V</t>
  </si>
  <si>
    <t>FAD-MF-198-V</t>
  </si>
  <si>
    <t>FAD-MF-202-V</t>
  </si>
  <si>
    <t>Darmkrebszentrum Nordostbrandenburg am GLG Werner Forßmann Klinikum Eberswalde</t>
  </si>
  <si>
    <t>FAD-MF-205-V</t>
  </si>
  <si>
    <t>FAD-MF-210-1-V</t>
  </si>
  <si>
    <t>FAD-MF-214-V</t>
  </si>
  <si>
    <t>FAD-MF-215-V</t>
  </si>
  <si>
    <t>FAD-MF-216-V</t>
  </si>
  <si>
    <t>FAD-MF-217-V</t>
  </si>
  <si>
    <t>FAD-MF-220-V</t>
  </si>
  <si>
    <t>FAD-MF-223-V</t>
  </si>
  <si>
    <t>FAD-MF-224-V</t>
  </si>
  <si>
    <t>FAD-MF-225-V</t>
  </si>
  <si>
    <t>FAD-MF-226-V</t>
  </si>
  <si>
    <t>FAD-MF-227-V</t>
  </si>
  <si>
    <t>FAD-MF-228-V</t>
  </si>
  <si>
    <t>FAD-MF-230-V</t>
  </si>
  <si>
    <t>FAD-MF-231-V</t>
  </si>
  <si>
    <t>FAD-MF-232-V</t>
  </si>
  <si>
    <t>FAD-MF-233-V</t>
  </si>
  <si>
    <t>FAD-MF-234-V</t>
  </si>
  <si>
    <t>FAD-MF-235-V</t>
  </si>
  <si>
    <t>FAD-MF-237-V</t>
  </si>
  <si>
    <t>FAD-MF-239-V</t>
  </si>
  <si>
    <t>Darmkrebszentrum am Christlichen Klinikum Paderborn</t>
  </si>
  <si>
    <t>Christliches Klinikum Paderborn</t>
  </si>
  <si>
    <t>FAD-MF-243-V</t>
  </si>
  <si>
    <t>FAD-MF-244-V</t>
  </si>
  <si>
    <t>FAD-MF-245-V</t>
  </si>
  <si>
    <t>FAD-MF-248-V</t>
  </si>
  <si>
    <t>FAD-MF-250-V</t>
  </si>
  <si>
    <t>FAD-MF-251-V</t>
  </si>
  <si>
    <t>FAD-MF-255-V</t>
  </si>
  <si>
    <t>Klinikverbund Allgäu gGmbH – Klinikum Kempten</t>
  </si>
  <si>
    <t>FAD-MF-256-V</t>
  </si>
  <si>
    <t>FAD-MF-257-V</t>
  </si>
  <si>
    <t>FAD-MF-259-V</t>
  </si>
  <si>
    <t>FAD-MF-264-V</t>
  </si>
  <si>
    <t>FAD-MF-265-V</t>
  </si>
  <si>
    <t>FAD-MF-267-V</t>
  </si>
  <si>
    <t>FAD-MF-271-V</t>
  </si>
  <si>
    <t>FAD-MF-273-V</t>
  </si>
  <si>
    <t>FAD-MF-274-V</t>
  </si>
  <si>
    <t>Darmkrebszentrum Sana-Bethesda Duisburg</t>
  </si>
  <si>
    <t>FAD-MF-276-V</t>
  </si>
  <si>
    <t>FAD-MF-281-V</t>
  </si>
  <si>
    <t>FAD-MF-283-V</t>
  </si>
  <si>
    <t>FAD-MF-284-V</t>
  </si>
  <si>
    <t>FAD-MF-287-V</t>
  </si>
  <si>
    <t>FAD-MF-288-V</t>
  </si>
  <si>
    <t>Interdisziplinäres Darmzentrum am TUM Universitätsklinikum, Klinikum rechts der Isar</t>
  </si>
  <si>
    <t>TUM Klinikum Rechts der Isar</t>
  </si>
  <si>
    <t>FAD-MF-293-V</t>
  </si>
  <si>
    <t>FAD-MF-295-V</t>
  </si>
  <si>
    <t>FAD-MF-296-V</t>
  </si>
  <si>
    <t>FAD-MF-297-V</t>
  </si>
  <si>
    <t>FAD-MF-298-V</t>
  </si>
  <si>
    <t>FAD-MF-300-V</t>
  </si>
  <si>
    <t>FAD-MF-302-V</t>
  </si>
  <si>
    <t>FAD-MF-303-V</t>
  </si>
  <si>
    <t>FAD-MF-304-V</t>
  </si>
  <si>
    <t>FAD-MF-305-V</t>
  </si>
  <si>
    <t>FAD-MF-306-V</t>
  </si>
  <si>
    <t>FAD-MF-307-V</t>
  </si>
  <si>
    <t>FAD-MF-308-V</t>
  </si>
  <si>
    <t>FAD-MF-310-V</t>
  </si>
  <si>
    <t>FAD-MF-311-V</t>
  </si>
  <si>
    <t>FAD-MF-312-V</t>
  </si>
  <si>
    <t>FAD-MF-313-V</t>
  </si>
  <si>
    <t>FAD-MF-321-V</t>
  </si>
  <si>
    <t>FAD-MF-324-V</t>
  </si>
  <si>
    <t>FAD-MF-325-V</t>
  </si>
  <si>
    <t>FAD-MF-326-V</t>
  </si>
  <si>
    <t>FAD-MF-327-V</t>
  </si>
  <si>
    <t>FAD-MF-330-V</t>
  </si>
  <si>
    <t>FAD-MF-331-V</t>
  </si>
  <si>
    <t>FAD-MF-332-V</t>
  </si>
  <si>
    <t>FAD-MF-334-V</t>
  </si>
  <si>
    <t>FAD-MF-336-V</t>
  </si>
  <si>
    <t>FAD-MF-337-V</t>
  </si>
  <si>
    <t>FAD-MF-340-V</t>
  </si>
  <si>
    <t>FAD-MF-341-V</t>
  </si>
  <si>
    <t>FAD-MF-345-V</t>
  </si>
  <si>
    <t>FAD-MF-348-V</t>
  </si>
  <si>
    <t>FAD-MF-352-V</t>
  </si>
  <si>
    <t>FAD-MF-354-V</t>
  </si>
  <si>
    <t>FAD-MF-355-V</t>
  </si>
  <si>
    <t>FAD-MF-362-V</t>
  </si>
  <si>
    <t>FAD-MF-363-V</t>
  </si>
  <si>
    <t>FAD-MF-365-V</t>
  </si>
  <si>
    <t>FAD-MF-371-V</t>
  </si>
  <si>
    <t>FAD-MF-374-V</t>
  </si>
  <si>
    <t>Universitätsklinikum Heidelberg</t>
  </si>
  <si>
    <t>FAD-MF-376-V</t>
  </si>
  <si>
    <t>FAD-MF-377-V</t>
  </si>
  <si>
    <t>FAD-MF-378-V</t>
  </si>
  <si>
    <t>FAD-MF-382-V</t>
  </si>
  <si>
    <t>FAD-MF-384-V</t>
  </si>
  <si>
    <t>FAD-MF-395-V</t>
  </si>
  <si>
    <t>FAD-MF-404-V</t>
  </si>
  <si>
    <t>Darmkrebszentrum Asklepios Klinik Nord - Heidberg</t>
  </si>
  <si>
    <t>Asklepios Klinik Nord - Heidberg</t>
  </si>
  <si>
    <t>FAD-MF-406-V</t>
  </si>
  <si>
    <t>Darmkrebszentrum am Universitätsklinikum des Saarlandes</t>
  </si>
  <si>
    <t>Universitätsklinikum des Saarlandes</t>
  </si>
  <si>
    <t>FAD-MF-407-V</t>
  </si>
  <si>
    <t>Darmkrebszentrum des Tumorzentrums Südostschweiz am Kantonsspital Graubünden</t>
  </si>
  <si>
    <t>Kantonsspital Graubünden</t>
  </si>
  <si>
    <t>FAD-MF-409-V</t>
  </si>
  <si>
    <t>Darmkrebszentrum Helios Hanseklinikum Stralsund</t>
  </si>
  <si>
    <t>Helios Hanseklinikum Stralsund</t>
  </si>
  <si>
    <t>Knappschaft Kliniken Westfalen</t>
  </si>
  <si>
    <t>FAD-Z-015</t>
  </si>
  <si>
    <t>FAD-Z-019</t>
  </si>
  <si>
    <t>Hamburger Darmzentrum am AGAPLESION DIAKONIEKLINIKUM HAMBURG</t>
  </si>
  <si>
    <t>GFO Kliniken Südwestfalen, St. Martinus- Hospital Olpe</t>
  </si>
  <si>
    <t>FAD-Z-065</t>
  </si>
  <si>
    <t>Darmkrebszentrum Nahe - Diakonie Kliniken Bad Kreuznach, Standort Mühlenstraße</t>
  </si>
  <si>
    <t>Diakonie Kliniken Bad Kreuznach, Standort Mühlenstraße</t>
  </si>
  <si>
    <t>FAD-Z-086</t>
  </si>
  <si>
    <t>Darmkrebszentrum Diako Halle</t>
  </si>
  <si>
    <t>Diakoniekrankenhaus Halle</t>
  </si>
  <si>
    <t>FAD-Z-110</t>
  </si>
  <si>
    <t>Darmkrebszentrum Marien-Hospital Marl</t>
  </si>
  <si>
    <t>Marien-Hospital Marl</t>
  </si>
  <si>
    <t>Ordenskliniken München-Passau gGmbH, Standort Klinikum Dritter Orden München-Nymphenburg</t>
  </si>
  <si>
    <t>St. Vincenz-Kliniken Paderborn</t>
  </si>
  <si>
    <t>FAD-Z-136</t>
  </si>
  <si>
    <t>Darmzentrum Sigmaringen</t>
  </si>
  <si>
    <t>SRH Krankenhaus Sigmaringen</t>
  </si>
  <si>
    <t>FAD-Z-166</t>
  </si>
  <si>
    <t>Krankenhaus Martha-Maria St. Theresien Nürnberg, Standort Martha-Maria</t>
  </si>
  <si>
    <t>FAD-Z-242</t>
  </si>
  <si>
    <t>Darmkrebszentrum St. Bernhard-Hospital Kamp-Lintfort</t>
  </si>
  <si>
    <t>St. Bernhard-Hospital Kamp-Lintfort</t>
  </si>
  <si>
    <t>FAD-Z-247</t>
  </si>
  <si>
    <t>Darmkrebszentrum am Sankt Elisabeth Hospital Gütersloh</t>
  </si>
  <si>
    <t>Sankt Elisabeth Hospital Gütersloh</t>
  </si>
  <si>
    <t>Alexianer Sankt Gertrauden-Krankenhaus Berlin</t>
  </si>
  <si>
    <t>FAD-Z-270</t>
  </si>
  <si>
    <t>Darmkrebszentrum Luisenhospital Aachen</t>
  </si>
  <si>
    <t>Luisenhospital Aachen</t>
  </si>
  <si>
    <t>FAD-Z-278</t>
  </si>
  <si>
    <t>Darmkrebszentrum Havelhöhe Berlin</t>
  </si>
  <si>
    <t>Gemeinschaftskrankenhaus Havelhöhe</t>
  </si>
  <si>
    <t>FAD-Z-280</t>
  </si>
  <si>
    <t>Darmkrebszentrum am Südharz Klinikum Nordhausen</t>
  </si>
  <si>
    <t>Südharz Klinikum Nordhausen</t>
  </si>
  <si>
    <t>Darmkrebszentrum am Brüderklinikum Julia Lanz – Diako Mannheim</t>
  </si>
  <si>
    <t>Brüderklinikum Julia Lanz, Standort Diako</t>
  </si>
  <si>
    <t>Darmkrebszentrum am Krankenhaus St. Petrus Wuppertal</t>
  </si>
  <si>
    <t>Darmkrebszentrum Bad Salzungen</t>
  </si>
  <si>
    <t>Darmkrebszentrum Mathias-Spital Rheine</t>
  </si>
  <si>
    <t>Darmkrebszentrum der GFO Kliniken Rhein-Berg am Vinzenz Pallotti Hospital Bensberg</t>
  </si>
  <si>
    <t>Vinzenz Pallotti Hospital Bensberg</t>
  </si>
  <si>
    <t>FAD-Z-367</t>
  </si>
  <si>
    <t>Centre du cancer colorectal des Hôpitaux Universitaires de Genève</t>
  </si>
  <si>
    <t>Darmkrebszentrum Lippstadt am Dreifaltigkeits-Hospital</t>
  </si>
  <si>
    <t>FAD-Z-408</t>
  </si>
  <si>
    <t>Centro Tumore Colon-retto della Svizzera Italiana, Ente Ospedaliero Cantonale, Lugano</t>
  </si>
  <si>
    <t>Ospedale Regionale di Lugano</t>
  </si>
  <si>
    <t>FAD-Z-410</t>
  </si>
  <si>
    <t>Darmkrebszentrum Diakonie Freiburg</t>
  </si>
  <si>
    <t>Evangelisches Diakoniekrankenhaus Freiburg</t>
  </si>
  <si>
    <t>FAD-Z-411</t>
  </si>
  <si>
    <t>Darmkrebszentrum Klinikum Starnberg</t>
  </si>
  <si>
    <t>Klinikum Starnberg</t>
  </si>
  <si>
    <t>FAD-Z-412</t>
  </si>
  <si>
    <t>Interdisziplinäres Darmkrebszentrum Caritas-Klinik Maria Heimsuchung Berlin-Pankow</t>
  </si>
  <si>
    <t>Caritas-Klinik Maria Heimsuchung</t>
  </si>
  <si>
    <t>FAD-Z-413</t>
  </si>
  <si>
    <t>Darmkrebszentrum Märkisch-Oderland am Krankenhaus Strausberg</t>
  </si>
  <si>
    <t>Krankenhaus Märkisch-Oderland</t>
  </si>
  <si>
    <t>FAD-Z-415</t>
  </si>
  <si>
    <t>Darmkrebszentrum im Klinikum Bremerhaven Reinkenheide</t>
  </si>
  <si>
    <t>Klinikum Bremerhaven Reinkenheide</t>
  </si>
  <si>
    <t>FAD-Z-417</t>
  </si>
  <si>
    <t>Darmkrebszentrum Diakonie Klinikum Siegen</t>
  </si>
  <si>
    <t>Diakonie Klinikum Siegen</t>
  </si>
  <si>
    <t>Stand 11.11.2025</t>
  </si>
  <si>
    <t>AZUR-4  (222892)</t>
  </si>
  <si>
    <t>CARE-INSIGHTS</t>
  </si>
  <si>
    <t>CRC-PREP</t>
  </si>
  <si>
    <t>EndoTEM</t>
  </si>
  <si>
    <t>ISCA-CHECK</t>
  </si>
  <si>
    <t>KRK 01</t>
  </si>
  <si>
    <t>LARS Austria</t>
  </si>
  <si>
    <t>Liquid Biopsy bei Darmkrebspatienten</t>
  </si>
  <si>
    <t>MK-1022-011</t>
  </si>
  <si>
    <t>MOUNTAINEER-03</t>
  </si>
  <si>
    <t>MOVE-ON(KO)</t>
  </si>
  <si>
    <t>MVX-ONCO-2</t>
  </si>
  <si>
    <t>OncoXR</t>
  </si>
  <si>
    <t>ORACLE</t>
  </si>
  <si>
    <t>PreReC</t>
  </si>
  <si>
    <t>PRORHEM</t>
  </si>
  <si>
    <t>ProSed4-Studie</t>
  </si>
  <si>
    <t>ReBaVeCo</t>
  </si>
  <si>
    <t>SIBYL</t>
  </si>
  <si>
    <t>SMART RESECT</t>
  </si>
  <si>
    <t>STELLA</t>
  </si>
  <si>
    <t>The AMBeR eRehab study</t>
  </si>
  <si>
    <t>Thresholds-Studie</t>
  </si>
  <si>
    <t>THUR-CARL</t>
  </si>
  <si>
    <t>Stand 12.11.2025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</si>
</sst>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0.0"/>
    <numFmt numFmtId="166" formatCode="0.000%"/>
  </numFmts>
  <fonts count="143" x14ac:knownFonts="1">
    <font>
      <sz val="11"/>
      <color theme="1"/>
      <name val="Calibri"/>
      <family val="2"/>
      <scheme val="minor"/>
    </font>
    <font>
      <sz val="11"/>
      <color indexed="8"/>
      <name val="Calibri"/>
      <family val="2"/>
    </font>
    <font>
      <sz val="11"/>
      <color indexed="8"/>
      <name val="Calibri"/>
      <family val="2"/>
    </font>
    <font>
      <sz val="10"/>
      <name val="Arial"/>
      <family val="2"/>
    </font>
    <font>
      <b/>
      <sz val="10"/>
      <name val="Arial"/>
      <family val="2"/>
    </font>
    <font>
      <sz val="10"/>
      <color indexed="10"/>
      <name val="Arial"/>
      <family val="2"/>
    </font>
    <font>
      <sz val="10"/>
      <color indexed="12"/>
      <name val="Arial"/>
      <family val="2"/>
    </font>
    <font>
      <sz val="8"/>
      <name val="Arial"/>
      <family val="2"/>
    </font>
    <font>
      <b/>
      <sz val="8"/>
      <name val="Arial"/>
      <family val="2"/>
    </font>
    <font>
      <vertAlign val="superscript"/>
      <sz val="8"/>
      <name val="Arial"/>
      <family val="2"/>
    </font>
    <font>
      <sz val="7"/>
      <name val="Arial"/>
      <family val="2"/>
    </font>
    <font>
      <b/>
      <sz val="9"/>
      <name val="Arial"/>
      <family val="2"/>
    </font>
    <font>
      <sz val="11"/>
      <color indexed="8"/>
      <name val="Calibri"/>
      <family val="2"/>
    </font>
    <font>
      <b/>
      <sz val="11"/>
      <color indexed="8"/>
      <name val="Calibri"/>
      <family val="2"/>
    </font>
    <font>
      <sz val="8"/>
      <color indexed="8"/>
      <name val="Arial"/>
      <family val="2"/>
    </font>
    <font>
      <b/>
      <sz val="10"/>
      <color indexed="8"/>
      <name val="Arial"/>
      <family val="2"/>
    </font>
    <font>
      <sz val="10"/>
      <color indexed="8"/>
      <name val="Arial"/>
      <family val="2"/>
    </font>
    <font>
      <sz val="8"/>
      <color indexed="8"/>
      <name val="Calibri"/>
      <family val="2"/>
    </font>
    <font>
      <sz val="9"/>
      <name val="Arial"/>
      <family val="2"/>
    </font>
    <font>
      <sz val="11"/>
      <color indexed="8"/>
      <name val="Arial"/>
      <family val="2"/>
    </font>
    <font>
      <sz val="11"/>
      <color indexed="9"/>
      <name val="Arial"/>
      <family val="2"/>
    </font>
    <font>
      <sz val="11"/>
      <name val="Arial"/>
      <family val="2"/>
    </font>
    <font>
      <b/>
      <sz val="11"/>
      <color indexed="8"/>
      <name val="Arial"/>
      <family val="2"/>
    </font>
    <font>
      <sz val="9"/>
      <color indexed="8"/>
      <name val="Arial"/>
      <family val="2"/>
    </font>
    <font>
      <b/>
      <sz val="13"/>
      <color indexed="8"/>
      <name val="Arial"/>
      <family val="2"/>
    </font>
    <font>
      <sz val="7"/>
      <color indexed="8"/>
      <name val="Arial"/>
      <family val="2"/>
    </font>
    <font>
      <b/>
      <sz val="8"/>
      <color indexed="8"/>
      <name val="Arial"/>
      <family val="2"/>
    </font>
    <font>
      <sz val="10"/>
      <color indexed="9"/>
      <name val="Arial"/>
      <family val="2"/>
    </font>
    <font>
      <sz val="11"/>
      <color indexed="8"/>
      <name val="Calibri"/>
      <family val="2"/>
    </font>
    <font>
      <b/>
      <sz val="9"/>
      <color indexed="8"/>
      <name val="Arial"/>
      <family val="2"/>
    </font>
    <font>
      <b/>
      <sz val="12"/>
      <color indexed="8"/>
      <name val="Arial"/>
      <family val="2"/>
    </font>
    <font>
      <sz val="6"/>
      <color indexed="8"/>
      <name val="Arial"/>
      <family val="2"/>
    </font>
    <font>
      <sz val="6"/>
      <name val="Arial"/>
      <family val="2"/>
    </font>
    <font>
      <sz val="9"/>
      <color indexed="81"/>
      <name val="Arial"/>
      <family val="2"/>
    </font>
    <font>
      <sz val="11"/>
      <color indexed="8"/>
      <name val="Calibri"/>
      <family val="2"/>
    </font>
    <font>
      <sz val="11"/>
      <color indexed="10"/>
      <name val="Arial"/>
      <family val="2"/>
    </font>
    <font>
      <b/>
      <sz val="18"/>
      <color indexed="56"/>
      <name val="Cambria"/>
      <family val="2"/>
    </font>
    <font>
      <b/>
      <sz val="15"/>
      <color indexed="56"/>
      <name val="Calibri"/>
      <family val="2"/>
    </font>
    <font>
      <b/>
      <sz val="11"/>
      <color indexed="56"/>
      <name val="Calibri"/>
      <family val="2"/>
    </font>
    <font>
      <sz val="11"/>
      <color indexed="10"/>
      <name val="Calibri"/>
      <family val="2"/>
    </font>
    <font>
      <b/>
      <sz val="13"/>
      <color indexed="56"/>
      <name val="Calibri"/>
      <family val="2"/>
    </font>
    <font>
      <b/>
      <sz val="14"/>
      <color indexed="53"/>
      <name val="Arial"/>
      <family val="2"/>
    </font>
    <font>
      <sz val="8"/>
      <color indexed="81"/>
      <name val="Arial"/>
      <family val="2"/>
    </font>
    <font>
      <b/>
      <sz val="8"/>
      <color indexed="8"/>
      <name val="Calibri"/>
      <family val="2"/>
    </font>
    <font>
      <b/>
      <u/>
      <sz val="8"/>
      <color indexed="8"/>
      <name val="Arial"/>
      <family val="2"/>
    </font>
    <font>
      <sz val="8"/>
      <color indexed="9"/>
      <name val="Arial"/>
      <family val="2"/>
    </font>
    <font>
      <sz val="11"/>
      <color indexed="9"/>
      <name val="Calibri"/>
      <family val="2"/>
    </font>
    <font>
      <b/>
      <sz val="11"/>
      <color indexed="63"/>
      <name val="Calibri"/>
      <family val="2"/>
    </font>
    <font>
      <b/>
      <sz val="11"/>
      <color indexed="52"/>
      <name val="Calibri"/>
      <family val="2"/>
    </font>
    <font>
      <sz val="11"/>
      <color indexed="62"/>
      <name val="Calibri"/>
      <family val="2"/>
    </font>
    <font>
      <i/>
      <sz val="11"/>
      <color indexed="23"/>
      <name val="Calibri"/>
      <family val="2"/>
    </font>
    <font>
      <sz val="11"/>
      <color indexed="17"/>
      <name val="Calibri"/>
      <family val="2"/>
    </font>
    <font>
      <sz val="11"/>
      <color indexed="20"/>
      <name val="Calibri"/>
      <family val="2"/>
    </font>
    <font>
      <sz val="11"/>
      <color indexed="52"/>
      <name val="Calibri"/>
      <family val="2"/>
    </font>
    <font>
      <b/>
      <sz val="11"/>
      <color indexed="9"/>
      <name val="Calibri"/>
      <family val="2"/>
    </font>
    <font>
      <sz val="11"/>
      <color indexed="23"/>
      <name val="Arial"/>
      <family val="2"/>
    </font>
    <font>
      <sz val="8"/>
      <name val="Arial Narrow"/>
      <family val="2"/>
    </font>
    <font>
      <b/>
      <sz val="8"/>
      <color indexed="8"/>
      <name val="Arial Narrow"/>
      <family val="2"/>
    </font>
    <font>
      <sz val="8"/>
      <color indexed="8"/>
      <name val="Arial Narrow"/>
      <family val="2"/>
    </font>
    <font>
      <sz val="11"/>
      <color indexed="8"/>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8"/>
      <color indexed="8"/>
      <name val="Calibri"/>
      <family val="2"/>
    </font>
    <font>
      <b/>
      <sz val="18"/>
      <color indexed="62"/>
      <name val="Cambria"/>
      <family val="2"/>
    </font>
    <font>
      <sz val="11"/>
      <color indexed="53"/>
      <name val="Calibri"/>
      <family val="2"/>
    </font>
    <font>
      <b/>
      <sz val="10"/>
      <color indexed="53"/>
      <name val="Arial"/>
      <family val="2"/>
    </font>
    <font>
      <sz val="10"/>
      <color indexed="8"/>
      <name val="Arial"/>
      <family val="2"/>
    </font>
    <font>
      <sz val="9"/>
      <color indexed="8"/>
      <name val="Arial"/>
      <family val="2"/>
    </font>
    <font>
      <sz val="8"/>
      <color indexed="8"/>
      <name val="Arial"/>
      <family val="2"/>
    </font>
    <font>
      <sz val="11"/>
      <color indexed="8"/>
      <name val="Arial"/>
      <family val="2"/>
    </font>
    <font>
      <b/>
      <sz val="9"/>
      <color indexed="8"/>
      <name val="Arial"/>
      <family val="2"/>
    </font>
    <font>
      <b/>
      <sz val="8"/>
      <color indexed="8"/>
      <name val="Arial"/>
      <family val="2"/>
    </font>
    <font>
      <b/>
      <sz val="10"/>
      <color indexed="8"/>
      <name val="Arial"/>
      <family val="2"/>
    </font>
    <font>
      <b/>
      <sz val="8"/>
      <color indexed="53"/>
      <name val="Arial"/>
      <family val="2"/>
    </font>
    <font>
      <sz val="8"/>
      <color indexed="53"/>
      <name val="Arial"/>
      <family val="2"/>
    </font>
    <font>
      <sz val="6"/>
      <color indexed="8"/>
      <name val="Arial"/>
      <family val="2"/>
    </font>
    <font>
      <sz val="6"/>
      <color indexed="8"/>
      <name val="Calibri"/>
      <family val="2"/>
    </font>
    <font>
      <sz val="8"/>
      <color indexed="8"/>
      <name val="Arial Narrow"/>
      <family val="2"/>
    </font>
    <font>
      <b/>
      <sz val="8"/>
      <color indexed="8"/>
      <name val="Arial Narrow"/>
      <family val="2"/>
    </font>
    <font>
      <sz val="8"/>
      <name val="Calibri"/>
      <family val="2"/>
    </font>
    <font>
      <sz val="6"/>
      <name val="Calibri"/>
      <family val="2"/>
    </font>
    <font>
      <sz val="9"/>
      <color indexed="8"/>
      <name val="Calibri"/>
      <family val="2"/>
    </font>
    <font>
      <sz val="8"/>
      <color indexed="30"/>
      <name val="Arial"/>
      <family val="2"/>
    </font>
    <font>
      <sz val="11"/>
      <color indexed="30"/>
      <name val="Arial"/>
      <family val="2"/>
    </font>
    <font>
      <b/>
      <sz val="11"/>
      <color indexed="8"/>
      <name val="Arial"/>
      <family val="2"/>
    </font>
    <font>
      <sz val="11"/>
      <color theme="1"/>
      <name val="Calibri"/>
      <family val="2"/>
      <scheme val="minor"/>
    </font>
    <font>
      <sz val="11"/>
      <color theme="0"/>
      <name val="Calibri"/>
      <family val="2"/>
      <scheme val="minor"/>
    </font>
    <font>
      <b/>
      <sz val="11"/>
      <color rgb="FF3F3F3F"/>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sz val="11"/>
      <color rgb="FF3F3F76"/>
      <name val="Calibri"/>
      <family val="2"/>
      <scheme val="minor"/>
    </font>
    <font>
      <b/>
      <sz val="11"/>
      <color theme="1"/>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FA7D00"/>
      <name val="Calibri"/>
      <family val="2"/>
      <scheme val="minor"/>
    </font>
    <font>
      <sz val="11"/>
      <color rgb="FF9C6500"/>
      <name val="Calibri"/>
      <family val="2"/>
      <scheme val="minor"/>
    </font>
    <font>
      <sz val="8"/>
      <color theme="1"/>
      <name val="Calibri"/>
      <family val="2"/>
      <scheme val="minor"/>
    </font>
    <font>
      <b/>
      <sz val="18"/>
      <color theme="3"/>
      <name val="Cambria"/>
      <family val="2"/>
      <scheme val="major"/>
    </font>
    <font>
      <sz val="11"/>
      <color rgb="FFFF0000"/>
      <name val="Calibri"/>
      <family val="2"/>
      <scheme val="minor"/>
    </font>
    <font>
      <sz val="11"/>
      <color rgb="FFFF0000"/>
      <name val="Calibri"/>
      <family val="2"/>
    </font>
    <font>
      <sz val="11"/>
      <color rgb="FFFF0000"/>
      <name val="Arial"/>
      <family val="2"/>
    </font>
    <font>
      <sz val="8"/>
      <color rgb="FFFF0000"/>
      <name val="Arial"/>
      <family val="2"/>
    </font>
    <font>
      <sz val="9"/>
      <color rgb="FFFF0000"/>
      <name val="Arial"/>
      <family val="2"/>
    </font>
    <font>
      <sz val="8"/>
      <color theme="1"/>
      <name val="Arial"/>
      <family val="2"/>
    </font>
    <font>
      <sz val="6"/>
      <color theme="1"/>
      <name val="Arial"/>
      <family val="2"/>
    </font>
    <font>
      <sz val="8"/>
      <color theme="1"/>
      <name val="Calibri"/>
      <family val="2"/>
    </font>
    <font>
      <sz val="8"/>
      <color theme="1"/>
      <name val="Arial Narrow"/>
      <family val="2"/>
    </font>
    <font>
      <b/>
      <sz val="8"/>
      <color theme="1"/>
      <name val="Arial"/>
      <family val="2"/>
    </font>
    <font>
      <sz val="9"/>
      <color theme="1"/>
      <name val="Arial"/>
      <family val="2"/>
    </font>
    <font>
      <sz val="11"/>
      <color theme="1"/>
      <name val="Calibri"/>
      <family val="2"/>
    </font>
    <font>
      <sz val="6"/>
      <color theme="1"/>
      <name val="Calibri"/>
      <family val="2"/>
    </font>
    <font>
      <b/>
      <sz val="9"/>
      <color theme="1"/>
      <name val="Arial"/>
      <family val="2"/>
    </font>
    <font>
      <vertAlign val="superscript"/>
      <sz val="8"/>
      <color rgb="FFFF0000"/>
      <name val="Arial"/>
      <family val="2"/>
    </font>
    <font>
      <vertAlign val="superscript"/>
      <sz val="9"/>
      <name val="Arial"/>
      <family val="2"/>
    </font>
    <font>
      <b/>
      <sz val="9"/>
      <color indexed="81"/>
      <name val="Arial"/>
      <family val="2"/>
    </font>
    <font>
      <sz val="8"/>
      <color indexed="23"/>
      <name val="Arial"/>
      <family val="2"/>
    </font>
    <font>
      <sz val="11"/>
      <color indexed="8"/>
      <name val="Arial"/>
      <family val="2"/>
    </font>
    <font>
      <sz val="11"/>
      <color theme="1"/>
      <name val="Calibri"/>
      <family val="2"/>
      <scheme val="minor"/>
    </font>
    <font>
      <b/>
      <sz val="10"/>
      <color indexed="8"/>
      <name val="Arial"/>
      <family val="2"/>
    </font>
    <font>
      <sz val="9"/>
      <name val="Arial"/>
      <family val="2"/>
    </font>
    <font>
      <b/>
      <sz val="9"/>
      <name val="Arial"/>
      <family val="2"/>
    </font>
    <font>
      <b/>
      <sz val="8"/>
      <name val="Arial"/>
      <family val="2"/>
    </font>
    <font>
      <sz val="9"/>
      <color indexed="8"/>
      <name val="Arial"/>
      <family val="2"/>
    </font>
    <font>
      <sz val="8"/>
      <name val="Arial"/>
      <family val="2"/>
    </font>
    <font>
      <sz val="8"/>
      <color theme="1"/>
      <name val="Arial"/>
      <family val="2"/>
    </font>
    <font>
      <sz val="11"/>
      <color theme="1"/>
      <name val="Arial"/>
      <family val="2"/>
    </font>
    <font>
      <b/>
      <sz val="10"/>
      <color indexed="8"/>
      <name val="Arial"/>
      <family val="2"/>
    </font>
    <font>
      <sz val="11"/>
      <color theme="1"/>
      <name val="Calibri"/>
      <family val="2"/>
      <scheme val="minor"/>
    </font>
    <font>
      <sz val="10"/>
      <color theme="1"/>
      <name val="Arial"/>
      <family val="2"/>
    </font>
    <font>
      <sz val="10"/>
      <color indexed="8"/>
      <name val="Arial"/>
      <family val="2"/>
    </font>
    <font>
      <b/>
      <u/>
      <sz val="8"/>
      <name val="Arial"/>
      <family val="2"/>
    </font>
    <font>
      <vertAlign val="superscript"/>
      <sz val="9"/>
      <color theme="1"/>
      <name val="Arial"/>
      <family val="2"/>
    </font>
    <font>
      <vertAlign val="superscript"/>
      <sz val="8"/>
      <color rgb="FF000000"/>
      <name val="Arial"/>
      <family val="2"/>
    </font>
    <font>
      <b/>
      <sz val="12"/>
      <color theme="1"/>
      <name val="Arial"/>
      <family val="2"/>
    </font>
    <font>
      <b/>
      <sz val="10"/>
      <color theme="1"/>
      <name val="Arial"/>
      <family val="2"/>
    </font>
    <font>
      <u/>
      <sz val="8"/>
      <color theme="1"/>
      <name val="Arial"/>
      <family val="2"/>
    </font>
    <font>
      <sz val="8"/>
      <name val="Calibri"/>
      <family val="2"/>
      <scheme val="minor"/>
    </font>
  </fonts>
  <fills count="88">
    <fill>
      <patternFill patternType="none"/>
    </fill>
    <fill>
      <patternFill patternType="gray125"/>
    </fill>
    <fill>
      <patternFill patternType="solid">
        <fgColor indexed="44"/>
      </patternFill>
    </fill>
    <fill>
      <patternFill patternType="solid">
        <fgColor indexed="31"/>
      </patternFill>
    </fill>
    <fill>
      <patternFill patternType="solid">
        <fgColor indexed="41"/>
      </patternFill>
    </fill>
    <fill>
      <patternFill patternType="solid">
        <fgColor indexed="47"/>
      </patternFill>
    </fill>
    <fill>
      <patternFill patternType="solid">
        <fgColor indexed="45"/>
      </patternFill>
    </fill>
    <fill>
      <patternFill patternType="solid">
        <fgColor indexed="26"/>
      </patternFill>
    </fill>
    <fill>
      <patternFill patternType="solid">
        <fgColor indexed="42"/>
      </patternFill>
    </fill>
    <fill>
      <patternFill patternType="solid">
        <fgColor indexed="9"/>
      </patternFill>
    </fill>
    <fill>
      <patternFill patternType="solid">
        <fgColor indexed="46"/>
      </patternFill>
    </fill>
    <fill>
      <patternFill patternType="solid">
        <fgColor indexed="27"/>
      </patternFill>
    </fill>
    <fill>
      <patternFill patternType="solid">
        <fgColor indexed="29"/>
      </patternFill>
    </fill>
    <fill>
      <patternFill patternType="solid">
        <fgColor indexed="43"/>
      </patternFill>
    </fill>
    <fill>
      <patternFill patternType="solid">
        <fgColor indexed="11"/>
      </patternFill>
    </fill>
    <fill>
      <patternFill patternType="solid">
        <fgColor indexed="22"/>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53"/>
      </patternFill>
    </fill>
    <fill>
      <patternFill patternType="solid">
        <fgColor indexed="10"/>
      </patternFill>
    </fill>
    <fill>
      <patternFill patternType="solid">
        <fgColor indexed="57"/>
      </patternFill>
    </fill>
    <fill>
      <patternFill patternType="solid">
        <fgColor indexed="54"/>
      </patternFill>
    </fill>
    <fill>
      <patternFill patternType="solid">
        <fgColor indexed="55"/>
      </patternFill>
    </fill>
    <fill>
      <patternFill patternType="solid">
        <fgColor indexed="10"/>
        <bgColor indexed="64"/>
      </patternFill>
    </fill>
    <fill>
      <patternFill patternType="solid">
        <fgColor indexed="9"/>
        <bgColor indexed="64"/>
      </patternFill>
    </fill>
    <fill>
      <patternFill patternType="gray0625">
        <fgColor indexed="23"/>
        <bgColor indexed="9"/>
      </patternFill>
    </fill>
    <fill>
      <patternFill patternType="solid">
        <fgColor indexed="43"/>
        <bgColor indexed="64"/>
      </patternFill>
    </fill>
    <fill>
      <patternFill patternType="solid">
        <fgColor indexed="42"/>
        <bgColor indexed="64"/>
      </patternFill>
    </fill>
    <fill>
      <patternFill patternType="solid">
        <fgColor indexed="22"/>
        <bgColor indexed="64"/>
      </patternFill>
    </fill>
    <fill>
      <patternFill patternType="solid">
        <fgColor indexed="11"/>
        <bgColor indexed="64"/>
      </patternFill>
    </fill>
    <fill>
      <patternFill patternType="solid">
        <fgColor indexed="44"/>
        <bgColor indexed="64"/>
      </patternFill>
    </fill>
    <fill>
      <patternFill patternType="solid">
        <fgColor indexed="44"/>
        <bgColor indexed="9"/>
      </patternFill>
    </fill>
    <fill>
      <patternFill patternType="solid">
        <fgColor indexed="13"/>
        <bgColor indexed="64"/>
      </patternFill>
    </fill>
    <fill>
      <patternFill patternType="solid">
        <fgColor indexed="47"/>
        <bgColor indexed="64"/>
      </patternFill>
    </fill>
    <fill>
      <patternFill patternType="solid">
        <fgColor indexed="45"/>
        <bgColor indexed="64"/>
      </patternFill>
    </fill>
    <fill>
      <patternFill patternType="gray0625">
        <bgColor indexed="9"/>
      </patternFill>
    </fill>
    <fill>
      <patternFill patternType="gray0625">
        <bgColor indexed="44"/>
      </patternFill>
    </fill>
    <fill>
      <patternFill patternType="gray0625">
        <fgColor indexed="23"/>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2F2F2"/>
      </patternFill>
    </fill>
    <fill>
      <patternFill patternType="solid">
        <fgColor rgb="FFFFC7CE"/>
      </patternFill>
    </fill>
    <fill>
      <patternFill patternType="solid">
        <fgColor rgb="FFA5A5A5"/>
      </patternFill>
    </fill>
    <fill>
      <patternFill patternType="solid">
        <fgColor rgb="FFFFCC99"/>
      </patternFill>
    </fill>
    <fill>
      <patternFill patternType="solid">
        <fgColor rgb="FFC6EFCE"/>
      </patternFill>
    </fill>
    <fill>
      <patternFill patternType="solid">
        <fgColor rgb="FFFFEB9C"/>
      </patternFill>
    </fill>
    <fill>
      <patternFill patternType="solid">
        <fgColor rgb="FFFFFFCC"/>
      </patternFill>
    </fill>
    <fill>
      <patternFill patternType="solid">
        <fgColor rgb="FFFFFF00"/>
        <bgColor indexed="64"/>
      </patternFill>
    </fill>
    <fill>
      <patternFill patternType="solid">
        <fgColor rgb="FF808080"/>
        <bgColor indexed="64"/>
      </patternFill>
    </fill>
    <fill>
      <patternFill patternType="solid">
        <fgColor theme="0" tint="-0.34998626667073579"/>
        <bgColor indexed="64"/>
      </patternFill>
    </fill>
    <fill>
      <patternFill patternType="solid">
        <fgColor theme="9" tint="0.59999389629810485"/>
        <bgColor indexed="64"/>
      </patternFill>
    </fill>
    <fill>
      <patternFill patternType="lightUp"/>
    </fill>
    <fill>
      <patternFill patternType="solid">
        <fgColor rgb="FFFFFF99"/>
        <bgColor indexed="64"/>
      </patternFill>
    </fill>
    <fill>
      <patternFill patternType="solid">
        <fgColor theme="9" tint="0.39997558519241921"/>
        <bgColor indexed="64"/>
      </patternFill>
    </fill>
    <fill>
      <patternFill patternType="solid">
        <fgColor rgb="FFDCE6F1"/>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rgb="FF99FF66"/>
        <bgColor rgb="FF000000"/>
      </patternFill>
    </fill>
    <fill>
      <patternFill patternType="solid">
        <fgColor rgb="FFCCFFCC"/>
        <bgColor rgb="FF000000"/>
      </patternFill>
    </fill>
    <fill>
      <patternFill patternType="solid">
        <fgColor rgb="FFFFFF99"/>
        <bgColor rgb="FF000000"/>
      </patternFill>
    </fill>
    <fill>
      <patternFill patternType="solid">
        <fgColor rgb="FFFF7C80"/>
        <bgColor rgb="FF000000"/>
      </patternFill>
    </fill>
    <fill>
      <patternFill patternType="solid">
        <fgColor rgb="FFC1C1C1"/>
        <bgColor indexed="64"/>
      </patternFill>
    </fill>
  </fills>
  <borders count="99">
    <border>
      <left/>
      <right/>
      <top/>
      <bottom/>
      <diagonal/>
    </border>
    <border>
      <left style="thin">
        <color indexed="63"/>
      </left>
      <right style="thin">
        <color indexed="63"/>
      </right>
      <top style="thin">
        <color indexed="63"/>
      </top>
      <bottom style="thin">
        <color indexed="63"/>
      </bottom>
      <diagonal/>
    </border>
    <border>
      <left style="thin">
        <color indexed="8"/>
      </left>
      <right style="thin">
        <color indexed="8"/>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double">
        <color indexed="8"/>
      </left>
      <right style="double">
        <color indexed="8"/>
      </right>
      <top style="double">
        <color indexed="8"/>
      </top>
      <bottom style="double">
        <color indexed="8"/>
      </bottom>
      <diagonal/>
    </border>
    <border>
      <left/>
      <right/>
      <top style="thin">
        <color indexed="62"/>
      </top>
      <bottom style="double">
        <color indexed="62"/>
      </bottom>
      <diagonal/>
    </border>
    <border>
      <left/>
      <right/>
      <top style="thin">
        <color indexed="49"/>
      </top>
      <bottom style="double">
        <color indexed="49"/>
      </bottom>
      <diagonal/>
    </border>
    <border>
      <left/>
      <right/>
      <top/>
      <bottom style="thick">
        <color indexed="49"/>
      </bottom>
      <diagonal/>
    </border>
    <border>
      <left/>
      <right/>
      <top/>
      <bottom style="thick">
        <color indexed="44"/>
      </bottom>
      <diagonal/>
    </border>
    <border>
      <left/>
      <right/>
      <top/>
      <bottom style="thick">
        <color indexed="41"/>
      </bottom>
      <diagonal/>
    </border>
    <border>
      <left/>
      <right/>
      <top/>
      <bottom style="medium">
        <color indexed="44"/>
      </bottom>
      <diagonal/>
    </border>
    <border>
      <left/>
      <right/>
      <top/>
      <bottom style="medium">
        <color indexed="41"/>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ck">
        <color indexed="64"/>
      </left>
      <right style="thick">
        <color indexed="64"/>
      </right>
      <top style="thick">
        <color indexed="64"/>
      </top>
      <bottom style="medium">
        <color indexed="64"/>
      </bottom>
      <diagonal/>
    </border>
    <border>
      <left/>
      <right style="medium">
        <color indexed="64"/>
      </right>
      <top style="thick">
        <color indexed="64"/>
      </top>
      <bottom style="medium">
        <color indexed="64"/>
      </bottom>
      <diagonal/>
    </border>
    <border>
      <left style="thick">
        <color indexed="64"/>
      </left>
      <right style="medium">
        <color indexed="64"/>
      </right>
      <top style="medium">
        <color indexed="64"/>
      </top>
      <bottom style="medium">
        <color indexed="64"/>
      </bottom>
      <diagonal/>
    </border>
    <border>
      <left/>
      <right style="medium">
        <color indexed="64"/>
      </right>
      <top/>
      <bottom style="medium">
        <color indexed="64"/>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ck">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style="medium">
        <color indexed="64"/>
      </right>
      <top style="medium">
        <color indexed="64"/>
      </top>
      <bottom/>
      <diagonal/>
    </border>
    <border>
      <left style="thick">
        <color indexed="64"/>
      </left>
      <right style="thick">
        <color indexed="64"/>
      </right>
      <top style="medium">
        <color indexed="64"/>
      </top>
      <bottom style="medium">
        <color indexed="64"/>
      </bottom>
      <diagonal/>
    </border>
    <border>
      <left style="thick">
        <color indexed="64"/>
      </left>
      <right style="thick">
        <color indexed="64"/>
      </right>
      <top/>
      <bottom style="medium">
        <color indexed="64"/>
      </bottom>
      <diagonal/>
    </border>
    <border>
      <left style="thick">
        <color indexed="64"/>
      </left>
      <right style="thick">
        <color indexed="64"/>
      </right>
      <top style="medium">
        <color indexed="64"/>
      </top>
      <bottom/>
      <diagonal/>
    </border>
    <border>
      <left style="medium">
        <color indexed="64"/>
      </left>
      <right style="medium">
        <color indexed="64"/>
      </right>
      <top style="medium">
        <color indexed="64"/>
      </top>
      <bottom/>
      <diagonal/>
    </border>
    <border>
      <left style="thick">
        <color indexed="64"/>
      </left>
      <right style="thick">
        <color indexed="64"/>
      </right>
      <top style="medium">
        <color indexed="64"/>
      </top>
      <bottom style="thick">
        <color indexed="64"/>
      </bottom>
      <diagonal/>
    </border>
    <border>
      <left/>
      <right style="medium">
        <color indexed="64"/>
      </right>
      <top style="medium">
        <color indexed="64"/>
      </top>
      <bottom style="thick">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style="medium">
        <color indexed="64"/>
      </left>
      <right style="thick">
        <color indexed="64"/>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top/>
      <bottom/>
      <diagonal/>
    </border>
    <border>
      <left style="medium">
        <color indexed="64"/>
      </left>
      <right/>
      <top/>
      <bottom style="medium">
        <color indexed="64"/>
      </bottom>
      <diagonal/>
    </border>
    <border>
      <left style="medium">
        <color indexed="64"/>
      </left>
      <right/>
      <top style="medium">
        <color indexed="64"/>
      </top>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top/>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style="medium">
        <color indexed="64"/>
      </left>
      <right style="medium">
        <color indexed="64"/>
      </right>
      <top/>
      <bottom style="medium">
        <color indexed="64"/>
      </bottom>
      <diagonal/>
    </border>
    <border>
      <left/>
      <right/>
      <top style="thick">
        <color indexed="64"/>
      </top>
      <bottom/>
      <diagonal/>
    </border>
    <border>
      <left style="thin">
        <color indexed="64"/>
      </left>
      <right/>
      <top style="thick">
        <color indexed="64"/>
      </top>
      <bottom/>
      <diagonal/>
    </border>
    <border>
      <left style="medium">
        <color indexed="64"/>
      </left>
      <right style="medium">
        <color indexed="64"/>
      </right>
      <top/>
      <bottom/>
      <diagonal/>
    </border>
    <border>
      <left style="medium">
        <color indexed="64"/>
      </left>
      <right style="medium">
        <color indexed="64"/>
      </right>
      <top style="thick">
        <color indexed="64"/>
      </top>
      <bottom style="medium">
        <color indexed="64"/>
      </bottom>
      <diagonal/>
    </border>
    <border>
      <left style="medium">
        <color indexed="64"/>
      </left>
      <right/>
      <top style="thick">
        <color indexed="64"/>
      </top>
      <bottom style="medium">
        <color indexed="64"/>
      </bottom>
      <diagonal/>
    </border>
    <border>
      <left/>
      <right/>
      <top style="thick">
        <color indexed="64"/>
      </top>
      <bottom style="medium">
        <color indexed="64"/>
      </bottom>
      <diagonal/>
    </border>
    <border>
      <left/>
      <right style="thick">
        <color indexed="64"/>
      </right>
      <top style="thick">
        <color indexed="64"/>
      </top>
      <bottom style="medium">
        <color indexed="64"/>
      </bottom>
      <diagonal/>
    </border>
    <border>
      <left style="thick">
        <color indexed="64"/>
      </left>
      <right style="medium">
        <color indexed="64"/>
      </right>
      <top style="medium">
        <color indexed="64"/>
      </top>
      <bottom/>
      <diagonal/>
    </border>
    <border>
      <left style="thick">
        <color indexed="64"/>
      </left>
      <right style="medium">
        <color indexed="64"/>
      </right>
      <top/>
      <bottom style="medium">
        <color indexed="64"/>
      </bottom>
      <diagonal/>
    </border>
    <border>
      <left style="thin">
        <color indexed="64"/>
      </left>
      <right style="medium">
        <color indexed="64"/>
      </right>
      <top style="medium">
        <color indexed="64"/>
      </top>
      <bottom/>
      <diagonal/>
    </border>
    <border>
      <left style="medium">
        <color indexed="64"/>
      </left>
      <right style="thick">
        <color indexed="64"/>
      </right>
      <top style="medium">
        <color indexed="64"/>
      </top>
      <bottom style="thick">
        <color indexed="64"/>
      </bottom>
      <diagonal/>
    </border>
    <border>
      <left style="medium">
        <color indexed="64"/>
      </left>
      <right style="thick">
        <color indexed="64"/>
      </right>
      <top style="medium">
        <color indexed="64"/>
      </top>
      <bottom/>
      <diagonal/>
    </border>
    <border>
      <left style="medium">
        <color indexed="64"/>
      </left>
      <right style="thick">
        <color indexed="64"/>
      </right>
      <top/>
      <bottom/>
      <diagonal/>
    </border>
    <border>
      <left/>
      <right/>
      <top/>
      <bottom style="thin">
        <color indexed="64"/>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theme="0" tint="-0.14999847407452621"/>
      </left>
      <right style="thin">
        <color theme="0" tint="-0.14999847407452621"/>
      </right>
      <top style="thin">
        <color theme="0" tint="-0.14999847407452621"/>
      </top>
      <bottom style="thin">
        <color theme="0" tint="-0.14999847407452621"/>
      </bottom>
      <diagonal/>
    </border>
    <border>
      <left style="medium">
        <color indexed="64"/>
      </left>
      <right style="medium">
        <color indexed="64"/>
      </right>
      <top style="thick">
        <color indexed="64"/>
      </top>
      <bottom/>
      <diagonal/>
    </border>
    <border>
      <left/>
      <right/>
      <top style="medium">
        <color indexed="64"/>
      </top>
      <bottom/>
      <diagonal/>
    </border>
    <border>
      <left/>
      <right/>
      <top/>
      <bottom style="medium">
        <color indexed="64"/>
      </bottom>
      <diagonal/>
    </border>
    <border>
      <left style="thin">
        <color indexed="64"/>
      </left>
      <right style="thin">
        <color indexed="64"/>
      </right>
      <top/>
      <bottom/>
      <diagonal/>
    </border>
    <border>
      <left style="medium">
        <color indexed="64"/>
      </left>
      <right style="thin">
        <color indexed="64"/>
      </right>
      <top/>
      <bottom style="medium">
        <color indexed="64"/>
      </bottom>
      <diagonal/>
    </border>
    <border>
      <left/>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s>
  <cellStyleXfs count="559">
    <xf numFmtId="0" fontId="0" fillId="0" borderId="0"/>
    <xf numFmtId="0" fontId="87" fillId="3" borderId="0" applyNumberFormat="0" applyBorder="0" applyAlignment="0" applyProtection="0"/>
    <xf numFmtId="0" fontId="87" fillId="3" borderId="0" applyNumberFormat="0" applyBorder="0" applyAlignment="0" applyProtection="0"/>
    <xf numFmtId="0" fontId="87" fillId="42" borderId="0" applyNumberFormat="0" applyBorder="0" applyAlignment="0" applyProtection="0"/>
    <xf numFmtId="0" fontId="87" fillId="42" borderId="0" applyNumberFormat="0" applyBorder="0" applyAlignment="0" applyProtection="0"/>
    <xf numFmtId="0" fontId="87" fillId="2" borderId="0" applyNumberFormat="0" applyBorder="0" applyAlignment="0" applyProtection="0"/>
    <xf numFmtId="0" fontId="87" fillId="4" borderId="0" applyNumberFormat="0" applyBorder="0" applyAlignment="0" applyProtection="0"/>
    <xf numFmtId="0" fontId="87" fillId="4"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87" fillId="6" borderId="0" applyNumberFormat="0" applyBorder="0" applyAlignment="0" applyProtection="0"/>
    <xf numFmtId="0" fontId="87" fillId="6"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5" borderId="0" applyNumberFormat="0" applyBorder="0" applyAlignment="0" applyProtection="0"/>
    <xf numFmtId="0" fontId="87" fillId="5" borderId="0" applyNumberFormat="0" applyBorder="0" applyAlignment="0" applyProtection="0"/>
    <xf numFmtId="0" fontId="87" fillId="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87" fillId="8" borderId="0" applyNumberFormat="0" applyBorder="0" applyAlignment="0" applyProtection="0"/>
    <xf numFmtId="0" fontId="87" fillId="8" borderId="0" applyNumberFormat="0" applyBorder="0" applyAlignment="0" applyProtection="0"/>
    <xf numFmtId="0" fontId="87" fillId="44" borderId="0" applyNumberFormat="0" applyBorder="0" applyAlignment="0" applyProtection="0"/>
    <xf numFmtId="0" fontId="87" fillId="44" borderId="0" applyNumberFormat="0" applyBorder="0" applyAlignment="0" applyProtection="0"/>
    <xf numFmtId="0" fontId="87" fillId="7" borderId="0" applyNumberFormat="0" applyBorder="0" applyAlignment="0" applyProtection="0"/>
    <xf numFmtId="0" fontId="87" fillId="7" borderId="0" applyNumberFormat="0" applyBorder="0" applyAlignment="0" applyProtection="0"/>
    <xf numFmtId="0" fontId="87"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87" fillId="10" borderId="0" applyNumberFormat="0" applyBorder="0" applyAlignment="0" applyProtection="0"/>
    <xf numFmtId="0" fontId="87" fillId="10" borderId="0" applyNumberFormat="0" applyBorder="0" applyAlignment="0" applyProtection="0"/>
    <xf numFmtId="0" fontId="87" fillId="45" borderId="0" applyNumberFormat="0" applyBorder="0" applyAlignment="0" applyProtection="0"/>
    <xf numFmtId="0" fontId="87" fillId="45" borderId="0" applyNumberFormat="0" applyBorder="0" applyAlignment="0" applyProtection="0"/>
    <xf numFmtId="0" fontId="87" fillId="9" borderId="0" applyNumberFormat="0" applyBorder="0" applyAlignment="0" applyProtection="0"/>
    <xf numFmtId="0" fontId="87" fillId="9" borderId="0" applyNumberFormat="0" applyBorder="0" applyAlignment="0" applyProtection="0"/>
    <xf numFmtId="0" fontId="87"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2" borderId="0" applyNumberFormat="0" applyBorder="0" applyAlignment="0" applyProtection="0"/>
    <xf numFmtId="0" fontId="87" fillId="4"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87" fillId="4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87" fillId="48" borderId="0" applyNumberFormat="0" applyBorder="0" applyAlignment="0" applyProtection="0"/>
    <xf numFmtId="0" fontId="87" fillId="48" borderId="0" applyNumberFormat="0" applyBorder="0" applyAlignment="0" applyProtection="0"/>
    <xf numFmtId="0" fontId="87" fillId="4"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87" fillId="4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87" fillId="14" borderId="0" applyNumberFormat="0" applyBorder="0" applyAlignment="0" applyProtection="0"/>
    <xf numFmtId="0" fontId="87" fillId="14" borderId="0" applyNumberFormat="0" applyBorder="0" applyAlignment="0" applyProtection="0"/>
    <xf numFmtId="0" fontId="87" fillId="50" borderId="0" applyNumberFormat="0" applyBorder="0" applyAlignment="0" applyProtection="0"/>
    <xf numFmtId="0" fontId="87" fillId="50" borderId="0" applyNumberFormat="0" applyBorder="0" applyAlignment="0" applyProtection="0"/>
    <xf numFmtId="0" fontId="87" fillId="13" borderId="0" applyNumberFormat="0" applyBorder="0" applyAlignment="0" applyProtection="0"/>
    <xf numFmtId="0" fontId="87" fillId="13" borderId="0" applyNumberFormat="0" applyBorder="0" applyAlignment="0" applyProtection="0"/>
    <xf numFmtId="0" fontId="87"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87" fillId="51" borderId="0" applyNumberFormat="0" applyBorder="0" applyAlignment="0" applyProtection="0"/>
    <xf numFmtId="0" fontId="87" fillId="51" borderId="0" applyNumberFormat="0" applyBorder="0" applyAlignment="0" applyProtection="0"/>
    <xf numFmtId="0" fontId="87" fillId="15" borderId="0" applyNumberFormat="0" applyBorder="0" applyAlignment="0" applyProtection="0"/>
    <xf numFmtId="0" fontId="87" fillId="15"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87" fillId="52" borderId="0" applyNumberFormat="0" applyBorder="0" applyAlignment="0" applyProtection="0"/>
    <xf numFmtId="0" fontId="87" fillId="52" borderId="0" applyNumberFormat="0" applyBorder="0" applyAlignment="0" applyProtection="0"/>
    <xf numFmtId="0" fontId="87" fillId="4"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87" fillId="53" borderId="0" applyNumberFormat="0" applyBorder="0" applyAlignment="0" applyProtection="0"/>
    <xf numFmtId="0" fontId="87" fillId="53" borderId="0" applyNumberFormat="0" applyBorder="0" applyAlignment="0" applyProtection="0"/>
    <xf numFmtId="0" fontId="87" fillId="5" borderId="0" applyNumberFormat="0" applyBorder="0" applyAlignment="0" applyProtection="0"/>
    <xf numFmtId="0" fontId="87" fillId="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88" fillId="54" borderId="0" applyNumberFormat="0" applyBorder="0" applyAlignment="0" applyProtection="0"/>
    <xf numFmtId="0" fontId="88" fillId="54" borderId="0" applyNumberFormat="0" applyBorder="0" applyAlignment="0" applyProtection="0"/>
    <xf numFmtId="0" fontId="88" fillId="2" borderId="0" applyNumberFormat="0" applyBorder="0" applyAlignment="0" applyProtection="0"/>
    <xf numFmtId="0" fontId="88" fillId="4"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88" fillId="55"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88" fillId="56"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57" borderId="0" applyNumberFormat="0" applyBorder="0" applyAlignment="0" applyProtection="0"/>
    <xf numFmtId="0" fontId="88" fillId="57" borderId="0" applyNumberFormat="0" applyBorder="0" applyAlignment="0" applyProtection="0"/>
    <xf numFmtId="0" fontId="88" fillId="15" borderId="0" applyNumberFormat="0" applyBorder="0" applyAlignment="0" applyProtection="0"/>
    <xf numFmtId="0" fontId="88" fillId="15" borderId="0" applyNumberFormat="0" applyBorder="0" applyAlignment="0" applyProtection="0"/>
    <xf numFmtId="0" fontId="88" fillId="15"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88" fillId="58" borderId="0" applyNumberFormat="0" applyBorder="0" applyAlignment="0" applyProtection="0"/>
    <xf numFmtId="0" fontId="88" fillId="58" borderId="0" applyNumberFormat="0" applyBorder="0" applyAlignment="0" applyProtection="0"/>
    <xf numFmtId="0" fontId="88" fillId="2" borderId="0" applyNumberFormat="0" applyBorder="0" applyAlignment="0" applyProtection="0"/>
    <xf numFmtId="0" fontId="88" fillId="4"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88" fillId="20" borderId="0" applyNumberFormat="0" applyBorder="0" applyAlignment="0" applyProtection="0"/>
    <xf numFmtId="0" fontId="88" fillId="20" borderId="0" applyNumberFormat="0" applyBorder="0" applyAlignment="0" applyProtection="0"/>
    <xf numFmtId="0" fontId="88" fillId="59" borderId="0" applyNumberFormat="0" applyBorder="0" applyAlignment="0" applyProtection="0"/>
    <xf numFmtId="0" fontId="88" fillId="59" borderId="0" applyNumberFormat="0" applyBorder="0" applyAlignment="0" applyProtection="0"/>
    <xf numFmtId="0" fontId="88" fillId="5" borderId="0" applyNumberFormat="0" applyBorder="0" applyAlignment="0" applyProtection="0"/>
    <xf numFmtId="0" fontId="88" fillId="5" borderId="0" applyNumberFormat="0" applyBorder="0" applyAlignment="0" applyProtection="0"/>
    <xf numFmtId="0" fontId="88" fillId="5"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1" borderId="0" applyNumberFormat="0" applyBorder="0" applyAlignment="0" applyProtection="0"/>
    <xf numFmtId="0" fontId="88" fillId="60" borderId="0" applyNumberFormat="0" applyBorder="0" applyAlignment="0" applyProtection="0"/>
    <xf numFmtId="0" fontId="88" fillId="19" borderId="0" applyNumberFormat="0" applyBorder="0" applyAlignment="0" applyProtection="0"/>
    <xf numFmtId="0" fontId="88" fillId="19" borderId="0" applyNumberFormat="0" applyBorder="0" applyAlignment="0" applyProtection="0"/>
    <xf numFmtId="0" fontId="46" fillId="23" borderId="0" applyNumberFormat="0" applyBorder="0" applyAlignment="0" applyProtection="0"/>
    <xf numFmtId="0" fontId="88" fillId="22" borderId="0" applyNumberFormat="0" applyBorder="0" applyAlignment="0" applyProtection="0"/>
    <xf numFmtId="0" fontId="46" fillId="24" borderId="0" applyNumberFormat="0" applyBorder="0" applyAlignment="0" applyProtection="0"/>
    <xf numFmtId="0" fontId="46" fillId="18" borderId="0" applyNumberFormat="0" applyBorder="0" applyAlignment="0" applyProtection="0"/>
    <xf numFmtId="0" fontId="88" fillId="62" borderId="0" applyNumberFormat="0" applyBorder="0" applyAlignment="0" applyProtection="0"/>
    <xf numFmtId="0" fontId="88" fillId="25" borderId="0" applyNumberFormat="0" applyBorder="0" applyAlignment="0" applyProtection="0"/>
    <xf numFmtId="0" fontId="88" fillId="25" borderId="0" applyNumberFormat="0" applyBorder="0" applyAlignment="0" applyProtection="0"/>
    <xf numFmtId="0" fontId="46" fillId="19" borderId="0" applyNumberFormat="0" applyBorder="0" applyAlignment="0" applyProtection="0"/>
    <xf numFmtId="0" fontId="46" fillId="22" borderId="0" applyNumberFormat="0" applyBorder="0" applyAlignment="0" applyProtection="0"/>
    <xf numFmtId="0" fontId="88" fillId="21" borderId="0" applyNumberFormat="0" applyBorder="0" applyAlignment="0" applyProtection="0"/>
    <xf numFmtId="0" fontId="88" fillId="21" borderId="0" applyNumberFormat="0" applyBorder="0" applyAlignment="0" applyProtection="0"/>
    <xf numFmtId="0" fontId="88" fillId="21" borderId="0" applyNumberFormat="0" applyBorder="0" applyAlignment="0" applyProtection="0"/>
    <xf numFmtId="0" fontId="88" fillId="23" borderId="0" applyNumberFormat="0" applyBorder="0" applyAlignment="0" applyProtection="0"/>
    <xf numFmtId="0" fontId="88" fillId="23" borderId="0" applyNumberFormat="0" applyBorder="0" applyAlignment="0" applyProtection="0"/>
    <xf numFmtId="0" fontId="88" fillId="23" borderId="0" applyNumberFormat="0" applyBorder="0" applyAlignment="0" applyProtection="0"/>
    <xf numFmtId="0" fontId="88" fillId="61" borderId="0" applyNumberFormat="0" applyBorder="0" applyAlignment="0" applyProtection="0"/>
    <xf numFmtId="0" fontId="88" fillId="61" borderId="0" applyNumberFormat="0" applyBorder="0" applyAlignment="0" applyProtection="0"/>
    <xf numFmtId="0" fontId="88" fillId="61"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63" borderId="0" applyNumberFormat="0" applyBorder="0" applyAlignment="0" applyProtection="0"/>
    <xf numFmtId="0" fontId="88" fillId="63" borderId="0" applyNumberFormat="0" applyBorder="0" applyAlignment="0" applyProtection="0"/>
    <xf numFmtId="0" fontId="88" fillId="63" borderId="0" applyNumberFormat="0" applyBorder="0" applyAlignment="0" applyProtection="0"/>
    <xf numFmtId="0" fontId="88" fillId="64" borderId="0" applyNumberFormat="0" applyBorder="0" applyAlignment="0" applyProtection="0"/>
    <xf numFmtId="0" fontId="88" fillId="64" borderId="0" applyNumberFormat="0" applyBorder="0" applyAlignment="0" applyProtection="0"/>
    <xf numFmtId="0" fontId="88" fillId="64" borderId="0" applyNumberFormat="0" applyBorder="0" applyAlignment="0" applyProtection="0"/>
    <xf numFmtId="0" fontId="89" fillId="15" borderId="75" applyNumberFormat="0" applyAlignment="0" applyProtection="0"/>
    <xf numFmtId="0" fontId="89" fillId="15" borderId="75" applyNumberFormat="0" applyAlignment="0" applyProtection="0"/>
    <xf numFmtId="0" fontId="89" fillId="15" borderId="75" applyNumberFormat="0" applyAlignment="0" applyProtection="0"/>
    <xf numFmtId="0" fontId="60" fillId="15" borderId="2" applyNumberFormat="0" applyAlignment="0" applyProtection="0"/>
    <xf numFmtId="0" fontId="89" fillId="65" borderId="75" applyNumberFormat="0" applyAlignment="0" applyProtection="0"/>
    <xf numFmtId="0" fontId="89" fillId="65" borderId="75" applyNumberFormat="0" applyAlignment="0" applyProtection="0"/>
    <xf numFmtId="0" fontId="89" fillId="9" borderId="75" applyNumberFormat="0" applyAlignment="0" applyProtection="0"/>
    <xf numFmtId="0" fontId="60" fillId="9" borderId="2" applyNumberFormat="0" applyAlignment="0" applyProtection="0"/>
    <xf numFmtId="0" fontId="89" fillId="15" borderId="75" applyNumberFormat="0" applyAlignment="0" applyProtection="0"/>
    <xf numFmtId="0" fontId="60" fillId="9" borderId="2" applyNumberFormat="0" applyAlignment="0" applyProtection="0"/>
    <xf numFmtId="0" fontId="89" fillId="15" borderId="75" applyNumberFormat="0" applyAlignment="0" applyProtection="0"/>
    <xf numFmtId="0" fontId="89" fillId="15" borderId="75" applyNumberFormat="0" applyAlignment="0" applyProtection="0"/>
    <xf numFmtId="0" fontId="60" fillId="15" borderId="2" applyNumberFormat="0" applyAlignment="0" applyProtection="0"/>
    <xf numFmtId="0" fontId="47" fillId="15" borderId="1" applyNumberFormat="0" applyAlignment="0" applyProtection="0"/>
    <xf numFmtId="0" fontId="47" fillId="15" borderId="1" applyNumberFormat="0" applyAlignment="0" applyProtection="0"/>
    <xf numFmtId="0" fontId="47" fillId="15" borderId="1" applyNumberFormat="0" applyAlignment="0" applyProtection="0"/>
    <xf numFmtId="0" fontId="89" fillId="15" borderId="75" applyNumberFormat="0" applyAlignment="0" applyProtection="0"/>
    <xf numFmtId="0" fontId="47" fillId="15" borderId="1" applyNumberFormat="0" applyAlignment="0" applyProtection="0"/>
    <xf numFmtId="0" fontId="60" fillId="15" borderId="2" applyNumberFormat="0" applyAlignment="0" applyProtection="0"/>
    <xf numFmtId="0" fontId="89" fillId="15" borderId="75" applyNumberFormat="0" applyAlignment="0" applyProtection="0"/>
    <xf numFmtId="0" fontId="89" fillId="15" borderId="75" applyNumberFormat="0" applyAlignment="0" applyProtection="0"/>
    <xf numFmtId="0" fontId="89" fillId="15" borderId="75" applyNumberFormat="0" applyAlignment="0" applyProtection="0"/>
    <xf numFmtId="0" fontId="47" fillId="15" borderId="1" applyNumberFormat="0" applyAlignment="0" applyProtection="0"/>
    <xf numFmtId="0" fontId="52" fillId="6" borderId="0" applyNumberFormat="0" applyBorder="0" applyAlignment="0" applyProtection="0"/>
    <xf numFmtId="0" fontId="91" fillId="15" borderId="76" applyNumberFormat="0" applyAlignment="0" applyProtection="0"/>
    <xf numFmtId="0" fontId="91" fillId="15" borderId="76" applyNumberFormat="0" applyAlignment="0" applyProtection="0"/>
    <xf numFmtId="0" fontId="91" fillId="65" borderId="76" applyNumberFormat="0" applyAlignment="0" applyProtection="0"/>
    <xf numFmtId="0" fontId="91" fillId="65" borderId="76" applyNumberFormat="0" applyAlignment="0" applyProtection="0"/>
    <xf numFmtId="0" fontId="91" fillId="9" borderId="76" applyNumberFormat="0" applyAlignment="0" applyProtection="0"/>
    <xf numFmtId="0" fontId="91" fillId="9" borderId="76" applyNumberFormat="0" applyAlignment="0" applyProtection="0"/>
    <xf numFmtId="0" fontId="91" fillId="9" borderId="76" applyNumberFormat="0" applyAlignment="0" applyProtection="0"/>
    <xf numFmtId="0" fontId="91" fillId="15" borderId="76" applyNumberFormat="0" applyAlignment="0" applyProtection="0"/>
    <xf numFmtId="0" fontId="48" fillId="15" borderId="3" applyNumberFormat="0" applyAlignment="0" applyProtection="0"/>
    <xf numFmtId="0" fontId="48" fillId="15" borderId="3" applyNumberFormat="0" applyAlignment="0" applyProtection="0"/>
    <xf numFmtId="0" fontId="48" fillId="15" borderId="3" applyNumberFormat="0" applyAlignment="0" applyProtection="0"/>
    <xf numFmtId="0" fontId="91" fillId="15" borderId="76" applyNumberFormat="0" applyAlignment="0" applyProtection="0"/>
    <xf numFmtId="0" fontId="48" fillId="15" borderId="3" applyNumberFormat="0" applyAlignment="0" applyProtection="0"/>
    <xf numFmtId="0" fontId="91" fillId="15" borderId="76" applyNumberFormat="0" applyAlignment="0" applyProtection="0"/>
    <xf numFmtId="0" fontId="48" fillId="15" borderId="3" applyNumberFormat="0" applyAlignment="0" applyProtection="0"/>
    <xf numFmtId="0" fontId="48" fillId="15" borderId="3" applyNumberFormat="0" applyAlignment="0" applyProtection="0"/>
    <xf numFmtId="0" fontId="54" fillId="26" borderId="4" applyNumberFormat="0" applyAlignment="0" applyProtection="0"/>
    <xf numFmtId="0" fontId="92" fillId="67" borderId="77" applyNumberFormat="0" applyAlignment="0" applyProtection="0"/>
    <xf numFmtId="0" fontId="92" fillId="67" borderId="5" applyNumberFormat="0" applyAlignment="0" applyProtection="0"/>
    <xf numFmtId="0" fontId="93" fillId="68" borderId="76" applyNumberFormat="0" applyAlignment="0" applyProtection="0"/>
    <xf numFmtId="0" fontId="49" fillId="5" borderId="3" applyNumberFormat="0" applyAlignment="0" applyProtection="0"/>
    <xf numFmtId="0" fontId="49" fillId="5" borderId="3" applyNumberFormat="0" applyAlignment="0" applyProtection="0"/>
    <xf numFmtId="0" fontId="49" fillId="5" borderId="3" applyNumberFormat="0" applyAlignment="0" applyProtection="0"/>
    <xf numFmtId="0" fontId="49" fillId="5" borderId="3" applyNumberFormat="0" applyAlignment="0" applyProtection="0"/>
    <xf numFmtId="0" fontId="49" fillId="5" borderId="3" applyNumberFormat="0" applyAlignment="0" applyProtection="0"/>
    <xf numFmtId="0" fontId="94" fillId="0" borderId="6" applyNumberFormat="0" applyFill="0" applyAlignment="0" applyProtection="0"/>
    <xf numFmtId="0" fontId="94" fillId="0" borderId="6" applyNumberFormat="0" applyFill="0" applyAlignment="0" applyProtection="0"/>
    <xf numFmtId="0" fontId="94" fillId="0" borderId="6" applyNumberFormat="0" applyFill="0" applyAlignment="0" applyProtection="0"/>
    <xf numFmtId="0" fontId="94" fillId="0" borderId="6" applyNumberFormat="0" applyFill="0" applyAlignment="0" applyProtection="0"/>
    <xf numFmtId="0" fontId="94" fillId="0" borderId="78" applyNumberFormat="0" applyFill="0" applyAlignment="0" applyProtection="0"/>
    <xf numFmtId="0" fontId="94" fillId="0" borderId="78" applyNumberFormat="0" applyFill="0" applyAlignment="0" applyProtection="0"/>
    <xf numFmtId="0" fontId="94" fillId="0" borderId="7" applyNumberFormat="0" applyFill="0" applyAlignment="0" applyProtection="0"/>
    <xf numFmtId="0" fontId="94" fillId="0" borderId="7" applyNumberFormat="0" applyFill="0" applyAlignment="0" applyProtection="0"/>
    <xf numFmtId="0" fontId="94" fillId="0" borderId="7" applyNumberFormat="0" applyFill="0" applyAlignment="0" applyProtection="0"/>
    <xf numFmtId="0" fontId="94" fillId="0" borderId="6" applyNumberFormat="0" applyFill="0" applyAlignment="0" applyProtection="0"/>
    <xf numFmtId="0" fontId="94" fillId="0" borderId="6" applyNumberFormat="0" applyFill="0" applyAlignment="0" applyProtection="0"/>
    <xf numFmtId="0" fontId="13" fillId="0" borderId="6" applyNumberFormat="0" applyFill="0" applyAlignment="0" applyProtection="0"/>
    <xf numFmtId="0" fontId="13" fillId="0" borderId="6" applyNumberFormat="0" applyFill="0" applyAlignment="0" applyProtection="0"/>
    <xf numFmtId="0" fontId="94" fillId="0" borderId="6" applyNumberFormat="0" applyFill="0" applyAlignment="0" applyProtection="0"/>
    <xf numFmtId="0" fontId="13" fillId="0" borderId="6" applyNumberFormat="0" applyFill="0" applyAlignment="0" applyProtection="0"/>
    <xf numFmtId="0" fontId="13" fillId="0" borderId="6" applyNumberFormat="0" applyFill="0" applyAlignment="0" applyProtection="0"/>
    <xf numFmtId="0" fontId="94" fillId="0" borderId="6" applyNumberFormat="0" applyFill="0" applyAlignment="0" applyProtection="0"/>
    <xf numFmtId="0" fontId="13" fillId="0" borderId="6" applyNumberFormat="0" applyFill="0" applyAlignment="0" applyProtection="0"/>
    <xf numFmtId="0" fontId="94" fillId="0" borderId="6" applyNumberFormat="0" applyFill="0" applyAlignment="0" applyProtection="0"/>
    <xf numFmtId="0" fontId="13" fillId="0" borderId="6" applyNumberFormat="0" applyFill="0" applyAlignment="0" applyProtection="0"/>
    <xf numFmtId="0" fontId="95"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1" fillId="8"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7" fillId="0" borderId="79" applyNumberFormat="0" applyFill="0" applyAlignment="0" applyProtection="0"/>
    <xf numFmtId="0" fontId="61" fillId="0" borderId="8" applyNumberFormat="0" applyFill="0" applyAlignment="0" applyProtection="0"/>
    <xf numFmtId="0" fontId="61" fillId="0" borderId="8" applyNumberFormat="0" applyFill="0" applyAlignment="0" applyProtection="0"/>
    <xf numFmtId="0" fontId="98" fillId="0" borderId="80" applyNumberFormat="0" applyFill="0" applyAlignment="0" applyProtection="0"/>
    <xf numFmtId="0" fontId="62" fillId="0" borderId="9" applyNumberFormat="0" applyFill="0" applyAlignment="0" applyProtection="0"/>
    <xf numFmtId="0" fontId="62" fillId="0" borderId="10" applyNumberFormat="0" applyFill="0" applyAlignment="0" applyProtection="0"/>
    <xf numFmtId="0" fontId="99" fillId="0" borderId="81" applyNumberFormat="0" applyFill="0" applyAlignment="0" applyProtection="0"/>
    <xf numFmtId="0" fontId="63" fillId="0" borderId="11" applyNumberFormat="0" applyFill="0" applyAlignment="0" applyProtection="0"/>
    <xf numFmtId="0" fontId="63" fillId="0" borderId="12" applyNumberFormat="0" applyFill="0" applyAlignment="0" applyProtection="0"/>
    <xf numFmtId="0" fontId="99"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49" fillId="5" borderId="3" applyNumberFormat="0" applyAlignment="0" applyProtection="0"/>
    <xf numFmtId="0" fontId="53" fillId="0" borderId="13" applyNumberFormat="0" applyFill="0" applyAlignment="0" applyProtection="0"/>
    <xf numFmtId="0" fontId="101" fillId="70" borderId="0" applyNumberFormat="0" applyBorder="0" applyAlignment="0" applyProtection="0"/>
    <xf numFmtId="0" fontId="87" fillId="0" borderId="0"/>
    <xf numFmtId="0" fontId="3" fillId="7" borderId="14" applyNumberFormat="0" applyFont="0" applyAlignment="0" applyProtection="0"/>
    <xf numFmtId="0" fontId="3" fillId="7" borderId="14" applyNumberFormat="0" applyFont="0" applyAlignment="0" applyProtection="0"/>
    <xf numFmtId="0" fontId="1" fillId="71" borderId="83" applyNumberFormat="0" applyFont="0" applyAlignment="0" applyProtection="0"/>
    <xf numFmtId="0" fontId="1" fillId="71" borderId="83" applyNumberFormat="0" applyFont="0" applyAlignment="0" applyProtection="0"/>
    <xf numFmtId="0" fontId="59" fillId="71" borderId="83" applyNumberFormat="0" applyFont="0" applyAlignment="0" applyProtection="0"/>
    <xf numFmtId="0" fontId="12" fillId="71" borderId="83" applyNumberFormat="0" applyFont="0" applyAlignment="0" applyProtection="0"/>
    <xf numFmtId="0" fontId="12" fillId="71" borderId="83" applyNumberFormat="0" applyFont="0" applyAlignment="0" applyProtection="0"/>
    <xf numFmtId="0" fontId="34" fillId="71" borderId="83" applyNumberFormat="0" applyFont="0" applyAlignment="0" applyProtection="0"/>
    <xf numFmtId="0" fontId="1" fillId="71" borderId="83" applyNumberFormat="0" applyFont="0" applyAlignment="0" applyProtection="0"/>
    <xf numFmtId="0" fontId="1" fillId="71" borderId="83" applyNumberFormat="0" applyFont="0" applyAlignment="0" applyProtection="0"/>
    <xf numFmtId="0" fontId="1" fillId="71" borderId="83" applyNumberFormat="0" applyFont="0" applyAlignment="0" applyProtection="0"/>
    <xf numFmtId="0" fontId="1" fillId="71" borderId="83" applyNumberFormat="0" applyFont="0" applyAlignment="0" applyProtection="0"/>
    <xf numFmtId="0" fontId="1" fillId="71" borderId="83" applyNumberFormat="0" applyFont="0" applyAlignment="0" applyProtection="0"/>
    <xf numFmtId="0" fontId="1" fillId="71" borderId="83" applyNumberFormat="0" applyFont="0" applyAlignment="0" applyProtection="0"/>
    <xf numFmtId="0" fontId="1" fillId="71" borderId="83" applyNumberFormat="0" applyFont="0" applyAlignment="0" applyProtection="0"/>
    <xf numFmtId="0" fontId="1" fillId="71" borderId="83" applyNumberFormat="0" applyFont="0" applyAlignment="0" applyProtection="0"/>
    <xf numFmtId="0" fontId="59" fillId="71" borderId="83" applyNumberFormat="0" applyFont="0" applyAlignment="0" applyProtection="0"/>
    <xf numFmtId="0" fontId="1" fillId="71" borderId="83" applyNumberFormat="0" applyFont="0" applyAlignment="0" applyProtection="0"/>
    <xf numFmtId="0" fontId="1" fillId="71" borderId="83" applyNumberFormat="0" applyFont="0" applyAlignment="0" applyProtection="0"/>
    <xf numFmtId="0" fontId="59" fillId="71" borderId="83" applyNumberFormat="0" applyFont="0" applyAlignment="0" applyProtection="0"/>
    <xf numFmtId="0" fontId="59" fillId="71" borderId="83" applyNumberFormat="0" applyFont="0" applyAlignment="0" applyProtection="0"/>
    <xf numFmtId="0" fontId="1" fillId="71" borderId="83" applyNumberFormat="0" applyFont="0" applyAlignment="0" applyProtection="0"/>
    <xf numFmtId="0" fontId="1" fillId="71" borderId="83" applyNumberFormat="0" applyFont="0" applyAlignment="0" applyProtection="0"/>
    <xf numFmtId="0" fontId="59" fillId="71" borderId="83" applyNumberFormat="0" applyFont="0" applyAlignment="0" applyProtection="0"/>
    <xf numFmtId="0" fontId="1" fillId="71" borderId="83" applyNumberFormat="0" applyFont="0" applyAlignment="0" applyProtection="0"/>
    <xf numFmtId="0" fontId="1" fillId="71" borderId="83" applyNumberFormat="0" applyFont="0" applyAlignment="0" applyProtection="0"/>
    <xf numFmtId="0" fontId="1" fillId="71" borderId="83" applyNumberFormat="0" applyFont="0" applyAlignment="0" applyProtection="0"/>
    <xf numFmtId="0" fontId="1" fillId="71" borderId="83" applyNumberFormat="0" applyFont="0" applyAlignment="0" applyProtection="0"/>
    <xf numFmtId="0" fontId="1" fillId="71" borderId="83" applyNumberFormat="0" applyFont="0" applyAlignment="0" applyProtection="0"/>
    <xf numFmtId="0" fontId="1" fillId="71" borderId="83" applyNumberFormat="0" applyFont="0" applyAlignment="0" applyProtection="0"/>
    <xf numFmtId="0" fontId="1" fillId="71" borderId="83" applyNumberFormat="0" applyFont="0" applyAlignment="0" applyProtection="0"/>
    <xf numFmtId="0" fontId="34" fillId="71" borderId="83" applyNumberFormat="0" applyFont="0" applyAlignment="0" applyProtection="0"/>
    <xf numFmtId="0" fontId="1" fillId="71" borderId="83" applyNumberFormat="0" applyFont="0" applyAlignment="0" applyProtection="0"/>
    <xf numFmtId="0" fontId="1" fillId="71" borderId="83" applyNumberFormat="0" applyFont="0" applyAlignment="0" applyProtection="0"/>
    <xf numFmtId="0" fontId="1" fillId="71" borderId="83" applyNumberFormat="0" applyFont="0" applyAlignment="0" applyProtection="0"/>
    <xf numFmtId="0" fontId="1" fillId="71" borderId="83" applyNumberFormat="0" applyFont="0" applyAlignment="0" applyProtection="0"/>
    <xf numFmtId="0" fontId="1" fillId="71" borderId="83" applyNumberFormat="0" applyFont="0" applyAlignment="0" applyProtection="0"/>
    <xf numFmtId="0" fontId="1" fillId="71" borderId="83" applyNumberFormat="0" applyFont="0" applyAlignment="0" applyProtection="0"/>
    <xf numFmtId="0" fontId="1" fillId="71" borderId="83" applyNumberFormat="0" applyFont="0" applyAlignment="0" applyProtection="0"/>
    <xf numFmtId="0" fontId="1" fillId="71" borderId="83" applyNumberFormat="0" applyFont="0" applyAlignment="0" applyProtection="0"/>
    <xf numFmtId="0" fontId="1" fillId="71" borderId="83" applyNumberFormat="0" applyFont="0" applyAlignment="0" applyProtection="0"/>
    <xf numFmtId="0" fontId="1" fillId="71" borderId="83" applyNumberFormat="0" applyFont="0" applyAlignment="0" applyProtection="0"/>
    <xf numFmtId="0" fontId="1" fillId="71" borderId="83" applyNumberFormat="0" applyFont="0" applyAlignment="0" applyProtection="0"/>
    <xf numFmtId="0" fontId="1" fillId="71" borderId="83" applyNumberFormat="0" applyFont="0" applyAlignment="0" applyProtection="0"/>
    <xf numFmtId="0" fontId="1" fillId="71" borderId="83" applyNumberFormat="0" applyFont="0" applyAlignment="0" applyProtection="0"/>
    <xf numFmtId="0" fontId="1" fillId="71" borderId="83" applyNumberFormat="0" applyFont="0" applyAlignment="0" applyProtection="0"/>
    <xf numFmtId="0" fontId="1" fillId="71" borderId="83" applyNumberFormat="0" applyFont="0" applyAlignment="0" applyProtection="0"/>
    <xf numFmtId="0" fontId="1" fillId="71" borderId="83" applyNumberFormat="0" applyFont="0" applyAlignment="0" applyProtection="0"/>
    <xf numFmtId="0" fontId="1" fillId="71" borderId="83" applyNumberFormat="0" applyFont="0" applyAlignment="0" applyProtection="0"/>
    <xf numFmtId="0" fontId="1" fillId="71" borderId="83" applyNumberFormat="0" applyFont="0" applyAlignment="0" applyProtection="0"/>
    <xf numFmtId="0" fontId="1" fillId="71" borderId="83" applyNumberFormat="0" applyFont="0" applyAlignment="0" applyProtection="0"/>
    <xf numFmtId="0" fontId="47" fillId="15" borderId="1" applyNumberFormat="0" applyAlignment="0" applyProtection="0"/>
    <xf numFmtId="9" fontId="12" fillId="0" borderId="0" applyFont="0" applyFill="0" applyBorder="0" applyAlignment="0" applyProtection="0"/>
    <xf numFmtId="9" fontId="5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28"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3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0" fontId="90" fillId="66" borderId="0" applyNumberFormat="0" applyBorder="0" applyAlignment="0" applyProtection="0"/>
    <xf numFmtId="0" fontId="90" fillId="66" borderId="0" applyNumberFormat="0" applyBorder="0" applyAlignment="0" applyProtection="0"/>
    <xf numFmtId="0" fontId="90" fillId="66" borderId="0" applyNumberFormat="0" applyBorder="0" applyAlignment="0" applyProtection="0"/>
    <xf numFmtId="0" fontId="3" fillId="0" borderId="0"/>
    <xf numFmtId="0" fontId="87" fillId="0" borderId="0"/>
    <xf numFmtId="0" fontId="87" fillId="0" borderId="0"/>
    <xf numFmtId="0" fontId="102" fillId="0" borderId="0"/>
    <xf numFmtId="0" fontId="3" fillId="0" borderId="0"/>
    <xf numFmtId="0" fontId="87" fillId="0" borderId="0"/>
    <xf numFmtId="0" fontId="87" fillId="0" borderId="0"/>
    <xf numFmtId="0" fontId="102" fillId="0" borderId="0"/>
    <xf numFmtId="0" fontId="28"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10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2" fillId="0" borderId="0"/>
    <xf numFmtId="0" fontId="87" fillId="0" borderId="0"/>
    <xf numFmtId="0" fontId="3" fillId="0" borderId="0"/>
    <xf numFmtId="0" fontId="3" fillId="0" borderId="0"/>
    <xf numFmtId="0" fontId="3" fillId="0" borderId="0"/>
    <xf numFmtId="0" fontId="3" fillId="0" borderId="0"/>
    <xf numFmtId="0" fontId="103"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13" fillId="0" borderId="6" applyNumberFormat="0" applyFill="0" applyAlignment="0" applyProtection="0"/>
    <xf numFmtId="0" fontId="36" fillId="0" borderId="0" applyNumberFormat="0" applyFill="0" applyBorder="0" applyAlignment="0" applyProtection="0"/>
    <xf numFmtId="0" fontId="37" fillId="0" borderId="15" applyNumberFormat="0" applyFill="0" applyAlignment="0" applyProtection="0"/>
    <xf numFmtId="0" fontId="37" fillId="0" borderId="15" applyNumberFormat="0" applyFill="0" applyAlignment="0" applyProtection="0"/>
    <xf numFmtId="0" fontId="37" fillId="0" borderId="15" applyNumberFormat="0" applyFill="0" applyAlignment="0" applyProtection="0"/>
    <xf numFmtId="0" fontId="40" fillId="0" borderId="16" applyNumberFormat="0" applyFill="0" applyAlignment="0" applyProtection="0"/>
    <xf numFmtId="0" fontId="40" fillId="0" borderId="16" applyNumberFormat="0" applyFill="0" applyAlignment="0" applyProtection="0"/>
    <xf numFmtId="0" fontId="40" fillId="0" borderId="16" applyNumberFormat="0" applyFill="0" applyAlignment="0" applyProtection="0"/>
    <xf numFmtId="0" fontId="38" fillId="0" borderId="17" applyNumberFormat="0" applyFill="0" applyAlignment="0" applyProtection="0"/>
    <xf numFmtId="0" fontId="38" fillId="0" borderId="17" applyNumberFormat="0" applyFill="0" applyAlignment="0" applyProtection="0"/>
    <xf numFmtId="0" fontId="38" fillId="0" borderId="17" applyNumberFormat="0" applyFill="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100" fillId="0" borderId="82" applyNumberFormat="0" applyFill="0" applyAlignment="0" applyProtection="0"/>
    <xf numFmtId="0" fontId="100" fillId="0" borderId="82" applyNumberFormat="0" applyFill="0" applyAlignment="0" applyProtection="0"/>
    <xf numFmtId="0" fontId="100" fillId="0" borderId="82" applyNumberFormat="0" applyFill="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104" fillId="0" borderId="0" applyNumberFormat="0" applyFill="0" applyBorder="0" applyAlignment="0" applyProtection="0"/>
    <xf numFmtId="0" fontId="66"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92" fillId="67" borderId="77" applyNumberFormat="0" applyAlignment="0" applyProtection="0"/>
    <xf numFmtId="0" fontId="92" fillId="67" borderId="5" applyNumberFormat="0" applyAlignment="0" applyProtection="0"/>
    <xf numFmtId="0" fontId="92" fillId="67" borderId="77" applyNumberFormat="0" applyAlignment="0" applyProtection="0"/>
    <xf numFmtId="0" fontId="92" fillId="67" borderId="77" applyNumberFormat="0" applyAlignment="0" applyProtection="0"/>
    <xf numFmtId="0" fontId="92" fillId="67" borderId="5" applyNumberFormat="0" applyAlignment="0" applyProtection="0"/>
    <xf numFmtId="0" fontId="13" fillId="15" borderId="2" applyNumberFormat="0" applyAlignment="0" applyProtection="0"/>
    <xf numFmtId="0" fontId="13" fillId="9" borderId="2" applyNumberFormat="0" applyAlignment="0" applyProtection="0"/>
    <xf numFmtId="0" fontId="13" fillId="9" borderId="2" applyNumberFormat="0" applyAlignment="0" applyProtection="0"/>
    <xf numFmtId="0" fontId="13" fillId="15" borderId="2" applyNumberFormat="0" applyAlignment="0" applyProtection="0"/>
    <xf numFmtId="0" fontId="13" fillId="15" borderId="2" applyNumberFormat="0" applyAlignment="0" applyProtection="0"/>
    <xf numFmtId="0" fontId="1" fillId="71" borderId="83" applyNumberFormat="0" applyFont="0" applyAlignment="0" applyProtection="0"/>
    <xf numFmtId="0" fontId="1" fillId="71" borderId="83" applyNumberFormat="0" applyFont="0" applyAlignment="0" applyProtection="0"/>
    <xf numFmtId="0" fontId="1" fillId="71" borderId="83"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cellStyleXfs>
  <cellXfs count="998">
    <xf numFmtId="0" fontId="0" fillId="0" borderId="0" xfId="0"/>
    <xf numFmtId="0" fontId="7" fillId="0" borderId="18" xfId="0" applyFont="1" applyBorder="1" applyAlignment="1">
      <alignment horizontal="center" vertical="center" wrapText="1"/>
    </xf>
    <xf numFmtId="0" fontId="8" fillId="0" borderId="0" xfId="0" applyFont="1" applyAlignment="1">
      <alignment horizontal="left"/>
    </xf>
    <xf numFmtId="0" fontId="8" fillId="0" borderId="0" xfId="0" applyFont="1"/>
    <xf numFmtId="0" fontId="7" fillId="0" borderId="0" xfId="0" applyFont="1"/>
    <xf numFmtId="0" fontId="7" fillId="0" borderId="0" xfId="509" applyFont="1" applyAlignment="1">
      <alignment horizontal="center"/>
    </xf>
    <xf numFmtId="0" fontId="7" fillId="0" borderId="0" xfId="510" applyFont="1"/>
    <xf numFmtId="0" fontId="7" fillId="0" borderId="0" xfId="0" applyFont="1" applyAlignment="1">
      <alignment wrapText="1"/>
    </xf>
    <xf numFmtId="0" fontId="19" fillId="0" borderId="0" xfId="0" applyFont="1"/>
    <xf numFmtId="0" fontId="23" fillId="0" borderId="0" xfId="0" applyFont="1"/>
    <xf numFmtId="0" fontId="4" fillId="0" borderId="0" xfId="477" applyFont="1"/>
    <xf numFmtId="0" fontId="14" fillId="0" borderId="0" xfId="0" applyFont="1"/>
    <xf numFmtId="0" fontId="23" fillId="0" borderId="0" xfId="0" applyFont="1" applyAlignment="1">
      <alignment vertical="center"/>
    </xf>
    <xf numFmtId="14" fontId="14" fillId="0" borderId="0" xfId="0" applyNumberFormat="1" applyFont="1" applyAlignment="1">
      <alignment horizontal="left"/>
    </xf>
    <xf numFmtId="14" fontId="14" fillId="27" borderId="0" xfId="0" applyNumberFormat="1" applyFont="1" applyFill="1" applyAlignment="1">
      <alignment horizontal="left"/>
    </xf>
    <xf numFmtId="0" fontId="19" fillId="0" borderId="0" xfId="0" applyFont="1" applyAlignment="1">
      <alignment horizontal="center"/>
    </xf>
    <xf numFmtId="0" fontId="19" fillId="0" borderId="0" xfId="0" applyFont="1" applyAlignment="1">
      <alignment horizontal="center" vertical="center"/>
    </xf>
    <xf numFmtId="0" fontId="3" fillId="0" borderId="0" xfId="0" applyFont="1"/>
    <xf numFmtId="0" fontId="21" fillId="0" borderId="0" xfId="0" applyFont="1"/>
    <xf numFmtId="0" fontId="5" fillId="0" borderId="0" xfId="0" applyFont="1"/>
    <xf numFmtId="0" fontId="6" fillId="0" borderId="0" xfId="0" applyFont="1"/>
    <xf numFmtId="0" fontId="3" fillId="0" borderId="0" xfId="477"/>
    <xf numFmtId="0" fontId="24" fillId="0" borderId="0" xfId="0" applyFont="1"/>
    <xf numFmtId="0" fontId="15" fillId="0" borderId="0" xfId="0" applyFont="1"/>
    <xf numFmtId="0" fontId="27" fillId="0" borderId="0" xfId="0" applyFont="1"/>
    <xf numFmtId="0" fontId="3" fillId="0" borderId="0" xfId="477" applyAlignment="1">
      <alignment horizontal="left"/>
    </xf>
    <xf numFmtId="0" fontId="16" fillId="0" borderId="0" xfId="0" applyFont="1"/>
    <xf numFmtId="0" fontId="18" fillId="0" borderId="0" xfId="477" applyFont="1"/>
    <xf numFmtId="0" fontId="4" fillId="0" borderId="0" xfId="477" applyFont="1" applyAlignment="1">
      <alignment horizontal="left"/>
    </xf>
    <xf numFmtId="0" fontId="18" fillId="0" borderId="0" xfId="477" applyFont="1" applyAlignment="1">
      <alignment vertical="center"/>
    </xf>
    <xf numFmtId="0" fontId="23" fillId="28" borderId="0" xfId="0" applyFont="1" applyFill="1"/>
    <xf numFmtId="0" fontId="3" fillId="0" borderId="0" xfId="0" applyFont="1" applyAlignment="1">
      <alignment wrapText="1"/>
    </xf>
    <xf numFmtId="0" fontId="22" fillId="0" borderId="0" xfId="0" applyFont="1"/>
    <xf numFmtId="0" fontId="20" fillId="0" borderId="0" xfId="0" applyFont="1"/>
    <xf numFmtId="0" fontId="14" fillId="0" borderId="19" xfId="0" applyFont="1" applyBorder="1" applyAlignment="1">
      <alignment horizontal="center" vertical="center" wrapText="1"/>
    </xf>
    <xf numFmtId="0" fontId="14" fillId="0" borderId="0" xfId="0" applyFont="1" applyAlignment="1">
      <alignment vertical="center"/>
    </xf>
    <xf numFmtId="0" fontId="26" fillId="0" borderId="0" xfId="0" applyFont="1"/>
    <xf numFmtId="14" fontId="29" fillId="29" borderId="19" xfId="0" applyNumberFormat="1" applyFont="1" applyFill="1" applyBorder="1" applyAlignment="1">
      <alignment horizontal="center" vertical="center"/>
    </xf>
    <xf numFmtId="0" fontId="11" fillId="29" borderId="19" xfId="477" applyFont="1" applyFill="1" applyBorder="1" applyAlignment="1">
      <alignment vertical="center"/>
    </xf>
    <xf numFmtId="0" fontId="23" fillId="30" borderId="20" xfId="0" applyFont="1" applyFill="1" applyBorder="1" applyAlignment="1">
      <alignment horizontal="center" vertical="center"/>
    </xf>
    <xf numFmtId="0" fontId="19" fillId="0" borderId="0" xfId="0" applyFont="1" applyAlignment="1">
      <alignment horizontal="center" vertical="center" wrapText="1"/>
    </xf>
    <xf numFmtId="0" fontId="35" fillId="0" borderId="0" xfId="0" applyFont="1"/>
    <xf numFmtId="0" fontId="31" fillId="0" borderId="0" xfId="0" applyFont="1"/>
    <xf numFmtId="165" fontId="31" fillId="0" borderId="0" xfId="0" applyNumberFormat="1" applyFont="1"/>
    <xf numFmtId="0" fontId="23" fillId="27" borderId="20" xfId="0" applyFont="1" applyFill="1" applyBorder="1" applyAlignment="1">
      <alignment horizontal="center" vertical="center"/>
    </xf>
    <xf numFmtId="0" fontId="23" fillId="27" borderId="21" xfId="0" applyFont="1" applyFill="1" applyBorder="1" applyAlignment="1">
      <alignment horizontal="center" vertical="center"/>
    </xf>
    <xf numFmtId="49" fontId="19" fillId="0" borderId="0" xfId="0" applyNumberFormat="1" applyFont="1" applyAlignment="1">
      <alignment horizontal="center" vertical="center"/>
    </xf>
    <xf numFmtId="0" fontId="41" fillId="0" borderId="0" xfId="0" applyFont="1" applyAlignment="1">
      <alignment horizontal="left" vertical="top"/>
    </xf>
    <xf numFmtId="0" fontId="67" fillId="0" borderId="0" xfId="477" applyFont="1"/>
    <xf numFmtId="0" fontId="7" fillId="0" borderId="22" xfId="0" applyFont="1" applyBorder="1" applyAlignment="1">
      <alignment textRotation="90" wrapText="1"/>
    </xf>
    <xf numFmtId="0" fontId="19" fillId="0" borderId="23" xfId="0" applyFont="1" applyBorder="1"/>
    <xf numFmtId="0" fontId="7" fillId="0" borderId="24" xfId="0" applyFont="1" applyBorder="1" applyAlignment="1">
      <alignment horizontal="center" vertical="center" wrapText="1"/>
    </xf>
    <xf numFmtId="164" fontId="7" fillId="0" borderId="25" xfId="399" applyNumberFormat="1" applyFont="1" applyFill="1" applyBorder="1" applyAlignment="1" applyProtection="1">
      <alignment horizontal="center" vertical="center"/>
    </xf>
    <xf numFmtId="0" fontId="9" fillId="0" borderId="0" xfId="477" applyFont="1" applyAlignment="1">
      <alignment horizontal="left"/>
    </xf>
    <xf numFmtId="164" fontId="3" fillId="0" borderId="0" xfId="477" applyNumberFormat="1"/>
    <xf numFmtId="164" fontId="31" fillId="0" borderId="0" xfId="399" applyNumberFormat="1" applyFont="1" applyProtection="1"/>
    <xf numFmtId="10" fontId="31" fillId="0" borderId="0" xfId="399" applyNumberFormat="1" applyFont="1" applyProtection="1"/>
    <xf numFmtId="9" fontId="31" fillId="0" borderId="0" xfId="0" applyNumberFormat="1" applyFont="1"/>
    <xf numFmtId="164" fontId="18" fillId="31" borderId="20" xfId="399" applyNumberFormat="1" applyFont="1" applyFill="1" applyBorder="1" applyAlignment="1" applyProtection="1">
      <alignment horizontal="center" vertical="center" wrapText="1"/>
    </xf>
    <xf numFmtId="14" fontId="7" fillId="30" borderId="0" xfId="0" applyNumberFormat="1" applyFont="1" applyFill="1" applyAlignment="1">
      <alignment horizontal="left"/>
    </xf>
    <xf numFmtId="0" fontId="7" fillId="0" borderId="26" xfId="0" applyFont="1" applyBorder="1" applyAlignment="1">
      <alignment horizontal="center" vertical="center"/>
    </xf>
    <xf numFmtId="0" fontId="7" fillId="0" borderId="27" xfId="0" applyFont="1" applyBorder="1" applyAlignment="1">
      <alignment horizontal="center" vertical="center"/>
    </xf>
    <xf numFmtId="0" fontId="7" fillId="32" borderId="28" xfId="0" applyFont="1" applyFill="1" applyBorder="1" applyAlignment="1">
      <alignment horizontal="center" wrapText="1"/>
    </xf>
    <xf numFmtId="0" fontId="3" fillId="0" borderId="0" xfId="477" applyAlignment="1">
      <alignment vertical="center"/>
    </xf>
    <xf numFmtId="0" fontId="23" fillId="31" borderId="29" xfId="0" applyFont="1" applyFill="1" applyBorder="1" applyAlignment="1">
      <alignment horizontal="center" vertical="center" wrapText="1"/>
    </xf>
    <xf numFmtId="0" fontId="23" fillId="30" borderId="29" xfId="0" applyFont="1" applyFill="1" applyBorder="1" applyAlignment="1">
      <alignment horizontal="center" vertical="center"/>
    </xf>
    <xf numFmtId="0" fontId="10" fillId="0" borderId="25" xfId="0" applyFont="1" applyBorder="1" applyAlignment="1">
      <alignment horizontal="center" vertical="center"/>
    </xf>
    <xf numFmtId="0" fontId="10" fillId="0" borderId="32" xfId="0" applyFont="1" applyBorder="1" applyAlignment="1">
      <alignment horizontal="center" vertical="center"/>
    </xf>
    <xf numFmtId="0" fontId="10" fillId="0" borderId="18" xfId="0" applyFont="1" applyBorder="1" applyAlignment="1">
      <alignment horizontal="center" vertical="center"/>
    </xf>
    <xf numFmtId="0" fontId="32" fillId="0" borderId="33" xfId="0" applyFont="1" applyBorder="1" applyAlignment="1">
      <alignment horizontal="center" vertical="center" wrapText="1"/>
    </xf>
    <xf numFmtId="0" fontId="32" fillId="0" borderId="34" xfId="0" applyFont="1" applyBorder="1" applyAlignment="1">
      <alignment horizontal="center" vertical="center" wrapText="1"/>
    </xf>
    <xf numFmtId="0" fontId="32" fillId="0" borderId="35" xfId="0" applyFont="1" applyBorder="1" applyAlignment="1">
      <alignment horizontal="center" vertical="center" wrapText="1"/>
    </xf>
    <xf numFmtId="0" fontId="44" fillId="0" borderId="0" xfId="0" applyFont="1" applyAlignment="1">
      <alignment vertical="center"/>
    </xf>
    <xf numFmtId="0" fontId="69" fillId="33" borderId="20" xfId="0" applyFont="1" applyFill="1" applyBorder="1" applyAlignment="1">
      <alignment horizontal="center" vertical="center"/>
    </xf>
    <xf numFmtId="1" fontId="14" fillId="34" borderId="27" xfId="0" applyNumberFormat="1" applyFont="1" applyFill="1" applyBorder="1" applyAlignment="1" applyProtection="1">
      <alignment horizontal="center" vertical="center"/>
      <protection locked="0"/>
    </xf>
    <xf numFmtId="1" fontId="14" fillId="34" borderId="36" xfId="0" applyNumberFormat="1" applyFont="1" applyFill="1" applyBorder="1" applyAlignment="1" applyProtection="1">
      <alignment horizontal="center" vertical="center"/>
      <protection locked="0"/>
    </xf>
    <xf numFmtId="0" fontId="0" fillId="0" borderId="0" xfId="0" applyAlignment="1">
      <alignment horizontal="center" vertical="center"/>
    </xf>
    <xf numFmtId="0" fontId="32" fillId="0" borderId="37" xfId="0" applyFont="1" applyBorder="1" applyAlignment="1">
      <alignment horizontal="center" vertical="center" wrapText="1"/>
    </xf>
    <xf numFmtId="0" fontId="10" fillId="0" borderId="38" xfId="0" applyFont="1" applyBorder="1" applyAlignment="1">
      <alignment horizontal="center" vertical="center"/>
    </xf>
    <xf numFmtId="0" fontId="7" fillId="0" borderId="28" xfId="0" applyFont="1" applyBorder="1" applyAlignment="1">
      <alignment horizontal="center" vertical="center"/>
    </xf>
    <xf numFmtId="1" fontId="14" fillId="34" borderId="28" xfId="0" applyNumberFormat="1" applyFont="1" applyFill="1" applyBorder="1" applyAlignment="1" applyProtection="1">
      <alignment horizontal="center" vertical="center"/>
      <protection locked="0"/>
    </xf>
    <xf numFmtId="0" fontId="7" fillId="32" borderId="28" xfId="0" applyFont="1" applyFill="1" applyBorder="1" applyAlignment="1">
      <alignment horizontal="center" vertical="top" wrapText="1"/>
    </xf>
    <xf numFmtId="0" fontId="70" fillId="0" borderId="0" xfId="0" applyFont="1"/>
    <xf numFmtId="0" fontId="14" fillId="0" borderId="39" xfId="0" applyFont="1" applyBorder="1"/>
    <xf numFmtId="0" fontId="14" fillId="0" borderId="40" xfId="0" applyFont="1" applyBorder="1"/>
    <xf numFmtId="0" fontId="69" fillId="27" borderId="29" xfId="0" applyFont="1" applyFill="1" applyBorder="1" applyAlignment="1">
      <alignment horizontal="center" vertical="center"/>
    </xf>
    <xf numFmtId="0" fontId="69" fillId="27" borderId="31" xfId="0" applyFont="1" applyFill="1" applyBorder="1" applyAlignment="1">
      <alignment horizontal="center" vertical="center"/>
    </xf>
    <xf numFmtId="0" fontId="14" fillId="28" borderId="0" xfId="0" applyFont="1" applyFill="1" applyAlignment="1">
      <alignment horizontal="right" vertical="center"/>
    </xf>
    <xf numFmtId="0" fontId="14" fillId="28" borderId="0" xfId="0" applyFont="1" applyFill="1"/>
    <xf numFmtId="0" fontId="14" fillId="0" borderId="0" xfId="0" applyFont="1" applyAlignment="1">
      <alignment horizontal="right" vertical="center"/>
    </xf>
    <xf numFmtId="0" fontId="26" fillId="0" borderId="0" xfId="0" applyFont="1" applyAlignment="1">
      <alignment vertical="center"/>
    </xf>
    <xf numFmtId="0" fontId="26" fillId="0" borderId="19" xfId="0" applyFont="1" applyBorder="1" applyAlignment="1">
      <alignment horizontal="center" vertical="center" wrapText="1"/>
    </xf>
    <xf numFmtId="0" fontId="17" fillId="0" borderId="41" xfId="0" applyFont="1" applyBorder="1"/>
    <xf numFmtId="0" fontId="17" fillId="0" borderId="42" xfId="0" applyFont="1" applyBorder="1"/>
    <xf numFmtId="0" fontId="14" fillId="0" borderId="19" xfId="0" applyFont="1" applyBorder="1" applyAlignment="1">
      <alignment horizontal="center" vertical="center"/>
    </xf>
    <xf numFmtId="0" fontId="14" fillId="0" borderId="41" xfId="0" applyFont="1" applyBorder="1" applyAlignment="1">
      <alignment vertical="center"/>
    </xf>
    <xf numFmtId="0" fontId="17" fillId="0" borderId="41" xfId="0" applyFont="1" applyBorder="1" applyAlignment="1">
      <alignment vertical="center"/>
    </xf>
    <xf numFmtId="0" fontId="14" fillId="0" borderId="40" xfId="0" applyFont="1" applyBorder="1" applyAlignment="1">
      <alignment vertical="center"/>
    </xf>
    <xf numFmtId="0" fontId="17" fillId="0" borderId="40" xfId="0" applyFont="1" applyBorder="1" applyAlignment="1">
      <alignment vertical="center"/>
    </xf>
    <xf numFmtId="0" fontId="17" fillId="0" borderId="40" xfId="0" applyFont="1" applyBorder="1"/>
    <xf numFmtId="0" fontId="17" fillId="0" borderId="43" xfId="0" applyFont="1" applyBorder="1"/>
    <xf numFmtId="0" fontId="14" fillId="0" borderId="43" xfId="0" applyFont="1" applyBorder="1"/>
    <xf numFmtId="0" fontId="14" fillId="0" borderId="40" xfId="0" applyFont="1" applyBorder="1" applyAlignment="1">
      <alignment horizontal="left" vertical="center"/>
    </xf>
    <xf numFmtId="0" fontId="26" fillId="0" borderId="43" xfId="0" applyFont="1" applyBorder="1" applyAlignment="1">
      <alignment horizontal="center" vertical="center"/>
    </xf>
    <xf numFmtId="1" fontId="70" fillId="0" borderId="0" xfId="0" applyNumberFormat="1" applyFont="1"/>
    <xf numFmtId="14" fontId="70" fillId="0" borderId="0" xfId="0" applyNumberFormat="1" applyFont="1" applyAlignment="1">
      <alignment horizontal="left" vertical="center"/>
    </xf>
    <xf numFmtId="14" fontId="70" fillId="0" borderId="0" xfId="0" applyNumberFormat="1" applyFont="1"/>
    <xf numFmtId="14" fontId="70" fillId="0" borderId="0" xfId="0" applyNumberFormat="1" applyFont="1" applyAlignment="1">
      <alignment horizontal="center"/>
    </xf>
    <xf numFmtId="0" fontId="70" fillId="36" borderId="19" xfId="0" applyFont="1" applyFill="1" applyBorder="1" applyAlignment="1">
      <alignment horizontal="center" vertical="center"/>
    </xf>
    <xf numFmtId="9" fontId="14" fillId="36" borderId="19" xfId="399" applyFont="1" applyFill="1" applyBorder="1" applyAlignment="1" applyProtection="1">
      <alignment horizontal="center" vertical="center"/>
    </xf>
    <xf numFmtId="166" fontId="14" fillId="36" borderId="19" xfId="399" applyNumberFormat="1" applyFont="1" applyFill="1" applyBorder="1" applyAlignment="1" applyProtection="1">
      <alignment horizontal="center" vertical="center"/>
    </xf>
    <xf numFmtId="0" fontId="70" fillId="0" borderId="43" xfId="0" applyFont="1" applyBorder="1" applyAlignment="1">
      <alignment horizontal="center" vertical="center"/>
    </xf>
    <xf numFmtId="166" fontId="14" fillId="36" borderId="43" xfId="399" applyNumberFormat="1" applyFont="1" applyFill="1" applyBorder="1" applyAlignment="1" applyProtection="1">
      <alignment horizontal="center" vertical="center"/>
    </xf>
    <xf numFmtId="166" fontId="14" fillId="0" borderId="43" xfId="399" applyNumberFormat="1" applyFont="1" applyBorder="1" applyAlignment="1" applyProtection="1">
      <alignment horizontal="center" vertical="center"/>
    </xf>
    <xf numFmtId="0" fontId="70" fillId="0" borderId="0" xfId="0" applyFont="1" applyAlignment="1">
      <alignment horizontal="center" vertical="center"/>
    </xf>
    <xf numFmtId="10" fontId="14" fillId="34" borderId="27" xfId="399" applyNumberFormat="1" applyFont="1" applyFill="1" applyBorder="1" applyAlignment="1" applyProtection="1">
      <alignment horizontal="center" vertical="center"/>
      <protection locked="0"/>
    </xf>
    <xf numFmtId="10" fontId="14" fillId="34" borderId="44" xfId="399" applyNumberFormat="1" applyFont="1" applyFill="1" applyBorder="1" applyAlignment="1" applyProtection="1">
      <alignment horizontal="center" vertical="center"/>
      <protection locked="0"/>
    </xf>
    <xf numFmtId="0" fontId="14" fillId="0" borderId="27" xfId="0" applyFont="1" applyBorder="1" applyAlignment="1">
      <alignment vertical="center" wrapText="1"/>
    </xf>
    <xf numFmtId="1" fontId="26" fillId="29" borderId="27" xfId="0" applyNumberFormat="1" applyFont="1" applyFill="1" applyBorder="1" applyAlignment="1">
      <alignment horizontal="center" vertical="center" wrapText="1"/>
    </xf>
    <xf numFmtId="1" fontId="26" fillId="34" borderId="27" xfId="0" applyNumberFormat="1" applyFont="1" applyFill="1" applyBorder="1" applyAlignment="1" applyProtection="1">
      <alignment horizontal="center" vertical="center"/>
      <protection locked="0"/>
    </xf>
    <xf numFmtId="0" fontId="14" fillId="0" borderId="45" xfId="0" applyFont="1" applyBorder="1" applyAlignment="1">
      <alignment vertical="center" wrapText="1"/>
    </xf>
    <xf numFmtId="0" fontId="55" fillId="0" borderId="0" xfId="0" applyFont="1"/>
    <xf numFmtId="0" fontId="26" fillId="0" borderId="19" xfId="0" applyFont="1" applyBorder="1" applyAlignment="1">
      <alignment horizontal="center" vertical="center"/>
    </xf>
    <xf numFmtId="0" fontId="14" fillId="0" borderId="19" xfId="0" applyFont="1" applyBorder="1" applyAlignment="1">
      <alignment horizontal="left" vertical="center" wrapText="1"/>
    </xf>
    <xf numFmtId="0" fontId="14" fillId="0" borderId="0" xfId="0" applyFont="1" applyAlignment="1">
      <alignment horizontal="left" vertical="center"/>
    </xf>
    <xf numFmtId="0" fontId="26" fillId="0" borderId="0" xfId="0" applyFont="1" applyAlignment="1">
      <alignment horizontal="left" vertical="center"/>
    </xf>
    <xf numFmtId="0" fontId="7" fillId="0" borderId="0" xfId="0" applyFont="1" applyAlignment="1">
      <alignment horizontal="center" vertical="center"/>
    </xf>
    <xf numFmtId="0" fontId="7" fillId="0" borderId="19" xfId="0" applyFont="1" applyBorder="1" applyAlignment="1">
      <alignment horizontal="center" vertical="center"/>
    </xf>
    <xf numFmtId="9" fontId="26" fillId="0" borderId="19" xfId="399" applyFont="1" applyBorder="1" applyAlignment="1" applyProtection="1">
      <alignment horizontal="center" vertical="center"/>
    </xf>
    <xf numFmtId="9" fontId="14" fillId="0" borderId="19" xfId="399" applyFont="1" applyBorder="1" applyAlignment="1" applyProtection="1">
      <alignment horizontal="center" vertical="center"/>
    </xf>
    <xf numFmtId="166" fontId="14" fillId="0" borderId="19" xfId="399" applyNumberFormat="1" applyFont="1" applyBorder="1" applyAlignment="1" applyProtection="1">
      <alignment horizontal="center" vertical="center"/>
    </xf>
    <xf numFmtId="164" fontId="7" fillId="31" borderId="20" xfId="399" applyNumberFormat="1" applyFont="1" applyFill="1" applyBorder="1" applyAlignment="1" applyProtection="1">
      <alignment horizontal="center" vertical="center" wrapText="1"/>
    </xf>
    <xf numFmtId="0" fontId="45" fillId="0" borderId="19" xfId="0" applyFont="1" applyBorder="1" applyAlignment="1">
      <alignment vertical="center"/>
    </xf>
    <xf numFmtId="0" fontId="14" fillId="36" borderId="19" xfId="0" applyFont="1" applyFill="1" applyBorder="1" applyAlignment="1">
      <alignment vertical="center"/>
    </xf>
    <xf numFmtId="9" fontId="70" fillId="36" borderId="19" xfId="0" applyNumberFormat="1" applyFont="1" applyFill="1" applyBorder="1" applyAlignment="1">
      <alignment horizontal="center" vertical="center"/>
    </xf>
    <xf numFmtId="0" fontId="70" fillId="0" borderId="43" xfId="0" applyFont="1" applyBorder="1" applyAlignment="1">
      <alignment vertical="center"/>
    </xf>
    <xf numFmtId="0" fontId="70" fillId="0" borderId="0" xfId="0" applyFont="1" applyAlignment="1">
      <alignment vertical="center"/>
    </xf>
    <xf numFmtId="0" fontId="70" fillId="0" borderId="46" xfId="0" applyFont="1" applyBorder="1" applyAlignment="1">
      <alignment vertical="center"/>
    </xf>
    <xf numFmtId="0" fontId="70" fillId="0" borderId="40" xfId="0" applyFont="1" applyBorder="1" applyAlignment="1">
      <alignment vertical="center"/>
    </xf>
    <xf numFmtId="0" fontId="70" fillId="0" borderId="39" xfId="0" applyFont="1" applyBorder="1" applyAlignment="1">
      <alignment vertical="center"/>
    </xf>
    <xf numFmtId="0" fontId="14" fillId="0" borderId="39" xfId="0" applyFont="1" applyBorder="1" applyAlignment="1">
      <alignment vertical="center"/>
    </xf>
    <xf numFmtId="0" fontId="26" fillId="0" borderId="43" xfId="0" applyFont="1" applyBorder="1" applyAlignment="1">
      <alignment vertical="center"/>
    </xf>
    <xf numFmtId="0" fontId="26" fillId="0" borderId="40" xfId="0" applyFont="1" applyBorder="1" applyAlignment="1">
      <alignment vertical="center"/>
    </xf>
    <xf numFmtId="0" fontId="26" fillId="0" borderId="39" xfId="0" applyFont="1" applyBorder="1" applyAlignment="1">
      <alignment vertical="center"/>
    </xf>
    <xf numFmtId="0" fontId="14" fillId="31" borderId="48" xfId="0" applyFont="1" applyFill="1" applyBorder="1" applyAlignment="1">
      <alignment horizontal="center" vertical="center"/>
    </xf>
    <xf numFmtId="49" fontId="14" fillId="37" borderId="48" xfId="0" applyNumberFormat="1" applyFont="1" applyFill="1" applyBorder="1" applyAlignment="1">
      <alignment horizontal="center" vertical="center" wrapText="1"/>
    </xf>
    <xf numFmtId="49" fontId="14" fillId="0" borderId="26" xfId="0" applyNumberFormat="1" applyFont="1" applyBorder="1" applyAlignment="1">
      <alignment horizontal="center" vertical="center"/>
    </xf>
    <xf numFmtId="49" fontId="14" fillId="0" borderId="19" xfId="0" applyNumberFormat="1" applyFont="1" applyBorder="1" applyAlignment="1">
      <alignment horizontal="center" vertical="center"/>
    </xf>
    <xf numFmtId="0" fontId="69" fillId="0" borderId="0" xfId="0" applyFont="1" applyAlignment="1">
      <alignment horizontal="left" vertical="center"/>
    </xf>
    <xf numFmtId="0" fontId="69" fillId="0" borderId="0" xfId="0" applyFont="1" applyAlignment="1">
      <alignment vertical="center"/>
    </xf>
    <xf numFmtId="0" fontId="69" fillId="0" borderId="0" xfId="0" applyFont="1" applyAlignment="1">
      <alignment horizontal="center" vertical="center"/>
    </xf>
    <xf numFmtId="0" fontId="72" fillId="0" borderId="19" xfId="0" applyFont="1" applyBorder="1" applyAlignment="1">
      <alignment horizontal="center" vertical="center" wrapText="1"/>
    </xf>
    <xf numFmtId="0" fontId="72" fillId="0" borderId="19" xfId="0" applyFont="1" applyBorder="1" applyAlignment="1">
      <alignment horizontal="center" vertical="center"/>
    </xf>
    <xf numFmtId="0" fontId="14" fillId="31" borderId="45" xfId="0" applyFont="1" applyFill="1" applyBorder="1" applyAlignment="1">
      <alignment horizontal="center" vertical="center" wrapText="1"/>
    </xf>
    <xf numFmtId="0" fontId="14" fillId="0" borderId="49" xfId="0" applyFont="1" applyBorder="1" applyAlignment="1">
      <alignment horizontal="center" vertical="center" wrapText="1"/>
    </xf>
    <xf numFmtId="0" fontId="14" fillId="0" borderId="51" xfId="0" applyFont="1" applyBorder="1" applyAlignment="1">
      <alignment horizontal="center" vertical="center" wrapText="1"/>
    </xf>
    <xf numFmtId="49" fontId="14" fillId="0" borderId="19" xfId="0" applyNumberFormat="1" applyFont="1" applyBorder="1" applyAlignment="1">
      <alignment horizontal="center" vertical="center" wrapText="1"/>
    </xf>
    <xf numFmtId="2" fontId="14" fillId="0" borderId="19" xfId="0" applyNumberFormat="1" applyFont="1" applyBorder="1" applyAlignment="1">
      <alignment horizontal="center" vertical="center" wrapText="1"/>
    </xf>
    <xf numFmtId="0" fontId="14" fillId="0" borderId="0" xfId="0" applyFont="1" applyAlignment="1">
      <alignment horizontal="center" vertical="center"/>
    </xf>
    <xf numFmtId="9" fontId="70" fillId="0" borderId="19" xfId="0" applyNumberFormat="1" applyFont="1" applyBorder="1" applyAlignment="1">
      <alignment horizontal="center" vertical="center"/>
    </xf>
    <xf numFmtId="0" fontId="14" fillId="33" borderId="20" xfId="0" applyFont="1" applyFill="1" applyBorder="1" applyAlignment="1">
      <alignment horizontal="center" vertical="center"/>
    </xf>
    <xf numFmtId="0" fontId="14" fillId="30" borderId="20" xfId="0" applyFont="1" applyFill="1" applyBorder="1" applyAlignment="1">
      <alignment horizontal="center" vertical="center"/>
    </xf>
    <xf numFmtId="0" fontId="14" fillId="38" borderId="20" xfId="0" applyFont="1" applyFill="1" applyBorder="1" applyAlignment="1">
      <alignment horizontal="center" vertical="center"/>
    </xf>
    <xf numFmtId="0" fontId="14" fillId="38" borderId="21" xfId="0" applyFont="1" applyFill="1" applyBorder="1" applyAlignment="1">
      <alignment horizontal="center" vertical="center"/>
    </xf>
    <xf numFmtId="0" fontId="45" fillId="0" borderId="0" xfId="0" applyFont="1" applyAlignment="1">
      <alignment vertical="center"/>
    </xf>
    <xf numFmtId="0" fontId="14" fillId="31" borderId="29" xfId="0" applyFont="1" applyFill="1" applyBorder="1" applyAlignment="1">
      <alignment horizontal="center" vertical="center" wrapText="1"/>
    </xf>
    <xf numFmtId="0" fontId="14" fillId="30" borderId="29" xfId="0" applyFont="1" applyFill="1" applyBorder="1" applyAlignment="1">
      <alignment horizontal="center" vertical="center"/>
    </xf>
    <xf numFmtId="0" fontId="14" fillId="38" borderId="29" xfId="0" applyFont="1" applyFill="1" applyBorder="1" applyAlignment="1">
      <alignment horizontal="center" vertical="center"/>
    </xf>
    <xf numFmtId="0" fontId="14" fillId="38" borderId="31" xfId="0" applyFont="1" applyFill="1" applyBorder="1" applyAlignment="1">
      <alignment horizontal="center" vertical="center"/>
    </xf>
    <xf numFmtId="0" fontId="7" fillId="0" borderId="0" xfId="0" applyFont="1" applyAlignment="1">
      <alignment vertical="center"/>
    </xf>
    <xf numFmtId="0" fontId="8" fillId="0" borderId="0" xfId="0" applyFont="1" applyAlignment="1">
      <alignment horizontal="center" vertical="center"/>
    </xf>
    <xf numFmtId="0" fontId="14" fillId="0" borderId="19" xfId="0" applyFont="1" applyBorder="1" applyAlignment="1">
      <alignment vertical="center"/>
    </xf>
    <xf numFmtId="0" fontId="7" fillId="0" borderId="19" xfId="0" applyFont="1" applyBorder="1" applyAlignment="1">
      <alignment vertical="center"/>
    </xf>
    <xf numFmtId="49" fontId="14" fillId="37" borderId="52" xfId="0" applyNumberFormat="1" applyFont="1" applyFill="1" applyBorder="1" applyAlignment="1">
      <alignment horizontal="center" vertical="center" wrapText="1"/>
    </xf>
    <xf numFmtId="0" fontId="15" fillId="0" borderId="0" xfId="0" applyFont="1" applyAlignment="1">
      <alignment vertical="center"/>
    </xf>
    <xf numFmtId="0" fontId="68" fillId="0" borderId="19" xfId="0" applyFont="1" applyBorder="1" applyAlignment="1">
      <alignment horizontal="left" vertical="center"/>
    </xf>
    <xf numFmtId="0" fontId="68" fillId="0" borderId="0" xfId="0" applyFont="1" applyAlignment="1">
      <alignment vertical="center"/>
    </xf>
    <xf numFmtId="0" fontId="4" fillId="0" borderId="0" xfId="477" applyFont="1" applyAlignment="1">
      <alignment vertical="center"/>
    </xf>
    <xf numFmtId="14" fontId="68" fillId="0" borderId="19" xfId="0" applyNumberFormat="1" applyFont="1" applyBorder="1" applyAlignment="1">
      <alignment horizontal="left" vertical="center"/>
    </xf>
    <xf numFmtId="0" fontId="68" fillId="0" borderId="31" xfId="0" applyFont="1" applyBorder="1" applyAlignment="1">
      <alignment horizontal="center" vertical="center"/>
    </xf>
    <xf numFmtId="0" fontId="68" fillId="0" borderId="0" xfId="0" applyFont="1" applyAlignment="1">
      <alignment horizontal="center" vertical="center"/>
    </xf>
    <xf numFmtId="0" fontId="0" fillId="0" borderId="0" xfId="0" applyAlignment="1">
      <alignment vertical="center"/>
    </xf>
    <xf numFmtId="0" fontId="69" fillId="0" borderId="0" xfId="0" applyFont="1" applyAlignment="1">
      <alignment horizontal="left" vertical="center" wrapText="1"/>
    </xf>
    <xf numFmtId="0" fontId="14" fillId="0" borderId="19" xfId="0" applyFont="1" applyBorder="1" applyAlignment="1">
      <alignment horizontal="left" vertical="center"/>
    </xf>
    <xf numFmtId="0" fontId="7" fillId="0" borderId="51" xfId="0" applyFont="1" applyBorder="1" applyAlignment="1">
      <alignment vertical="center"/>
    </xf>
    <xf numFmtId="0" fontId="70" fillId="0" borderId="0" xfId="0" applyFont="1" applyAlignment="1">
      <alignment horizontal="left" vertical="center"/>
    </xf>
    <xf numFmtId="0" fontId="70" fillId="0" borderId="41" xfId="0" applyFont="1" applyBorder="1" applyAlignment="1">
      <alignment vertical="center"/>
    </xf>
    <xf numFmtId="0" fontId="70" fillId="0" borderId="50" xfId="0" applyFont="1" applyBorder="1" applyAlignment="1">
      <alignment vertical="center"/>
    </xf>
    <xf numFmtId="0" fontId="7" fillId="0" borderId="49" xfId="0" applyFont="1" applyBorder="1" applyAlignment="1">
      <alignment horizontal="center" vertical="center"/>
    </xf>
    <xf numFmtId="0" fontId="8" fillId="0" borderId="19" xfId="0" applyFont="1" applyBorder="1" applyAlignment="1">
      <alignment horizontal="center" vertical="center" wrapText="1"/>
    </xf>
    <xf numFmtId="0" fontId="73" fillId="0" borderId="0" xfId="0" applyFont="1" applyAlignment="1">
      <alignment vertical="center"/>
    </xf>
    <xf numFmtId="0" fontId="70" fillId="0" borderId="31" xfId="0" applyFont="1" applyBorder="1" applyAlignment="1">
      <alignment vertical="center"/>
    </xf>
    <xf numFmtId="4" fontId="70" fillId="0" borderId="31" xfId="0" applyNumberFormat="1" applyFont="1" applyBorder="1" applyAlignment="1">
      <alignment horizontal="center" vertical="center"/>
    </xf>
    <xf numFmtId="0" fontId="14" fillId="0" borderId="0" xfId="0" applyFont="1" applyAlignment="1">
      <alignment vertical="center" wrapText="1"/>
    </xf>
    <xf numFmtId="0" fontId="70" fillId="0" borderId="0" xfId="0" applyFont="1" applyAlignment="1">
      <alignment vertical="center" wrapText="1"/>
    </xf>
    <xf numFmtId="166" fontId="26" fillId="0" borderId="19" xfId="0" applyNumberFormat="1" applyFont="1" applyBorder="1" applyAlignment="1">
      <alignment horizontal="center" vertical="center" wrapText="1"/>
    </xf>
    <xf numFmtId="166" fontId="70" fillId="0" borderId="19" xfId="0" applyNumberFormat="1" applyFont="1" applyBorder="1" applyAlignment="1">
      <alignment horizontal="center" vertical="center" wrapText="1"/>
    </xf>
    <xf numFmtId="166" fontId="70" fillId="36" borderId="19" xfId="0" applyNumberFormat="1" applyFont="1" applyFill="1" applyBorder="1" applyAlignment="1">
      <alignment horizontal="center" vertical="center" wrapText="1"/>
    </xf>
    <xf numFmtId="166" fontId="14" fillId="0" borderId="19" xfId="399" applyNumberFormat="1" applyFont="1" applyBorder="1" applyAlignment="1" applyProtection="1">
      <alignment horizontal="center" vertical="center" wrapText="1"/>
    </xf>
    <xf numFmtId="0" fontId="70" fillId="0" borderId="19" xfId="0" applyFont="1" applyBorder="1" applyAlignment="1">
      <alignment horizontal="center" vertical="center" wrapText="1"/>
    </xf>
    <xf numFmtId="9" fontId="14" fillId="0" borderId="19" xfId="399" applyFont="1" applyFill="1" applyBorder="1" applyAlignment="1" applyProtection="1">
      <alignment horizontal="center" vertical="center" wrapText="1"/>
    </xf>
    <xf numFmtId="0" fontId="45" fillId="0" borderId="0" xfId="0" applyFont="1" applyAlignment="1">
      <alignment vertical="center" wrapText="1"/>
    </xf>
    <xf numFmtId="166" fontId="14" fillId="36" borderId="19" xfId="399" applyNumberFormat="1" applyFont="1" applyFill="1" applyBorder="1" applyAlignment="1" applyProtection="1">
      <alignment horizontal="center" vertical="center" wrapText="1"/>
    </xf>
    <xf numFmtId="0" fontId="45" fillId="0" borderId="19" xfId="0" applyFont="1" applyBorder="1" applyAlignment="1">
      <alignment vertical="center" wrapText="1"/>
    </xf>
    <xf numFmtId="9" fontId="70" fillId="0" borderId="19" xfId="0" applyNumberFormat="1" applyFont="1" applyBorder="1" applyAlignment="1">
      <alignment horizontal="center" vertical="center" wrapText="1"/>
    </xf>
    <xf numFmtId="0" fontId="70" fillId="0" borderId="0" xfId="0" applyFont="1" applyAlignment="1">
      <alignment horizontal="center" vertical="center" wrapText="1"/>
    </xf>
    <xf numFmtId="166" fontId="14" fillId="36" borderId="43" xfId="399" applyNumberFormat="1" applyFont="1" applyFill="1" applyBorder="1" applyAlignment="1" applyProtection="1">
      <alignment horizontal="center" vertical="center" wrapText="1"/>
    </xf>
    <xf numFmtId="166" fontId="14" fillId="0" borderId="43" xfId="399" applyNumberFormat="1" applyFont="1" applyBorder="1" applyAlignment="1" applyProtection="1">
      <alignment horizontal="center" vertical="center" wrapText="1"/>
    </xf>
    <xf numFmtId="1" fontId="68" fillId="0" borderId="19" xfId="0" applyNumberFormat="1" applyFont="1" applyBorder="1" applyAlignment="1">
      <alignment horizontal="center" vertical="center"/>
    </xf>
    <xf numFmtId="0" fontId="23" fillId="0" borderId="19" xfId="0" applyFont="1" applyBorder="1" applyAlignment="1">
      <alignment horizontal="left" vertical="center"/>
    </xf>
    <xf numFmtId="0" fontId="15" fillId="0" borderId="19" xfId="0" applyFont="1" applyBorder="1" applyAlignment="1">
      <alignment horizontal="center" vertical="center"/>
    </xf>
    <xf numFmtId="0" fontId="68" fillId="0" borderId="19" xfId="0" applyFont="1" applyBorder="1" applyAlignment="1">
      <alignment horizontal="center" vertical="center"/>
    </xf>
    <xf numFmtId="0" fontId="68" fillId="0" borderId="31" xfId="0" applyFont="1" applyBorder="1" applyAlignment="1">
      <alignment horizontal="left" vertical="center" wrapText="1"/>
    </xf>
    <xf numFmtId="0" fontId="68" fillId="0" borderId="19" xfId="0" applyFont="1" applyBorder="1" applyAlignment="1">
      <alignment horizontal="left" vertical="center" wrapText="1"/>
    </xf>
    <xf numFmtId="0" fontId="14" fillId="0" borderId="19" xfId="0" applyFont="1" applyBorder="1" applyAlignment="1">
      <alignment vertical="center" wrapText="1"/>
    </xf>
    <xf numFmtId="0" fontId="70" fillId="0" borderId="19" xfId="0" applyFont="1" applyBorder="1" applyAlignment="1">
      <alignment horizontal="center" vertical="center"/>
    </xf>
    <xf numFmtId="49" fontId="14" fillId="0" borderId="0" xfId="0" applyNumberFormat="1" applyFont="1" applyAlignment="1">
      <alignment horizontal="center" vertical="center"/>
    </xf>
    <xf numFmtId="0" fontId="7" fillId="0" borderId="49" xfId="0" applyFont="1" applyBorder="1" applyAlignment="1">
      <alignment vertical="center"/>
    </xf>
    <xf numFmtId="0" fontId="14" fillId="0" borderId="49" xfId="0" applyFont="1" applyBorder="1" applyAlignment="1">
      <alignment vertical="center"/>
    </xf>
    <xf numFmtId="0" fontId="14" fillId="0" borderId="54" xfId="0" applyFont="1" applyBorder="1" applyAlignment="1">
      <alignment horizontal="center" vertical="center"/>
    </xf>
    <xf numFmtId="0" fontId="73" fillId="0" borderId="19" xfId="0" applyFont="1" applyBorder="1" applyAlignment="1">
      <alignment horizontal="center" vertical="center" wrapText="1"/>
    </xf>
    <xf numFmtId="0" fontId="14" fillId="37" borderId="19" xfId="0" applyFont="1" applyFill="1" applyBorder="1" applyAlignment="1">
      <alignment horizontal="right" vertical="center"/>
    </xf>
    <xf numFmtId="0" fontId="70" fillId="37" borderId="19" xfId="0" applyFont="1" applyFill="1" applyBorder="1" applyAlignment="1">
      <alignment horizontal="center" vertical="center"/>
    </xf>
    <xf numFmtId="0" fontId="14" fillId="37" borderId="19" xfId="0" applyFont="1" applyFill="1" applyBorder="1" applyAlignment="1">
      <alignment horizontal="center" vertical="center"/>
    </xf>
    <xf numFmtId="0" fontId="14" fillId="33" borderId="19" xfId="0" applyFont="1" applyFill="1" applyBorder="1" applyAlignment="1">
      <alignment horizontal="right" vertical="center"/>
    </xf>
    <xf numFmtId="0" fontId="14" fillId="33" borderId="19" xfId="0" applyFont="1" applyFill="1" applyBorder="1" applyAlignment="1">
      <alignment horizontal="center" vertical="center"/>
    </xf>
    <xf numFmtId="0" fontId="14" fillId="30" borderId="19" xfId="0" applyFont="1" applyFill="1" applyBorder="1" applyAlignment="1">
      <alignment horizontal="right" vertical="center"/>
    </xf>
    <xf numFmtId="0" fontId="14" fillId="30" borderId="19" xfId="0" applyFont="1" applyFill="1" applyBorder="1" applyAlignment="1">
      <alignment horizontal="center" vertical="center"/>
    </xf>
    <xf numFmtId="0" fontId="4" fillId="0" borderId="19" xfId="477" applyFont="1" applyBorder="1" applyAlignment="1">
      <alignment horizontal="left" vertical="center"/>
    </xf>
    <xf numFmtId="0" fontId="74" fillId="0" borderId="19" xfId="0" applyFont="1" applyBorder="1" applyAlignment="1">
      <alignment horizontal="center" vertical="center"/>
    </xf>
    <xf numFmtId="0" fontId="7" fillId="0" borderId="19" xfId="0" applyFont="1" applyBorder="1" applyAlignment="1">
      <alignment horizontal="center" vertical="center" wrapText="1"/>
    </xf>
    <xf numFmtId="0" fontId="70" fillId="0" borderId="20" xfId="0" applyFont="1" applyBorder="1" applyAlignment="1">
      <alignment vertical="center"/>
    </xf>
    <xf numFmtId="0" fontId="70" fillId="0" borderId="19" xfId="0" applyFont="1" applyBorder="1" applyAlignment="1">
      <alignment vertical="center"/>
    </xf>
    <xf numFmtId="0" fontId="14" fillId="0" borderId="55" xfId="0" applyFont="1" applyBorder="1" applyAlignment="1">
      <alignment horizontal="center" vertical="center"/>
    </xf>
    <xf numFmtId="0" fontId="14" fillId="0" borderId="56" xfId="0" applyFont="1" applyBorder="1" applyAlignment="1">
      <alignment horizontal="center" vertical="center"/>
    </xf>
    <xf numFmtId="0" fontId="14" fillId="0" borderId="51" xfId="0" applyFont="1" applyBorder="1" applyAlignment="1">
      <alignment vertical="center"/>
    </xf>
    <xf numFmtId="0" fontId="14" fillId="33" borderId="29" xfId="0" applyFont="1" applyFill="1" applyBorder="1" applyAlignment="1">
      <alignment horizontal="center" vertical="center" wrapText="1"/>
    </xf>
    <xf numFmtId="0" fontId="70" fillId="0" borderId="31" xfId="0" applyFont="1" applyBorder="1" applyAlignment="1">
      <alignment horizontal="center" vertical="center"/>
    </xf>
    <xf numFmtId="0" fontId="70" fillId="0" borderId="21" xfId="0" applyFont="1" applyBorder="1" applyAlignment="1">
      <alignment vertical="center"/>
    </xf>
    <xf numFmtId="0" fontId="7" fillId="0" borderId="57" xfId="0" applyFont="1" applyBorder="1" applyAlignment="1">
      <alignment vertical="center"/>
    </xf>
    <xf numFmtId="0" fontId="14" fillId="0" borderId="21" xfId="0" applyFont="1" applyBorder="1" applyAlignment="1">
      <alignment horizontal="center" vertical="center" wrapText="1"/>
    </xf>
    <xf numFmtId="0" fontId="14" fillId="0" borderId="21" xfId="0" applyFont="1" applyBorder="1" applyAlignment="1">
      <alignment vertical="center"/>
    </xf>
    <xf numFmtId="0" fontId="14" fillId="0" borderId="58" xfId="0" applyFont="1" applyBorder="1" applyAlignment="1">
      <alignment horizontal="center" vertical="center"/>
    </xf>
    <xf numFmtId="0" fontId="14" fillId="30" borderId="47" xfId="0" applyFont="1" applyFill="1" applyBorder="1" applyAlignment="1">
      <alignment horizontal="center" vertical="center" wrapText="1"/>
    </xf>
    <xf numFmtId="0" fontId="14" fillId="0" borderId="57" xfId="0" applyFont="1" applyBorder="1" applyAlignment="1">
      <alignment horizontal="center" vertical="center" wrapText="1"/>
    </xf>
    <xf numFmtId="0" fontId="14" fillId="0" borderId="57" xfId="0" applyFont="1" applyBorder="1" applyAlignment="1">
      <alignment vertical="center"/>
    </xf>
    <xf numFmtId="0" fontId="14" fillId="0" borderId="59" xfId="0" applyFont="1" applyBorder="1" applyAlignment="1">
      <alignment horizontal="center" vertical="center"/>
    </xf>
    <xf numFmtId="0" fontId="7" fillId="0" borderId="57" xfId="0" applyFont="1" applyBorder="1" applyAlignment="1">
      <alignment horizontal="center" vertical="center"/>
    </xf>
    <xf numFmtId="0" fontId="74" fillId="0" borderId="19" xfId="0" applyFont="1" applyBorder="1" applyAlignment="1">
      <alignment horizontal="center" vertical="center" wrapText="1"/>
    </xf>
    <xf numFmtId="0" fontId="4" fillId="0" borderId="19" xfId="477" applyFont="1" applyBorder="1" applyAlignment="1">
      <alignment horizontal="center" vertical="center"/>
    </xf>
    <xf numFmtId="0" fontId="4" fillId="0" borderId="19" xfId="477" applyFont="1" applyBorder="1" applyAlignment="1">
      <alignment horizontal="center" vertical="center" wrapText="1"/>
    </xf>
    <xf numFmtId="0" fontId="70" fillId="0" borderId="0" xfId="0" applyFont="1" applyAlignment="1">
      <alignment horizontal="center"/>
    </xf>
    <xf numFmtId="0" fontId="14" fillId="0" borderId="0" xfId="0" applyFont="1" applyAlignment="1">
      <alignment horizontal="center"/>
    </xf>
    <xf numFmtId="0" fontId="7" fillId="0" borderId="0" xfId="0" applyFont="1" applyAlignment="1">
      <alignment horizontal="center"/>
    </xf>
    <xf numFmtId="0" fontId="26" fillId="0" borderId="0" xfId="0" applyFont="1" applyAlignment="1">
      <alignment horizontal="center"/>
    </xf>
    <xf numFmtId="0" fontId="25" fillId="33" borderId="29" xfId="0" applyFont="1" applyFill="1" applyBorder="1" applyAlignment="1">
      <alignment horizontal="center" vertical="center" wrapText="1"/>
    </xf>
    <xf numFmtId="14" fontId="14" fillId="0" borderId="0" xfId="0" applyNumberFormat="1" applyFont="1"/>
    <xf numFmtId="14" fontId="7" fillId="0" borderId="0" xfId="0" applyNumberFormat="1" applyFont="1"/>
    <xf numFmtId="0" fontId="7" fillId="0" borderId="27" xfId="0" applyFont="1" applyBorder="1" applyAlignment="1">
      <alignment vertical="center" wrapText="1"/>
    </xf>
    <xf numFmtId="1" fontId="8" fillId="34" borderId="27" xfId="0" applyNumberFormat="1" applyFont="1" applyFill="1" applyBorder="1" applyAlignment="1" applyProtection="1">
      <alignment horizontal="center" vertical="center"/>
      <protection locked="0"/>
    </xf>
    <xf numFmtId="0" fontId="14" fillId="0" borderId="40" xfId="0" applyFont="1" applyBorder="1" applyAlignment="1">
      <alignment horizontal="right" vertical="center"/>
    </xf>
    <xf numFmtId="0" fontId="17" fillId="0" borderId="42" xfId="0" applyFont="1" applyBorder="1" applyAlignment="1">
      <alignment vertical="center"/>
    </xf>
    <xf numFmtId="0" fontId="17" fillId="0" borderId="43" xfId="0" applyFont="1" applyBorder="1" applyAlignment="1">
      <alignment vertical="center"/>
    </xf>
    <xf numFmtId="0" fontId="14" fillId="0" borderId="43" xfId="0" applyFont="1" applyBorder="1" applyAlignment="1">
      <alignment vertical="center"/>
    </xf>
    <xf numFmtId="0" fontId="14" fillId="0" borderId="40" xfId="0" applyFont="1" applyBorder="1" applyAlignment="1">
      <alignment horizontal="center" vertical="center"/>
    </xf>
    <xf numFmtId="0" fontId="14" fillId="0" borderId="0" xfId="0" applyFont="1" applyAlignment="1">
      <alignment horizontal="center" vertical="center" wrapText="1"/>
    </xf>
    <xf numFmtId="0" fontId="14" fillId="0" borderId="0" xfId="0" applyFont="1" applyAlignment="1">
      <alignment horizontal="left" vertical="center" wrapText="1"/>
    </xf>
    <xf numFmtId="1" fontId="14" fillId="0" borderId="0" xfId="0" applyNumberFormat="1" applyFont="1" applyAlignment="1">
      <alignment horizontal="center" vertical="center" wrapText="1"/>
    </xf>
    <xf numFmtId="0" fontId="7" fillId="0" borderId="0" xfId="0" applyFont="1" applyAlignment="1">
      <alignment horizontal="center" vertical="center" wrapText="1"/>
    </xf>
    <xf numFmtId="0" fontId="7" fillId="0" borderId="0" xfId="0" applyFont="1" applyAlignment="1">
      <alignment horizontal="left" vertical="center" wrapText="1"/>
    </xf>
    <xf numFmtId="0" fontId="70" fillId="0" borderId="0" xfId="0" applyFont="1" applyAlignment="1">
      <alignment vertical="top"/>
    </xf>
    <xf numFmtId="1" fontId="70" fillId="0" borderId="0" xfId="0" applyNumberFormat="1" applyFont="1" applyAlignment="1">
      <alignment horizontal="center" vertical="center" wrapText="1"/>
    </xf>
    <xf numFmtId="0" fontId="70" fillId="36" borderId="19" xfId="0" applyFont="1" applyFill="1" applyBorder="1" applyAlignment="1">
      <alignment vertical="center"/>
    </xf>
    <xf numFmtId="0" fontId="64" fillId="0" borderId="0" xfId="0" applyFont="1" applyAlignment="1">
      <alignment vertical="center"/>
    </xf>
    <xf numFmtId="0" fontId="75" fillId="0" borderId="19" xfId="0" applyFont="1" applyBorder="1" applyAlignment="1">
      <alignment horizontal="center" vertical="center" wrapText="1"/>
    </xf>
    <xf numFmtId="0" fontId="70" fillId="0" borderId="19" xfId="0" applyFont="1" applyBorder="1" applyAlignment="1">
      <alignment vertical="center" wrapText="1"/>
    </xf>
    <xf numFmtId="10" fontId="14" fillId="0" borderId="19" xfId="0" applyNumberFormat="1" applyFont="1" applyBorder="1" applyAlignment="1">
      <alignment horizontal="center" vertical="center" wrapText="1"/>
    </xf>
    <xf numFmtId="0" fontId="7" fillId="0" borderId="19" xfId="0" applyFont="1" applyBorder="1" applyAlignment="1">
      <alignment horizontal="left" vertical="center" wrapText="1"/>
    </xf>
    <xf numFmtId="0" fontId="70" fillId="0" borderId="19" xfId="0" applyFont="1" applyBorder="1" applyAlignment="1">
      <alignment horizontal="left" vertical="center" wrapText="1"/>
    </xf>
    <xf numFmtId="10" fontId="70" fillId="0" borderId="19" xfId="0" applyNumberFormat="1" applyFont="1" applyBorder="1" applyAlignment="1">
      <alignment horizontal="center" vertical="center" wrapText="1"/>
    </xf>
    <xf numFmtId="0" fontId="16" fillId="0" borderId="0" xfId="0" applyFont="1" applyAlignment="1">
      <alignment horizontal="center" vertical="center"/>
    </xf>
    <xf numFmtId="0" fontId="0" fillId="36" borderId="19" xfId="0" applyFill="1" applyBorder="1" applyAlignment="1">
      <alignment horizontal="center" vertical="center"/>
    </xf>
    <xf numFmtId="0" fontId="64" fillId="0" borderId="0" xfId="0" applyFont="1" applyAlignment="1">
      <alignment vertical="center" wrapText="1"/>
    </xf>
    <xf numFmtId="9" fontId="76" fillId="0" borderId="19" xfId="0" quotePrefix="1" applyNumberFormat="1" applyFont="1" applyBorder="1" applyAlignment="1">
      <alignment horizontal="center" vertical="center" wrapText="1"/>
    </xf>
    <xf numFmtId="0" fontId="70" fillId="0" borderId="19" xfId="0" applyFont="1" applyBorder="1"/>
    <xf numFmtId="0" fontId="7" fillId="0" borderId="27" xfId="0" applyFont="1" applyBorder="1" applyAlignment="1">
      <alignment horizontal="center" vertical="center" wrapText="1"/>
    </xf>
    <xf numFmtId="0" fontId="7" fillId="32" borderId="0" xfId="0" applyFont="1" applyFill="1" applyAlignment="1">
      <alignment horizontal="center" vertical="top" wrapText="1"/>
    </xf>
    <xf numFmtId="0" fontId="7" fillId="32" borderId="61" xfId="0" applyFont="1" applyFill="1" applyBorder="1" applyAlignment="1">
      <alignment horizontal="center" wrapText="1"/>
    </xf>
    <xf numFmtId="0" fontId="7" fillId="32" borderId="62" xfId="0" applyFont="1" applyFill="1" applyBorder="1" applyAlignment="1">
      <alignment horizontal="center" vertical="top" wrapText="1"/>
    </xf>
    <xf numFmtId="0" fontId="7" fillId="0" borderId="60" xfId="0" applyFont="1" applyBorder="1" applyAlignment="1">
      <alignment horizontal="center" vertical="center"/>
    </xf>
    <xf numFmtId="0" fontId="7" fillId="32" borderId="0" xfId="0" applyFont="1" applyFill="1" applyAlignment="1">
      <alignment horizontal="center" wrapText="1"/>
    </xf>
    <xf numFmtId="10" fontId="7" fillId="0" borderId="27" xfId="399" applyNumberFormat="1" applyFont="1" applyFill="1" applyBorder="1" applyAlignment="1" applyProtection="1">
      <alignment horizontal="center" vertical="center"/>
    </xf>
    <xf numFmtId="10" fontId="7" fillId="0" borderId="60" xfId="399" applyNumberFormat="1" applyFont="1" applyFill="1" applyBorder="1" applyAlignment="1" applyProtection="1">
      <alignment horizontal="center" vertical="center"/>
    </xf>
    <xf numFmtId="10" fontId="70" fillId="0" borderId="19" xfId="0" applyNumberFormat="1" applyFont="1" applyBorder="1" applyAlignment="1">
      <alignment horizontal="center" vertical="center"/>
    </xf>
    <xf numFmtId="10" fontId="14" fillId="0" borderId="19" xfId="399" applyNumberFormat="1" applyFont="1" applyFill="1" applyBorder="1" applyAlignment="1" applyProtection="1">
      <alignment horizontal="center" vertical="center"/>
    </xf>
    <xf numFmtId="10" fontId="14" fillId="0" borderId="0" xfId="399" applyNumberFormat="1" applyFont="1" applyBorder="1" applyAlignment="1">
      <alignment horizontal="center" vertical="center" wrapText="1"/>
    </xf>
    <xf numFmtId="9" fontId="70" fillId="0" borderId="0" xfId="0" applyNumberFormat="1" applyFont="1" applyAlignment="1">
      <alignment horizontal="center" vertical="center" wrapText="1"/>
    </xf>
    <xf numFmtId="1" fontId="70" fillId="0" borderId="19" xfId="0" applyNumberFormat="1" applyFont="1" applyBorder="1" applyAlignment="1">
      <alignment horizontal="center" vertical="center" wrapText="1"/>
    </xf>
    <xf numFmtId="1" fontId="14" fillId="0" borderId="19" xfId="0" applyNumberFormat="1" applyFont="1" applyBorder="1" applyAlignment="1">
      <alignment horizontal="center" vertical="center" wrapText="1"/>
    </xf>
    <xf numFmtId="9" fontId="14" fillId="0" borderId="19" xfId="0" applyNumberFormat="1" applyFont="1" applyBorder="1" applyAlignment="1">
      <alignment horizontal="center" vertical="center" wrapText="1"/>
    </xf>
    <xf numFmtId="0" fontId="26" fillId="0" borderId="27" xfId="0" applyFont="1" applyBorder="1" applyAlignment="1">
      <alignment horizontal="center" vertical="center" wrapText="1"/>
    </xf>
    <xf numFmtId="0" fontId="7" fillId="32" borderId="46" xfId="0" applyFont="1" applyFill="1" applyBorder="1" applyAlignment="1">
      <alignment horizontal="center" wrapText="1"/>
    </xf>
    <xf numFmtId="0" fontId="7" fillId="0" borderId="25" xfId="0" applyFont="1" applyBorder="1" applyAlignment="1">
      <alignment horizontal="center" vertical="center"/>
    </xf>
    <xf numFmtId="1" fontId="7" fillId="32" borderId="46" xfId="0" applyNumberFormat="1" applyFont="1" applyFill="1" applyBorder="1" applyAlignment="1">
      <alignment horizontal="center" wrapText="1"/>
    </xf>
    <xf numFmtId="0" fontId="7" fillId="37" borderId="27" xfId="0" applyFont="1" applyFill="1" applyBorder="1" applyAlignment="1">
      <alignment horizontal="center" textRotation="90" wrapText="1"/>
    </xf>
    <xf numFmtId="166" fontId="70" fillId="0" borderId="19" xfId="0" applyNumberFormat="1" applyFont="1" applyBorder="1" applyAlignment="1">
      <alignment horizontal="center" vertical="center"/>
    </xf>
    <xf numFmtId="0" fontId="70" fillId="36" borderId="43" xfId="0" applyFont="1" applyFill="1" applyBorder="1" applyAlignment="1">
      <alignment horizontal="center" vertical="center"/>
    </xf>
    <xf numFmtId="166" fontId="70" fillId="36" borderId="19" xfId="0" applyNumberFormat="1" applyFont="1" applyFill="1" applyBorder="1" applyAlignment="1">
      <alignment horizontal="center" vertical="center"/>
    </xf>
    <xf numFmtId="0" fontId="26" fillId="0" borderId="19" xfId="0" applyFont="1" applyBorder="1" applyAlignment="1">
      <alignment vertical="center"/>
    </xf>
    <xf numFmtId="0" fontId="70" fillId="36" borderId="39" xfId="0" applyFont="1" applyFill="1" applyBorder="1" applyAlignment="1">
      <alignment vertical="center"/>
    </xf>
    <xf numFmtId="0" fontId="70" fillId="36" borderId="40" xfId="0" applyFont="1" applyFill="1" applyBorder="1" applyAlignment="1">
      <alignment vertical="center"/>
    </xf>
    <xf numFmtId="2" fontId="68" fillId="0" borderId="19" xfId="0" applyNumberFormat="1" applyFont="1" applyBorder="1" applyAlignment="1">
      <alignment horizontal="center" vertical="center"/>
    </xf>
    <xf numFmtId="0" fontId="7" fillId="0" borderId="25" xfId="0" applyFont="1" applyBorder="1" applyAlignment="1">
      <alignment horizontal="center" vertical="center" wrapText="1"/>
    </xf>
    <xf numFmtId="0" fontId="7" fillId="0" borderId="44" xfId="0" applyFont="1" applyBorder="1" applyAlignment="1">
      <alignment horizontal="center" vertical="center" wrapText="1"/>
    </xf>
    <xf numFmtId="10" fontId="26" fillId="28" borderId="27" xfId="399" applyNumberFormat="1" applyFont="1" applyFill="1" applyBorder="1" applyAlignment="1" applyProtection="1">
      <alignment horizontal="center" vertical="center" wrapText="1"/>
    </xf>
    <xf numFmtId="10" fontId="8" fillId="28" borderId="27" xfId="399" applyNumberFormat="1" applyFont="1" applyFill="1" applyBorder="1" applyAlignment="1" applyProtection="1">
      <alignment horizontal="center" vertical="center" wrapText="1"/>
    </xf>
    <xf numFmtId="0" fontId="14" fillId="36" borderId="0" xfId="0" applyFont="1" applyFill="1" applyAlignment="1">
      <alignment horizontal="center"/>
    </xf>
    <xf numFmtId="0" fontId="86" fillId="0" borderId="0" xfId="0" applyFont="1" applyAlignment="1">
      <alignment vertical="top"/>
    </xf>
    <xf numFmtId="0" fontId="70" fillId="0" borderId="84" xfId="0" applyFont="1" applyBorder="1" applyAlignment="1">
      <alignment horizontal="center"/>
    </xf>
    <xf numFmtId="0" fontId="14" fillId="72" borderId="0" xfId="0" applyFont="1" applyFill="1" applyAlignment="1">
      <alignment horizontal="left"/>
    </xf>
    <xf numFmtId="0" fontId="105" fillId="0" borderId="0" xfId="0" applyFont="1"/>
    <xf numFmtId="0" fontId="106" fillId="0" borderId="0" xfId="0" applyFont="1"/>
    <xf numFmtId="0" fontId="108" fillId="0" borderId="0" xfId="0" applyFont="1" applyAlignment="1">
      <alignment vertical="center"/>
    </xf>
    <xf numFmtId="0" fontId="107" fillId="0" borderId="0" xfId="0" applyFont="1"/>
    <xf numFmtId="0" fontId="16" fillId="0" borderId="0" xfId="0" applyFont="1" applyAlignment="1">
      <alignment horizontal="left" vertical="center"/>
    </xf>
    <xf numFmtId="0" fontId="16" fillId="0" borderId="0" xfId="0" applyFont="1" applyAlignment="1">
      <alignment vertical="center"/>
    </xf>
    <xf numFmtId="0" fontId="16" fillId="0" borderId="0" xfId="487" applyFont="1" applyAlignment="1">
      <alignment horizontal="left" vertical="center"/>
    </xf>
    <xf numFmtId="0" fontId="22" fillId="0" borderId="0" xfId="0" applyFont="1" applyAlignment="1">
      <alignment vertical="center"/>
    </xf>
    <xf numFmtId="0" fontId="19" fillId="0" borderId="0" xfId="0" applyFont="1" applyAlignment="1">
      <alignment vertical="center"/>
    </xf>
    <xf numFmtId="0" fontId="20" fillId="0" borderId="0" xfId="0" applyFont="1" applyAlignment="1">
      <alignment vertical="center"/>
    </xf>
    <xf numFmtId="164" fontId="7" fillId="0" borderId="0" xfId="399" applyNumberFormat="1" applyFont="1" applyFill="1" applyBorder="1" applyAlignment="1" applyProtection="1">
      <alignment horizontal="center" vertical="center" wrapText="1"/>
    </xf>
    <xf numFmtId="10" fontId="7" fillId="0" borderId="0" xfId="399" applyNumberFormat="1" applyFont="1" applyFill="1" applyBorder="1" applyAlignment="1" applyProtection="1">
      <alignment horizontal="center" vertical="center" wrapText="1"/>
    </xf>
    <xf numFmtId="10" fontId="19" fillId="0" borderId="0" xfId="0" applyNumberFormat="1" applyFont="1" applyAlignment="1">
      <alignment vertical="center"/>
    </xf>
    <xf numFmtId="0" fontId="7" fillId="0" borderId="0" xfId="0" applyFont="1" applyAlignment="1">
      <alignment vertical="center" wrapText="1"/>
    </xf>
    <xf numFmtId="0" fontId="30" fillId="0" borderId="0" xfId="0" applyFont="1" applyAlignment="1">
      <alignment vertical="center"/>
    </xf>
    <xf numFmtId="9" fontId="14" fillId="0" borderId="19" xfId="418" applyFont="1" applyBorder="1" applyAlignment="1" applyProtection="1">
      <alignment horizontal="center" vertical="center"/>
    </xf>
    <xf numFmtId="1" fontId="14" fillId="0" borderId="19" xfId="418" applyNumberFormat="1" applyFont="1" applyBorder="1" applyAlignment="1" applyProtection="1">
      <alignment horizontal="center" vertical="center"/>
    </xf>
    <xf numFmtId="0" fontId="19" fillId="0" borderId="19" xfId="0" applyFont="1" applyBorder="1" applyAlignment="1">
      <alignment vertical="center"/>
    </xf>
    <xf numFmtId="1" fontId="14" fillId="0" borderId="19" xfId="418" applyNumberFormat="1" applyFont="1" applyFill="1" applyBorder="1" applyAlignment="1" applyProtection="1">
      <alignment horizontal="center" vertical="center"/>
    </xf>
    <xf numFmtId="9" fontId="19" fillId="0" borderId="0" xfId="389" applyFont="1" applyAlignment="1" applyProtection="1">
      <alignment vertical="center"/>
    </xf>
    <xf numFmtId="9" fontId="19" fillId="28" borderId="19" xfId="418" applyFont="1" applyFill="1" applyBorder="1" applyAlignment="1" applyProtection="1">
      <alignment horizontal="center" vertical="center"/>
    </xf>
    <xf numFmtId="0" fontId="71" fillId="0" borderId="19" xfId="0" applyFont="1" applyBorder="1" applyAlignment="1">
      <alignment horizontal="center" vertical="center"/>
    </xf>
    <xf numFmtId="0" fontId="71" fillId="0" borderId="0" xfId="0" applyFont="1" applyAlignment="1">
      <alignment vertical="center"/>
    </xf>
    <xf numFmtId="0" fontId="109" fillId="0" borderId="45" xfId="0" applyFont="1" applyBorder="1" applyAlignment="1">
      <alignment vertical="center" wrapText="1"/>
    </xf>
    <xf numFmtId="0" fontId="115" fillId="0" borderId="0" xfId="0" applyFont="1"/>
    <xf numFmtId="0" fontId="109" fillId="0" borderId="27" xfId="0" applyFont="1" applyBorder="1" applyAlignment="1">
      <alignment vertical="center" wrapText="1"/>
    </xf>
    <xf numFmtId="1" fontId="113" fillId="39" borderId="27" xfId="399" applyNumberFormat="1" applyFont="1" applyFill="1" applyBorder="1" applyAlignment="1" applyProtection="1">
      <alignment horizontal="center" vertical="center" wrapText="1"/>
    </xf>
    <xf numFmtId="10" fontId="113" fillId="28" borderId="27" xfId="399" applyNumberFormat="1" applyFont="1" applyFill="1" applyBorder="1" applyAlignment="1" applyProtection="1">
      <alignment horizontal="center" vertical="center" wrapText="1"/>
    </xf>
    <xf numFmtId="0" fontId="7" fillId="32" borderId="36" xfId="0" applyFont="1" applyFill="1" applyBorder="1" applyAlignment="1">
      <alignment wrapText="1"/>
    </xf>
    <xf numFmtId="0" fontId="7" fillId="32" borderId="63" xfId="0" applyFont="1" applyFill="1" applyBorder="1" applyAlignment="1">
      <alignment wrapText="1"/>
    </xf>
    <xf numFmtId="0" fontId="7" fillId="32" borderId="85" xfId="0" applyFont="1" applyFill="1" applyBorder="1" applyAlignment="1">
      <alignment wrapText="1"/>
    </xf>
    <xf numFmtId="0" fontId="7" fillId="32" borderId="85" xfId="0" applyFont="1" applyFill="1" applyBorder="1" applyAlignment="1">
      <alignment vertical="top" wrapText="1"/>
    </xf>
    <xf numFmtId="0" fontId="7" fillId="32" borderId="63" xfId="0" applyFont="1" applyFill="1" applyBorder="1" applyAlignment="1">
      <alignment vertical="top" wrapText="1"/>
    </xf>
    <xf numFmtId="0" fontId="109" fillId="0" borderId="0" xfId="0" applyFont="1"/>
    <xf numFmtId="0" fontId="118" fillId="0" borderId="0" xfId="477" applyFont="1" applyAlignment="1">
      <alignment vertical="center" wrapText="1"/>
    </xf>
    <xf numFmtId="0" fontId="107" fillId="0" borderId="0" xfId="477" applyFont="1" applyAlignment="1">
      <alignment wrapText="1"/>
    </xf>
    <xf numFmtId="0" fontId="118" fillId="0" borderId="0" xfId="477" applyFont="1" applyAlignment="1">
      <alignment wrapText="1"/>
    </xf>
    <xf numFmtId="0" fontId="16" fillId="0" borderId="19" xfId="0" applyFont="1" applyBorder="1" applyAlignment="1">
      <alignment horizontal="center" vertical="center"/>
    </xf>
    <xf numFmtId="0" fontId="15" fillId="0" borderId="19" xfId="0" applyFont="1" applyBorder="1" applyAlignment="1">
      <alignment horizontal="center" vertical="center" wrapText="1"/>
    </xf>
    <xf numFmtId="0" fontId="15" fillId="0" borderId="19" xfId="0" applyFont="1" applyBorder="1" applyAlignment="1">
      <alignment vertical="center"/>
    </xf>
    <xf numFmtId="0" fontId="16" fillId="0" borderId="19" xfId="0" applyFont="1" applyBorder="1" applyAlignment="1">
      <alignment vertical="center"/>
    </xf>
    <xf numFmtId="14" fontId="16" fillId="0" borderId="19" xfId="0" applyNumberFormat="1" applyFont="1" applyBorder="1" applyAlignment="1">
      <alignment horizontal="left" vertical="center"/>
    </xf>
    <xf numFmtId="0" fontId="15" fillId="0" borderId="19" xfId="487" applyFont="1" applyBorder="1" applyAlignment="1">
      <alignment horizontal="left" vertical="center"/>
    </xf>
    <xf numFmtId="0" fontId="16" fillId="0" borderId="19" xfId="0" applyFont="1" applyBorder="1" applyAlignment="1">
      <alignment horizontal="left" vertical="center"/>
    </xf>
    <xf numFmtId="10" fontId="14" fillId="0" borderId="19" xfId="399" applyNumberFormat="1" applyFont="1" applyBorder="1" applyAlignment="1" applyProtection="1">
      <alignment horizontal="center" vertical="center" wrapText="1"/>
    </xf>
    <xf numFmtId="166" fontId="14" fillId="0" borderId="19" xfId="399" applyNumberFormat="1" applyFont="1" applyFill="1" applyBorder="1" applyAlignment="1" applyProtection="1">
      <alignment horizontal="center" vertical="center" wrapText="1"/>
    </xf>
    <xf numFmtId="166" fontId="14" fillId="0" borderId="19" xfId="0" applyNumberFormat="1" applyFont="1" applyBorder="1" applyAlignment="1">
      <alignment vertical="center" wrapText="1"/>
    </xf>
    <xf numFmtId="166" fontId="70" fillId="0" borderId="0" xfId="0" applyNumberFormat="1" applyFont="1" applyAlignment="1">
      <alignment horizontal="center" vertical="center"/>
    </xf>
    <xf numFmtId="166" fontId="14" fillId="0" borderId="0" xfId="399" applyNumberFormat="1" applyFont="1" applyFill="1" applyBorder="1" applyAlignment="1" applyProtection="1">
      <alignment horizontal="center" vertical="center" wrapText="1"/>
    </xf>
    <xf numFmtId="0" fontId="68" fillId="74" borderId="31" xfId="0" applyFont="1" applyFill="1" applyBorder="1" applyAlignment="1">
      <alignment horizontal="center" vertical="center"/>
    </xf>
    <xf numFmtId="166" fontId="7" fillId="0" borderId="19" xfId="0" applyNumberFormat="1" applyFont="1" applyBorder="1" applyAlignment="1">
      <alignment vertical="center"/>
    </xf>
    <xf numFmtId="1" fontId="8" fillId="29" borderId="27" xfId="0" applyNumberFormat="1" applyFont="1" applyFill="1" applyBorder="1" applyAlignment="1">
      <alignment horizontal="center" vertical="center" wrapText="1"/>
    </xf>
    <xf numFmtId="0" fontId="122" fillId="0" borderId="0" xfId="0" applyFont="1"/>
    <xf numFmtId="0" fontId="123" fillId="0" borderId="0" xfId="0" applyFont="1"/>
    <xf numFmtId="0" fontId="124" fillId="0" borderId="0" xfId="0" applyFont="1"/>
    <xf numFmtId="0" fontId="128" fillId="0" borderId="0" xfId="0" applyFont="1" applyAlignment="1">
      <alignment vertical="center"/>
    </xf>
    <xf numFmtId="0" fontId="129" fillId="0" borderId="36" xfId="0" applyFont="1" applyBorder="1" applyAlignment="1">
      <alignment vertical="center" wrapText="1"/>
    </xf>
    <xf numFmtId="0" fontId="129" fillId="0" borderId="36" xfId="0" applyFont="1" applyBorder="1" applyAlignment="1">
      <alignment horizontal="center" vertical="center" wrapText="1"/>
    </xf>
    <xf numFmtId="0" fontId="129" fillId="0" borderId="27" xfId="0" applyFont="1" applyBorder="1" applyAlignment="1">
      <alignment horizontal="center" vertical="center" wrapText="1"/>
    </xf>
    <xf numFmtId="0" fontId="123" fillId="0" borderId="87" xfId="0" applyFont="1" applyBorder="1"/>
    <xf numFmtId="0" fontId="129" fillId="0" borderId="32" xfId="0" applyFont="1" applyBorder="1" applyAlignment="1">
      <alignment vertical="center" wrapText="1"/>
    </xf>
    <xf numFmtId="0" fontId="129" fillId="0" borderId="45" xfId="0" applyFont="1" applyBorder="1" applyAlignment="1">
      <alignment vertical="center" wrapText="1"/>
    </xf>
    <xf numFmtId="0" fontId="129" fillId="0" borderId="27" xfId="0" applyFont="1" applyBorder="1" applyAlignment="1">
      <alignment vertical="center" wrapText="1"/>
    </xf>
    <xf numFmtId="0" fontId="30" fillId="0" borderId="0" xfId="0" applyFont="1" applyAlignment="1">
      <alignment horizontal="left" vertical="center"/>
    </xf>
    <xf numFmtId="0" fontId="16" fillId="0" borderId="0" xfId="0" applyFont="1" applyAlignment="1">
      <alignment horizontal="center"/>
    </xf>
    <xf numFmtId="0" fontId="131" fillId="0" borderId="0" xfId="0" applyFont="1"/>
    <xf numFmtId="0" fontId="3" fillId="0" borderId="0" xfId="477" applyAlignment="1">
      <alignment horizontal="left" vertical="center" indent="3"/>
    </xf>
    <xf numFmtId="0" fontId="3" fillId="0" borderId="0" xfId="477" applyAlignment="1">
      <alignment horizontal="left" indent="3"/>
    </xf>
    <xf numFmtId="0" fontId="3" fillId="0" borderId="0" xfId="0" applyFont="1" applyAlignment="1">
      <alignment horizontal="left" indent="3"/>
    </xf>
    <xf numFmtId="0" fontId="3" fillId="0" borderId="19" xfId="0" applyFont="1" applyBorder="1" applyAlignment="1">
      <alignment horizontal="center" vertical="center"/>
    </xf>
    <xf numFmtId="0" fontId="16" fillId="0" borderId="21" xfId="0" applyFont="1" applyBorder="1" applyAlignment="1">
      <alignment horizontal="left" vertical="center" wrapText="1"/>
    </xf>
    <xf numFmtId="0" fontId="16" fillId="0" borderId="31" xfId="0" applyFont="1" applyBorder="1" applyAlignment="1">
      <alignment horizontal="center" vertical="center"/>
    </xf>
    <xf numFmtId="0" fontId="16" fillId="0" borderId="19" xfId="0" applyFont="1" applyBorder="1" applyAlignment="1">
      <alignment horizontal="left" indent="2"/>
    </xf>
    <xf numFmtId="0" fontId="3" fillId="35" borderId="19" xfId="477" applyFill="1" applyBorder="1" applyAlignment="1" applyProtection="1">
      <alignment horizontal="center" vertical="center"/>
      <protection locked="0"/>
    </xf>
    <xf numFmtId="0" fontId="16" fillId="76" borderId="31" xfId="0" applyFont="1" applyFill="1" applyBorder="1" applyAlignment="1">
      <alignment horizontal="center" vertical="center"/>
    </xf>
    <xf numFmtId="0" fontId="3" fillId="0" borderId="19" xfId="477" applyBorder="1" applyAlignment="1">
      <alignment horizontal="center" vertical="center"/>
    </xf>
    <xf numFmtId="0" fontId="14" fillId="0" borderId="0" xfId="0" applyFont="1" applyAlignment="1">
      <alignment vertical="top" wrapText="1"/>
    </xf>
    <xf numFmtId="0" fontId="7" fillId="0" borderId="0" xfId="477" applyFont="1"/>
    <xf numFmtId="49" fontId="129" fillId="0" borderId="63" xfId="0" applyNumberFormat="1" applyFont="1" applyBorder="1" applyAlignment="1">
      <alignment horizontal="center" vertical="top" wrapText="1"/>
    </xf>
    <xf numFmtId="49" fontId="129" fillId="0" borderId="60" xfId="0" applyNumberFormat="1" applyFont="1" applyBorder="1" applyAlignment="1">
      <alignment horizontal="center" vertical="top" wrapText="1"/>
    </xf>
    <xf numFmtId="0" fontId="129" fillId="0" borderId="60" xfId="0" applyFont="1" applyBorder="1" applyAlignment="1">
      <alignment horizontal="center" vertical="top" wrapText="1"/>
    </xf>
    <xf numFmtId="0" fontId="129" fillId="0" borderId="45" xfId="0" applyFont="1" applyBorder="1" applyAlignment="1">
      <alignment horizontal="left" vertical="center" wrapText="1"/>
    </xf>
    <xf numFmtId="0" fontId="130" fillId="0" borderId="0" xfId="0" applyFont="1" applyAlignment="1">
      <alignment horizontal="left" vertical="top"/>
    </xf>
    <xf numFmtId="0" fontId="130" fillId="0" borderId="26" xfId="0" applyFont="1" applyBorder="1" applyAlignment="1">
      <alignment horizontal="left" vertical="top"/>
    </xf>
    <xf numFmtId="0" fontId="129" fillId="0" borderId="27" xfId="0" applyFont="1" applyBorder="1" applyAlignment="1">
      <alignment horizontal="left" vertical="center" wrapText="1"/>
    </xf>
    <xf numFmtId="0" fontId="130" fillId="0" borderId="52" xfId="0" applyFont="1" applyBorder="1" applyAlignment="1">
      <alignment horizontal="left" vertical="top"/>
    </xf>
    <xf numFmtId="0" fontId="130" fillId="0" borderId="47" xfId="0" applyFont="1" applyBorder="1" applyAlignment="1">
      <alignment horizontal="left"/>
    </xf>
    <xf numFmtId="0" fontId="130" fillId="0" borderId="87" xfId="0" applyFont="1" applyBorder="1" applyAlignment="1">
      <alignment horizontal="left"/>
    </xf>
    <xf numFmtId="0" fontId="19" fillId="78" borderId="0" xfId="0" applyFont="1" applyFill="1" applyAlignment="1">
      <alignment vertical="center"/>
    </xf>
    <xf numFmtId="1" fontId="127" fillId="0" borderId="36" xfId="0" applyNumberFormat="1" applyFont="1" applyBorder="1" applyAlignment="1">
      <alignment horizontal="center" vertical="center"/>
    </xf>
    <xf numFmtId="1" fontId="129" fillId="79" borderId="27" xfId="0" applyNumberFormat="1" applyFont="1" applyFill="1" applyBorder="1" applyAlignment="1">
      <alignment horizontal="center" vertical="center"/>
    </xf>
    <xf numFmtId="0" fontId="109" fillId="0" borderId="36" xfId="0" applyFont="1" applyBorder="1" applyAlignment="1">
      <alignment horizontal="center" vertical="center" wrapText="1"/>
    </xf>
    <xf numFmtId="0" fontId="7" fillId="0" borderId="36" xfId="0" applyFont="1" applyBorder="1" applyAlignment="1">
      <alignment horizontal="center" vertical="center" wrapText="1"/>
    </xf>
    <xf numFmtId="1" fontId="8" fillId="0" borderId="36" xfId="0" applyNumberFormat="1" applyFont="1" applyBorder="1" applyAlignment="1">
      <alignment horizontal="center" vertical="center"/>
    </xf>
    <xf numFmtId="49" fontId="132" fillId="0" borderId="19" xfId="0" applyNumberFormat="1" applyFont="1" applyBorder="1" applyAlignment="1">
      <alignment horizontal="center" vertical="center"/>
    </xf>
    <xf numFmtId="0" fontId="132" fillId="0" borderId="19" xfId="0" applyFont="1" applyBorder="1" applyAlignment="1">
      <alignment horizontal="center" vertical="center"/>
    </xf>
    <xf numFmtId="0" fontId="133" fillId="0" borderId="0" xfId="0" applyFont="1"/>
    <xf numFmtId="49" fontId="134" fillId="0" borderId="19" xfId="0" applyNumberFormat="1" applyFont="1" applyBorder="1" applyAlignment="1">
      <alignment horizontal="center"/>
    </xf>
    <xf numFmtId="0" fontId="134" fillId="0" borderId="19" xfId="0" applyFont="1" applyBorder="1"/>
    <xf numFmtId="0" fontId="135" fillId="0" borderId="19" xfId="0" applyFont="1" applyBorder="1" applyAlignment="1">
      <alignment horizontal="center" vertical="center"/>
    </xf>
    <xf numFmtId="0" fontId="134" fillId="0" borderId="19" xfId="0" applyFont="1" applyBorder="1" applyAlignment="1">
      <alignment horizontal="center"/>
    </xf>
    <xf numFmtId="0" fontId="134" fillId="0" borderId="19" xfId="0" applyFont="1" applyBorder="1" applyAlignment="1">
      <alignment horizontal="left"/>
    </xf>
    <xf numFmtId="49" fontId="133" fillId="0" borderId="0" xfId="0" applyNumberFormat="1" applyFont="1" applyAlignment="1">
      <alignment horizontal="center"/>
    </xf>
    <xf numFmtId="0" fontId="133" fillId="0" borderId="0" xfId="0" applyFont="1" applyAlignment="1">
      <alignment horizontal="center"/>
    </xf>
    <xf numFmtId="0" fontId="135" fillId="72" borderId="19" xfId="0" applyFont="1" applyFill="1" applyBorder="1" applyAlignment="1">
      <alignment horizontal="center" vertical="center"/>
    </xf>
    <xf numFmtId="0" fontId="134" fillId="72" borderId="19" xfId="0" applyFont="1" applyFill="1" applyBorder="1" applyAlignment="1">
      <alignment horizontal="center"/>
    </xf>
    <xf numFmtId="1" fontId="123" fillId="0" borderId="0" xfId="0" applyNumberFormat="1" applyFont="1"/>
    <xf numFmtId="0" fontId="131" fillId="0" borderId="0" xfId="0" applyFont="1" applyAlignment="1">
      <alignment horizontal="center" vertical="center"/>
    </xf>
    <xf numFmtId="1" fontId="68" fillId="80" borderId="19" xfId="0" applyNumberFormat="1" applyFont="1" applyFill="1" applyBorder="1" applyAlignment="1">
      <alignment horizontal="center" vertical="center"/>
    </xf>
    <xf numFmtId="1" fontId="3" fillId="80" borderId="19" xfId="0" applyNumberFormat="1" applyFont="1" applyFill="1" applyBorder="1" applyAlignment="1">
      <alignment horizontal="center" vertical="center"/>
    </xf>
    <xf numFmtId="2" fontId="3" fillId="80" borderId="19" xfId="0" applyNumberFormat="1" applyFont="1" applyFill="1" applyBorder="1" applyAlignment="1">
      <alignment horizontal="center" vertical="center"/>
    </xf>
    <xf numFmtId="2" fontId="68" fillId="80" borderId="19" xfId="0" applyNumberFormat="1" applyFont="1" applyFill="1" applyBorder="1" applyAlignment="1">
      <alignment horizontal="center" vertical="center"/>
    </xf>
    <xf numFmtId="49" fontId="14" fillId="81" borderId="19" xfId="0" applyNumberFormat="1" applyFont="1" applyFill="1" applyBorder="1" applyAlignment="1">
      <alignment horizontal="center" vertical="center"/>
    </xf>
    <xf numFmtId="0" fontId="14" fillId="81" borderId="19" xfId="0" applyFont="1" applyFill="1" applyBorder="1" applyAlignment="1">
      <alignment horizontal="center" vertical="center"/>
    </xf>
    <xf numFmtId="9" fontId="14" fillId="81" borderId="19" xfId="418" applyFont="1" applyFill="1" applyBorder="1" applyAlignment="1" applyProtection="1">
      <alignment horizontal="center" vertical="center"/>
    </xf>
    <xf numFmtId="1" fontId="14" fillId="81" borderId="19" xfId="418" applyNumberFormat="1" applyFont="1" applyFill="1" applyBorder="1" applyAlignment="1" applyProtection="1">
      <alignment horizontal="center" vertical="center"/>
    </xf>
    <xf numFmtId="0" fontId="14" fillId="81" borderId="19" xfId="418" applyNumberFormat="1" applyFont="1" applyFill="1" applyBorder="1" applyAlignment="1" applyProtection="1">
      <alignment horizontal="center" vertical="center"/>
    </xf>
    <xf numFmtId="10" fontId="14" fillId="81" borderId="19" xfId="418" applyNumberFormat="1" applyFont="1" applyFill="1" applyBorder="1" applyAlignment="1" applyProtection="1">
      <alignment horizontal="center" vertical="center"/>
    </xf>
    <xf numFmtId="0" fontId="68" fillId="0" borderId="19" xfId="0" applyFont="1" applyBorder="1" applyAlignment="1">
      <alignment vertical="center"/>
    </xf>
    <xf numFmtId="1" fontId="68" fillId="0" borderId="43" xfId="0" applyNumberFormat="1" applyFont="1" applyBorder="1" applyAlignment="1">
      <alignment horizontal="center" vertical="center"/>
    </xf>
    <xf numFmtId="0" fontId="81" fillId="0" borderId="0" xfId="0" applyFont="1" applyAlignment="1">
      <alignment horizontal="center" vertical="center"/>
    </xf>
    <xf numFmtId="49" fontId="14" fillId="75" borderId="19" xfId="0" applyNumberFormat="1" applyFont="1" applyFill="1" applyBorder="1" applyAlignment="1">
      <alignment horizontal="center" vertical="center"/>
    </xf>
    <xf numFmtId="0" fontId="14" fillId="75" borderId="19" xfId="0" applyFont="1" applyFill="1" applyBorder="1" applyAlignment="1">
      <alignment horizontal="center" vertical="center"/>
    </xf>
    <xf numFmtId="9" fontId="14" fillId="75" borderId="19" xfId="418" applyFont="1" applyFill="1" applyBorder="1" applyAlignment="1" applyProtection="1">
      <alignment horizontal="center" vertical="center"/>
    </xf>
    <xf numFmtId="1" fontId="14" fillId="75" borderId="19" xfId="418" applyNumberFormat="1" applyFont="1" applyFill="1" applyBorder="1" applyAlignment="1" applyProtection="1">
      <alignment horizontal="center" vertical="center"/>
    </xf>
    <xf numFmtId="0" fontId="14" fillId="75" borderId="19" xfId="418" applyNumberFormat="1" applyFont="1" applyFill="1" applyBorder="1" applyAlignment="1" applyProtection="1">
      <alignment horizontal="center" vertical="center"/>
    </xf>
    <xf numFmtId="2" fontId="68" fillId="75" borderId="19" xfId="0" applyNumberFormat="1" applyFont="1" applyFill="1" applyBorder="1" applyAlignment="1">
      <alignment horizontal="center" vertical="center"/>
    </xf>
    <xf numFmtId="0" fontId="22" fillId="81" borderId="0" xfId="0" applyFont="1" applyFill="1" applyAlignment="1">
      <alignment vertical="center"/>
    </xf>
    <xf numFmtId="0" fontId="19" fillId="81" borderId="0" xfId="0" applyFont="1" applyFill="1" applyAlignment="1">
      <alignment vertical="center"/>
    </xf>
    <xf numFmtId="0" fontId="7" fillId="81" borderId="0" xfId="0" applyFont="1" applyFill="1" applyAlignment="1">
      <alignment vertical="center" wrapText="1"/>
    </xf>
    <xf numFmtId="14" fontId="14" fillId="0" borderId="0" xfId="0" applyNumberFormat="1" applyFont="1" applyAlignment="1">
      <alignment horizontal="center" vertical="center"/>
    </xf>
    <xf numFmtId="14" fontId="109" fillId="0" borderId="0" xfId="0" applyNumberFormat="1" applyFont="1" applyAlignment="1">
      <alignment vertical="center"/>
    </xf>
    <xf numFmtId="0" fontId="7" fillId="0" borderId="39" xfId="510" applyFont="1" applyBorder="1"/>
    <xf numFmtId="0" fontId="3" fillId="0" borderId="19" xfId="0" applyFont="1" applyBorder="1" applyAlignment="1">
      <alignment horizontal="center" vertical="center" wrapText="1"/>
    </xf>
    <xf numFmtId="0" fontId="113" fillId="0" borderId="0" xfId="0" applyFont="1" applyAlignment="1">
      <alignment vertical="center"/>
    </xf>
    <xf numFmtId="0" fontId="7" fillId="0" borderId="36" xfId="0" applyFont="1" applyBorder="1" applyAlignment="1">
      <alignment horizontal="center" vertical="center"/>
    </xf>
    <xf numFmtId="0" fontId="7" fillId="32" borderId="28" xfId="0" applyFont="1" applyFill="1" applyBorder="1" applyAlignment="1">
      <alignment vertical="top" wrapText="1"/>
    </xf>
    <xf numFmtId="0" fontId="7" fillId="32" borderId="28" xfId="0" applyFont="1" applyFill="1" applyBorder="1" applyAlignment="1">
      <alignment wrapText="1"/>
    </xf>
    <xf numFmtId="0" fontId="7" fillId="32" borderId="27" xfId="0" applyFont="1" applyFill="1" applyBorder="1" applyAlignment="1">
      <alignment wrapText="1"/>
    </xf>
    <xf numFmtId="0" fontId="14" fillId="31" borderId="89" xfId="0" applyFont="1" applyFill="1" applyBorder="1" applyAlignment="1">
      <alignment horizontal="center" vertical="center"/>
    </xf>
    <xf numFmtId="0" fontId="7" fillId="0" borderId="21" xfId="0" applyFont="1" applyBorder="1" applyAlignment="1">
      <alignment vertical="center"/>
    </xf>
    <xf numFmtId="49" fontId="14" fillId="37" borderId="89" xfId="0" applyNumberFormat="1" applyFont="1" applyFill="1" applyBorder="1" applyAlignment="1">
      <alignment horizontal="center" vertical="center" wrapText="1"/>
    </xf>
    <xf numFmtId="0" fontId="14" fillId="0" borderId="50" xfId="0" applyFont="1" applyBorder="1" applyAlignment="1">
      <alignment horizontal="center" vertical="center" wrapText="1"/>
    </xf>
    <xf numFmtId="0" fontId="7" fillId="0" borderId="50" xfId="0" applyFont="1" applyBorder="1" applyAlignment="1">
      <alignment vertical="center"/>
    </xf>
    <xf numFmtId="0" fontId="14" fillId="0" borderId="50" xfId="0" applyFont="1" applyBorder="1" applyAlignment="1">
      <alignment vertical="center"/>
    </xf>
    <xf numFmtId="0" fontId="14" fillId="0" borderId="53" xfId="0" applyFont="1" applyBorder="1" applyAlignment="1">
      <alignment horizontal="center" vertical="center"/>
    </xf>
    <xf numFmtId="0" fontId="14" fillId="31" borderId="52" xfId="0" applyFont="1" applyFill="1" applyBorder="1" applyAlignment="1">
      <alignment horizontal="center" vertical="center"/>
    </xf>
    <xf numFmtId="0" fontId="7" fillId="32" borderId="36" xfId="0" applyFont="1" applyFill="1" applyBorder="1" applyAlignment="1">
      <alignment horizontal="center" vertical="top" wrapText="1"/>
    </xf>
    <xf numFmtId="0" fontId="7" fillId="32" borderId="27" xfId="0" applyFont="1" applyFill="1" applyBorder="1" applyAlignment="1">
      <alignment horizontal="center" wrapText="1"/>
    </xf>
    <xf numFmtId="0" fontId="14" fillId="31" borderId="47" xfId="0" applyFont="1" applyFill="1" applyBorder="1" applyAlignment="1">
      <alignment horizontal="center" vertical="center"/>
    </xf>
    <xf numFmtId="49" fontId="14" fillId="37" borderId="47" xfId="0" applyNumberFormat="1" applyFont="1" applyFill="1" applyBorder="1" applyAlignment="1">
      <alignment horizontal="center" vertical="center" wrapText="1"/>
    </xf>
    <xf numFmtId="14" fontId="14" fillId="0" borderId="0" xfId="0" quotePrefix="1" applyNumberFormat="1" applyFont="1" applyAlignment="1">
      <alignment horizontal="center" vertical="center"/>
    </xf>
    <xf numFmtId="0" fontId="107" fillId="82" borderId="0" xfId="0" applyFont="1" applyFill="1"/>
    <xf numFmtId="9" fontId="14" fillId="0" borderId="19" xfId="418" applyFont="1" applyFill="1" applyBorder="1" applyAlignment="1" applyProtection="1">
      <alignment horizontal="center" vertical="center"/>
    </xf>
    <xf numFmtId="0" fontId="71" fillId="0" borderId="19" xfId="0" applyFont="1" applyBorder="1" applyAlignment="1">
      <alignment vertical="center"/>
    </xf>
    <xf numFmtId="0" fontId="14" fillId="80" borderId="19" xfId="0" applyFont="1" applyFill="1" applyBorder="1" applyAlignment="1">
      <alignment horizontal="center" vertical="center"/>
    </xf>
    <xf numFmtId="9" fontId="14" fillId="80" borderId="19" xfId="418" applyFont="1" applyFill="1" applyBorder="1" applyAlignment="1" applyProtection="1">
      <alignment horizontal="center" vertical="center"/>
    </xf>
    <xf numFmtId="1" fontId="14" fillId="80" borderId="19" xfId="418" applyNumberFormat="1" applyFont="1" applyFill="1" applyBorder="1" applyAlignment="1" applyProtection="1">
      <alignment horizontal="center" vertical="center"/>
    </xf>
    <xf numFmtId="1" fontId="68" fillId="75" borderId="19" xfId="0" applyNumberFormat="1" applyFont="1" applyFill="1" applyBorder="1" applyAlignment="1">
      <alignment horizontal="center" vertical="center"/>
    </xf>
    <xf numFmtId="0" fontId="7" fillId="0" borderId="36" xfId="0" applyFont="1" applyBorder="1" applyAlignment="1">
      <alignment vertical="center" wrapText="1"/>
    </xf>
    <xf numFmtId="10" fontId="8" fillId="0" borderId="36" xfId="399" applyNumberFormat="1" applyFont="1" applyFill="1" applyBorder="1" applyAlignment="1" applyProtection="1">
      <alignment horizontal="center" vertical="center" wrapText="1"/>
    </xf>
    <xf numFmtId="164" fontId="7" fillId="0" borderId="60" xfId="554" applyNumberFormat="1" applyFont="1" applyFill="1" applyBorder="1" applyAlignment="1" applyProtection="1">
      <alignment horizontal="center" vertical="top" wrapText="1"/>
    </xf>
    <xf numFmtId="164" fontId="7" fillId="0" borderId="0" xfId="554" applyNumberFormat="1" applyFont="1" applyFill="1" applyBorder="1" applyAlignment="1" applyProtection="1">
      <alignment horizontal="center" vertical="center"/>
    </xf>
    <xf numFmtId="9" fontId="7" fillId="83" borderId="27" xfId="554" applyFont="1" applyFill="1" applyBorder="1" applyAlignment="1" applyProtection="1">
      <alignment horizontal="center" vertical="center"/>
    </xf>
    <xf numFmtId="164" fontId="7" fillId="86" borderId="27" xfId="554" applyNumberFormat="1" applyFont="1" applyFill="1" applyBorder="1" applyAlignment="1" applyProtection="1">
      <alignment horizontal="center" vertical="center"/>
    </xf>
    <xf numFmtId="164" fontId="7" fillId="86" borderId="60" xfId="554" applyNumberFormat="1" applyFont="1" applyFill="1" applyBorder="1" applyAlignment="1" applyProtection="1">
      <alignment horizontal="center" vertical="center"/>
    </xf>
    <xf numFmtId="164" fontId="7" fillId="0" borderId="0" xfId="554" applyNumberFormat="1" applyFont="1" applyFill="1" applyBorder="1" applyAlignment="1" applyProtection="1">
      <alignment vertical="center"/>
    </xf>
    <xf numFmtId="164" fontId="7" fillId="0" borderId="0" xfId="554" applyNumberFormat="1" applyFont="1" applyFill="1" applyBorder="1" applyAlignment="1" applyProtection="1">
      <alignment vertical="center" wrapText="1"/>
    </xf>
    <xf numFmtId="164" fontId="7" fillId="83" borderId="18" xfId="554" applyNumberFormat="1" applyFont="1" applyFill="1" applyBorder="1" applyAlignment="1" applyProtection="1">
      <alignment horizontal="center" vertical="center"/>
    </xf>
    <xf numFmtId="164" fontId="7" fillId="0" borderId="18" xfId="554" applyNumberFormat="1" applyFont="1" applyFill="1" applyBorder="1" applyAlignment="1" applyProtection="1">
      <alignment horizontal="center" vertical="center"/>
    </xf>
    <xf numFmtId="164" fontId="7" fillId="84" borderId="32" xfId="554" applyNumberFormat="1" applyFont="1" applyFill="1" applyBorder="1" applyAlignment="1" applyProtection="1">
      <alignment horizontal="center" vertical="center"/>
    </xf>
    <xf numFmtId="164" fontId="7" fillId="84" borderId="36" xfId="554" applyNumberFormat="1" applyFont="1" applyFill="1" applyBorder="1" applyAlignment="1" applyProtection="1">
      <alignment horizontal="center" vertical="center"/>
    </xf>
    <xf numFmtId="164" fontId="7" fillId="86" borderId="25" xfId="554" applyNumberFormat="1" applyFont="1" applyFill="1" applyBorder="1" applyAlignment="1" applyProtection="1">
      <alignment horizontal="center" vertical="center"/>
    </xf>
    <xf numFmtId="164" fontId="7" fillId="86" borderId="18" xfId="554" applyNumberFormat="1" applyFont="1" applyFill="1" applyBorder="1" applyAlignment="1" applyProtection="1">
      <alignment horizontal="center" vertical="center"/>
    </xf>
    <xf numFmtId="0" fontId="14" fillId="72" borderId="0" xfId="0" applyFont="1" applyFill="1"/>
    <xf numFmtId="0" fontId="14" fillId="75" borderId="19" xfId="0" applyFont="1" applyFill="1" applyBorder="1" applyAlignment="1">
      <alignment horizontal="center" vertical="center" wrapText="1"/>
    </xf>
    <xf numFmtId="1" fontId="113" fillId="34" borderId="27" xfId="0" applyNumberFormat="1" applyFont="1" applyFill="1" applyBorder="1" applyAlignment="1" applyProtection="1">
      <alignment horizontal="center" vertical="center"/>
      <protection locked="0"/>
    </xf>
    <xf numFmtId="1" fontId="113" fillId="29" borderId="27" xfId="0" applyNumberFormat="1" applyFont="1" applyFill="1" applyBorder="1" applyAlignment="1">
      <alignment horizontal="center" vertical="center" wrapText="1"/>
    </xf>
    <xf numFmtId="0" fontId="18" fillId="0" borderId="0" xfId="477" applyFont="1" applyAlignment="1">
      <alignment horizontal="center" vertical="center"/>
    </xf>
    <xf numFmtId="0" fontId="0" fillId="0" borderId="46" xfId="0" applyBorder="1"/>
    <xf numFmtId="0" fontId="24" fillId="0" borderId="0" xfId="0" applyFont="1" applyAlignment="1">
      <alignment vertical="top"/>
    </xf>
    <xf numFmtId="0" fontId="109" fillId="0" borderId="0" xfId="0" applyFont="1" applyAlignment="1">
      <alignment horizontal="left" vertical="center" wrapText="1" indent="1"/>
    </xf>
    <xf numFmtId="0" fontId="109" fillId="0" borderId="0" xfId="0" applyFont="1" applyAlignment="1">
      <alignment horizontal="center" vertical="center"/>
    </xf>
    <xf numFmtId="0" fontId="134" fillId="0" borderId="0" xfId="0" applyFont="1"/>
    <xf numFmtId="0" fontId="139" fillId="0" borderId="0" xfId="0" applyFont="1"/>
    <xf numFmtId="0" fontId="140" fillId="0" borderId="27" xfId="0" applyFont="1" applyBorder="1" applyAlignment="1">
      <alignment horizontal="center" vertical="center"/>
    </xf>
    <xf numFmtId="1" fontId="7" fillId="35" borderId="19" xfId="477" applyNumberFormat="1" applyFont="1" applyFill="1" applyBorder="1" applyAlignment="1" applyProtection="1">
      <alignment horizontal="center" vertical="center"/>
      <protection locked="0"/>
    </xf>
    <xf numFmtId="1" fontId="7" fillId="35" borderId="50" xfId="477" applyNumberFormat="1" applyFont="1" applyFill="1" applyBorder="1" applyAlignment="1" applyProtection="1">
      <alignment horizontal="center" vertical="center"/>
      <protection locked="0"/>
    </xf>
    <xf numFmtId="0" fontId="134" fillId="0" borderId="19" xfId="0" applyFont="1" applyBorder="1" applyAlignment="1">
      <alignment horizontal="left" vertical="center" wrapText="1"/>
    </xf>
    <xf numFmtId="0" fontId="134" fillId="0" borderId="19" xfId="0" applyFont="1" applyBorder="1" applyAlignment="1">
      <alignment horizontal="left" vertical="center"/>
    </xf>
    <xf numFmtId="0" fontId="109" fillId="0" borderId="0" xfId="0" applyFont="1" applyAlignment="1">
      <alignment vertical="center"/>
    </xf>
    <xf numFmtId="0" fontId="140" fillId="0" borderId="0" xfId="0" applyFont="1" applyAlignment="1">
      <alignment vertical="center"/>
    </xf>
    <xf numFmtId="49" fontId="7" fillId="35" borderId="43" xfId="477" applyNumberFormat="1" applyFont="1" applyFill="1" applyBorder="1" applyAlignment="1" applyProtection="1">
      <alignment horizontal="center" vertical="center"/>
      <protection locked="0"/>
    </xf>
    <xf numFmtId="49" fontId="7" fillId="35" borderId="94" xfId="477" applyNumberFormat="1" applyFont="1" applyFill="1" applyBorder="1" applyAlignment="1" applyProtection="1">
      <alignment horizontal="center" vertical="center"/>
      <protection locked="0"/>
    </xf>
    <xf numFmtId="49" fontId="7" fillId="35" borderId="43" xfId="477" applyNumberFormat="1" applyFont="1" applyFill="1" applyBorder="1" applyAlignment="1" applyProtection="1">
      <alignment horizontal="left" vertical="center"/>
      <protection locked="0"/>
    </xf>
    <xf numFmtId="49" fontId="7" fillId="35" borderId="94" xfId="477" applyNumberFormat="1" applyFont="1" applyFill="1" applyBorder="1" applyAlignment="1" applyProtection="1">
      <alignment horizontal="left" vertical="center"/>
      <protection locked="0"/>
    </xf>
    <xf numFmtId="1" fontId="14" fillId="0" borderId="0" xfId="0" quotePrefix="1" applyNumberFormat="1" applyFont="1" applyAlignment="1">
      <alignment vertical="center"/>
    </xf>
    <xf numFmtId="1" fontId="14" fillId="0" borderId="0" xfId="0" applyNumberFormat="1" applyFont="1" applyAlignment="1">
      <alignment vertical="center"/>
    </xf>
    <xf numFmtId="0" fontId="102" fillId="0" borderId="0" xfId="0" applyFont="1" applyAlignment="1">
      <alignment horizontal="left" vertical="center"/>
    </xf>
    <xf numFmtId="0" fontId="117" fillId="0" borderId="0" xfId="0" applyFont="1" applyAlignment="1">
      <alignment vertical="center"/>
    </xf>
    <xf numFmtId="1" fontId="109" fillId="0" borderId="27" xfId="0" applyNumberFormat="1" applyFont="1" applyBorder="1" applyAlignment="1">
      <alignment horizontal="center" vertical="center"/>
    </xf>
    <xf numFmtId="1" fontId="109" fillId="0" borderId="18" xfId="0" applyNumberFormat="1" applyFont="1" applyBorder="1" applyAlignment="1">
      <alignment horizontal="center" vertical="center"/>
    </xf>
    <xf numFmtId="1" fontId="7" fillId="35" borderId="31" xfId="477" applyNumberFormat="1" applyFont="1" applyFill="1" applyBorder="1" applyAlignment="1" applyProtection="1">
      <alignment horizontal="center" vertical="center"/>
      <protection locked="0"/>
    </xf>
    <xf numFmtId="0" fontId="117" fillId="0" borderId="50" xfId="0" applyFont="1" applyBorder="1" applyAlignment="1">
      <alignment horizontal="center" vertical="center" wrapText="1"/>
    </xf>
    <xf numFmtId="0" fontId="117" fillId="0" borderId="53" xfId="0" applyFont="1" applyBorder="1" applyAlignment="1">
      <alignment horizontal="center" vertical="center" wrapText="1"/>
    </xf>
    <xf numFmtId="49" fontId="7" fillId="35" borderId="30" xfId="477" applyNumberFormat="1" applyFont="1" applyFill="1" applyBorder="1" applyAlignment="1" applyProtection="1">
      <alignment horizontal="center" vertical="center"/>
      <protection locked="0"/>
    </xf>
    <xf numFmtId="49" fontId="7" fillId="35" borderId="30" xfId="477" applyNumberFormat="1" applyFont="1" applyFill="1" applyBorder="1" applyAlignment="1" applyProtection="1">
      <alignment horizontal="left" vertical="center"/>
      <protection locked="0"/>
    </xf>
    <xf numFmtId="0" fontId="117" fillId="0" borderId="97" xfId="0" applyFont="1" applyBorder="1" applyAlignment="1">
      <alignment horizontal="center" vertical="center" wrapText="1"/>
    </xf>
    <xf numFmtId="0" fontId="117" fillId="0" borderId="98" xfId="0" applyFont="1" applyBorder="1" applyAlignment="1">
      <alignment horizontal="center" vertical="center" wrapText="1"/>
    </xf>
    <xf numFmtId="0" fontId="117" fillId="0" borderId="49" xfId="0" applyFont="1" applyBorder="1" applyAlignment="1">
      <alignment horizontal="center" vertical="center" wrapText="1"/>
    </xf>
    <xf numFmtId="0" fontId="117" fillId="0" borderId="54" xfId="0" applyFont="1" applyBorder="1" applyAlignment="1">
      <alignment horizontal="center" vertical="center" wrapText="1"/>
    </xf>
    <xf numFmtId="49" fontId="16" fillId="0" borderId="19" xfId="0" applyNumberFormat="1" applyFont="1" applyBorder="1" applyAlignment="1">
      <alignment vertical="center"/>
    </xf>
    <xf numFmtId="0" fontId="0" fillId="87" borderId="19" xfId="0" applyFill="1" applyBorder="1"/>
    <xf numFmtId="49" fontId="7" fillId="35" borderId="95" xfId="477" applyNumberFormat="1" applyFont="1" applyFill="1" applyBorder="1" applyAlignment="1" applyProtection="1">
      <alignment vertical="center" wrapText="1"/>
      <protection locked="0"/>
    </xf>
    <xf numFmtId="49" fontId="7" fillId="35" borderId="92" xfId="477" applyNumberFormat="1" applyFont="1" applyFill="1" applyBorder="1" applyAlignment="1" applyProtection="1">
      <alignment vertical="center" wrapText="1"/>
      <protection locked="0"/>
    </xf>
    <xf numFmtId="49" fontId="7" fillId="35" borderId="93" xfId="477" applyNumberFormat="1" applyFont="1" applyFill="1" applyBorder="1" applyAlignment="1" applyProtection="1">
      <alignment vertical="center" wrapText="1"/>
      <protection locked="0"/>
    </xf>
    <xf numFmtId="49" fontId="7" fillId="35" borderId="31" xfId="477" applyNumberFormat="1" applyFont="1" applyFill="1" applyBorder="1" applyAlignment="1" applyProtection="1">
      <alignment vertical="center" wrapText="1"/>
      <protection locked="0"/>
    </xf>
    <xf numFmtId="49" fontId="7" fillId="35" borderId="19" xfId="477" applyNumberFormat="1" applyFont="1" applyFill="1" applyBorder="1" applyAlignment="1" applyProtection="1">
      <alignment vertical="center" wrapText="1"/>
      <protection locked="0"/>
    </xf>
    <xf numFmtId="49" fontId="7" fillId="35" borderId="50" xfId="477" applyNumberFormat="1" applyFont="1" applyFill="1" applyBorder="1" applyAlignment="1" applyProtection="1">
      <alignment vertical="center" wrapText="1"/>
      <protection locked="0"/>
    </xf>
    <xf numFmtId="49" fontId="7" fillId="35" borderId="31" xfId="477" applyNumberFormat="1" applyFont="1" applyFill="1" applyBorder="1" applyAlignment="1" applyProtection="1">
      <alignment horizontal="center" vertical="center" wrapText="1"/>
      <protection locked="0"/>
    </xf>
    <xf numFmtId="49" fontId="7" fillId="35" borderId="19" xfId="477" applyNumberFormat="1" applyFont="1" applyFill="1" applyBorder="1" applyAlignment="1" applyProtection="1">
      <alignment horizontal="center" vertical="center" wrapText="1"/>
      <protection locked="0"/>
    </xf>
    <xf numFmtId="49" fontId="7" fillId="35" borderId="50" xfId="477" applyNumberFormat="1" applyFont="1" applyFill="1" applyBorder="1" applyAlignment="1" applyProtection="1">
      <alignment horizontal="center" vertical="center" wrapText="1"/>
      <protection locked="0"/>
    </xf>
    <xf numFmtId="49" fontId="18" fillId="35" borderId="95" xfId="477" applyNumberFormat="1" applyFont="1" applyFill="1" applyBorder="1" applyAlignment="1" applyProtection="1">
      <alignment horizontal="left" vertical="center" wrapText="1"/>
      <protection locked="0"/>
    </xf>
    <xf numFmtId="49" fontId="18" fillId="35" borderId="31" xfId="477" applyNumberFormat="1" applyFont="1" applyFill="1" applyBorder="1" applyAlignment="1" applyProtection="1">
      <alignment horizontal="left" vertical="center" wrapText="1"/>
      <protection locked="0"/>
    </xf>
    <xf numFmtId="1" fontId="18" fillId="35" borderId="31" xfId="477" applyNumberFormat="1" applyFont="1" applyFill="1" applyBorder="1" applyAlignment="1" applyProtection="1">
      <alignment horizontal="center" vertical="center"/>
      <protection locked="0"/>
    </xf>
    <xf numFmtId="1" fontId="18" fillId="35" borderId="96" xfId="477" applyNumberFormat="1" applyFont="1" applyFill="1" applyBorder="1" applyAlignment="1" applyProtection="1">
      <alignment horizontal="center" vertical="center"/>
      <protection locked="0"/>
    </xf>
    <xf numFmtId="49" fontId="18" fillId="35" borderId="92" xfId="477" applyNumberFormat="1" applyFont="1" applyFill="1" applyBorder="1" applyAlignment="1" applyProtection="1">
      <alignment horizontal="left" vertical="center" wrapText="1"/>
      <protection locked="0"/>
    </xf>
    <xf numFmtId="49" fontId="18" fillId="35" borderId="19" xfId="477" applyNumberFormat="1" applyFont="1" applyFill="1" applyBorder="1" applyAlignment="1" applyProtection="1">
      <alignment horizontal="left" vertical="center" wrapText="1"/>
      <protection locked="0"/>
    </xf>
    <xf numFmtId="1" fontId="18" fillId="35" borderId="19" xfId="477" applyNumberFormat="1" applyFont="1" applyFill="1" applyBorder="1" applyAlignment="1" applyProtection="1">
      <alignment horizontal="center" vertical="center"/>
      <protection locked="0"/>
    </xf>
    <xf numFmtId="1" fontId="18" fillId="35" borderId="55" xfId="477" applyNumberFormat="1" applyFont="1" applyFill="1" applyBorder="1" applyAlignment="1" applyProtection="1">
      <alignment horizontal="center" vertical="center"/>
      <protection locked="0"/>
    </xf>
    <xf numFmtId="49" fontId="18" fillId="35" borderId="19" xfId="477" applyNumberFormat="1" applyFont="1" applyFill="1" applyBorder="1" applyAlignment="1" applyProtection="1">
      <alignment horizontal="center" vertical="center" wrapText="1"/>
      <protection locked="0"/>
    </xf>
    <xf numFmtId="49" fontId="18" fillId="35" borderId="93" xfId="477" applyNumberFormat="1" applyFont="1" applyFill="1" applyBorder="1" applyAlignment="1" applyProtection="1">
      <alignment horizontal="left" vertical="center" wrapText="1"/>
      <protection locked="0"/>
    </xf>
    <xf numFmtId="49" fontId="18" fillId="35" borderId="50" xfId="477" applyNumberFormat="1" applyFont="1" applyFill="1" applyBorder="1" applyAlignment="1" applyProtection="1">
      <alignment horizontal="center" vertical="center" wrapText="1"/>
      <protection locked="0"/>
    </xf>
    <xf numFmtId="1" fontId="18" fillId="35" borderId="50" xfId="477" applyNumberFormat="1" applyFont="1" applyFill="1" applyBorder="1" applyAlignment="1" applyProtection="1">
      <alignment horizontal="center" vertical="center"/>
      <protection locked="0"/>
    </xf>
    <xf numFmtId="1" fontId="18" fillId="35" borderId="53" xfId="477" applyNumberFormat="1" applyFont="1" applyFill="1" applyBorder="1" applyAlignment="1" applyProtection="1">
      <alignment horizontal="center" vertical="center"/>
      <protection locked="0"/>
    </xf>
    <xf numFmtId="0" fontId="14" fillId="0" borderId="0" xfId="0" applyFont="1" applyAlignment="1">
      <alignment wrapText="1"/>
    </xf>
    <xf numFmtId="0" fontId="7" fillId="0" borderId="45" xfId="0" applyFont="1" applyBorder="1" applyAlignment="1">
      <alignment vertical="center" wrapText="1"/>
    </xf>
    <xf numFmtId="1" fontId="7" fillId="35" borderId="96" xfId="477" applyNumberFormat="1" applyFont="1" applyFill="1" applyBorder="1" applyAlignment="1" applyProtection="1">
      <alignment horizontal="left" vertical="center" wrapText="1"/>
      <protection locked="0"/>
    </xf>
    <xf numFmtId="1" fontId="7" fillId="35" borderId="55" xfId="477" applyNumberFormat="1" applyFont="1" applyFill="1" applyBorder="1" applyAlignment="1" applyProtection="1">
      <alignment horizontal="left" vertical="center" wrapText="1"/>
      <protection locked="0"/>
    </xf>
    <xf numFmtId="1" fontId="7" fillId="35" borderId="53" xfId="477" applyNumberFormat="1" applyFont="1" applyFill="1" applyBorder="1" applyAlignment="1" applyProtection="1">
      <alignment horizontal="left" vertical="center" wrapText="1"/>
      <protection locked="0"/>
    </xf>
    <xf numFmtId="0" fontId="3" fillId="0" borderId="39" xfId="477" applyBorder="1" applyAlignment="1">
      <alignment horizontal="center" vertical="center"/>
    </xf>
    <xf numFmtId="0" fontId="3" fillId="0" borderId="40" xfId="477" applyBorder="1" applyAlignment="1">
      <alignment horizontal="center" vertical="center"/>
    </xf>
    <xf numFmtId="0" fontId="3" fillId="35" borderId="39" xfId="477" applyFill="1" applyBorder="1" applyAlignment="1" applyProtection="1">
      <alignment horizontal="center" vertical="center" wrapText="1"/>
      <protection locked="0"/>
    </xf>
    <xf numFmtId="0" fontId="3" fillId="35" borderId="40" xfId="477" applyFill="1" applyBorder="1" applyAlignment="1" applyProtection="1">
      <alignment horizontal="center" vertical="center" wrapText="1"/>
      <protection locked="0"/>
    </xf>
    <xf numFmtId="0" fontId="3" fillId="35" borderId="43" xfId="477" applyFill="1" applyBorder="1" applyAlignment="1" applyProtection="1">
      <alignment horizontal="center" vertical="center" wrapText="1"/>
      <protection locked="0"/>
    </xf>
    <xf numFmtId="0" fontId="3" fillId="28" borderId="39" xfId="477" applyFill="1" applyBorder="1" applyAlignment="1">
      <alignment horizontal="center" vertical="center" wrapText="1"/>
    </xf>
    <xf numFmtId="0" fontId="3" fillId="28" borderId="43" xfId="477" applyFill="1" applyBorder="1" applyAlignment="1">
      <alignment horizontal="center" vertical="center" wrapText="1"/>
    </xf>
    <xf numFmtId="0" fontId="3" fillId="0" borderId="39" xfId="477" applyBorder="1" applyAlignment="1">
      <alignment horizontal="center" vertical="center" wrapText="1"/>
    </xf>
    <xf numFmtId="0" fontId="3" fillId="0" borderId="40" xfId="477" applyBorder="1" applyAlignment="1">
      <alignment horizontal="center" vertical="center" wrapText="1"/>
    </xf>
    <xf numFmtId="0" fontId="3" fillId="0" borderId="43" xfId="477" applyBorder="1" applyAlignment="1">
      <alignment horizontal="center" vertical="center" wrapText="1"/>
    </xf>
    <xf numFmtId="14" fontId="3" fillId="35" borderId="39" xfId="477" applyNumberFormat="1" applyFill="1" applyBorder="1" applyAlignment="1" applyProtection="1">
      <alignment horizontal="center" vertical="center"/>
      <protection locked="0"/>
    </xf>
    <xf numFmtId="14" fontId="3" fillId="35" borderId="43" xfId="477" applyNumberFormat="1" applyFill="1" applyBorder="1" applyAlignment="1" applyProtection="1">
      <alignment horizontal="center" vertical="center"/>
      <protection locked="0"/>
    </xf>
    <xf numFmtId="14" fontId="3" fillId="0" borderId="39" xfId="477" applyNumberFormat="1" applyBorder="1" applyAlignment="1">
      <alignment horizontal="center" vertical="center"/>
    </xf>
    <xf numFmtId="14" fontId="3" fillId="0" borderId="43" xfId="477" applyNumberFormat="1" applyBorder="1" applyAlignment="1">
      <alignment horizontal="center" vertical="center"/>
    </xf>
    <xf numFmtId="0" fontId="16" fillId="28" borderId="19" xfId="0" applyFont="1" applyFill="1" applyBorder="1" applyAlignment="1">
      <alignment horizontal="center" vertical="center" wrapText="1"/>
    </xf>
    <xf numFmtId="49" fontId="3" fillId="35" borderId="39" xfId="477" applyNumberFormat="1" applyFill="1" applyBorder="1" applyAlignment="1" applyProtection="1">
      <alignment horizontal="left" vertical="center"/>
      <protection locked="0"/>
    </xf>
    <xf numFmtId="49" fontId="3" fillId="35" borderId="40" xfId="477" applyNumberFormat="1" applyFill="1" applyBorder="1" applyAlignment="1" applyProtection="1">
      <alignment horizontal="left" vertical="center"/>
      <protection locked="0"/>
    </xf>
    <xf numFmtId="49" fontId="3" fillId="35" borderId="43" xfId="477" applyNumberFormat="1" applyFill="1" applyBorder="1" applyAlignment="1" applyProtection="1">
      <alignment horizontal="left" vertical="center"/>
      <protection locked="0"/>
    </xf>
    <xf numFmtId="0" fontId="3" fillId="0" borderId="19" xfId="477" applyBorder="1" applyAlignment="1">
      <alignment horizontal="center" vertical="center" wrapText="1"/>
    </xf>
    <xf numFmtId="0" fontId="3" fillId="28" borderId="19" xfId="477" applyFill="1" applyBorder="1" applyAlignment="1">
      <alignment horizontal="center" vertical="center" wrapText="1"/>
    </xf>
    <xf numFmtId="0" fontId="3" fillId="35" borderId="39" xfId="477" applyFill="1" applyBorder="1" applyAlignment="1" applyProtection="1">
      <alignment horizontal="left" vertical="center"/>
      <protection locked="0"/>
    </xf>
    <xf numFmtId="0" fontId="3" fillId="35" borderId="40" xfId="477" applyFill="1" applyBorder="1" applyAlignment="1" applyProtection="1">
      <alignment horizontal="left" vertical="center"/>
      <protection locked="0"/>
    </xf>
    <xf numFmtId="0" fontId="3" fillId="35" borderId="43" xfId="477" applyFill="1" applyBorder="1" applyAlignment="1" applyProtection="1">
      <alignment horizontal="left" vertical="center"/>
      <protection locked="0"/>
    </xf>
    <xf numFmtId="0" fontId="67" fillId="0" borderId="0" xfId="0" applyFont="1" applyAlignment="1">
      <alignment horizontal="justify" vertical="top" wrapText="1"/>
    </xf>
    <xf numFmtId="0" fontId="131" fillId="0" borderId="0" xfId="0" applyFont="1" applyAlignment="1">
      <alignment horizontal="justify" vertical="top" wrapText="1"/>
    </xf>
    <xf numFmtId="0" fontId="131" fillId="0" borderId="43" xfId="0" applyFont="1" applyBorder="1" applyAlignment="1" applyProtection="1">
      <alignment horizontal="left" vertical="center"/>
      <protection locked="0"/>
    </xf>
    <xf numFmtId="0" fontId="3" fillId="0" borderId="39" xfId="477" applyBorder="1" applyAlignment="1">
      <alignment vertical="center"/>
    </xf>
    <xf numFmtId="0" fontId="16" fillId="0" borderId="40" xfId="0" applyFont="1" applyBorder="1" applyAlignment="1">
      <alignment vertical="center"/>
    </xf>
    <xf numFmtId="0" fontId="16" fillId="0" borderId="43" xfId="0" applyFont="1" applyBorder="1" applyAlignment="1">
      <alignment vertical="center"/>
    </xf>
    <xf numFmtId="0" fontId="121" fillId="0" borderId="0" xfId="0" applyFont="1" applyAlignment="1">
      <alignment horizontal="center" vertical="center"/>
    </xf>
    <xf numFmtId="0" fontId="7" fillId="0" borderId="0" xfId="0" applyFont="1" applyAlignment="1">
      <alignment horizontal="justify" vertical="center" wrapText="1"/>
    </xf>
    <xf numFmtId="0" fontId="7" fillId="0" borderId="0" xfId="0" applyFont="1" applyAlignment="1">
      <alignment horizontal="justify" vertical="center"/>
    </xf>
    <xf numFmtId="0" fontId="7" fillId="0" borderId="41" xfId="477" applyFont="1" applyBorder="1" applyAlignment="1">
      <alignment horizontal="center" vertical="center"/>
    </xf>
    <xf numFmtId="0" fontId="131" fillId="0" borderId="41" xfId="0" applyFont="1" applyBorder="1" applyAlignment="1">
      <alignment horizontal="center" vertical="center"/>
    </xf>
    <xf numFmtId="0" fontId="15" fillId="0" borderId="21" xfId="0" applyFont="1" applyBorder="1" applyAlignment="1">
      <alignment horizontal="center" vertical="center" wrapText="1"/>
    </xf>
    <xf numFmtId="0" fontId="15" fillId="0" borderId="88" xfId="0" applyFont="1" applyBorder="1" applyAlignment="1">
      <alignment horizontal="center" vertical="center" wrapText="1"/>
    </xf>
    <xf numFmtId="0" fontId="131" fillId="0" borderId="31" xfId="0" applyFont="1" applyBorder="1"/>
    <xf numFmtId="0" fontId="3" fillId="0" borderId="20" xfId="0" applyFont="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3" fillId="0" borderId="20" xfId="477" applyBorder="1" applyAlignment="1">
      <alignment horizontal="center" vertical="center"/>
    </xf>
    <xf numFmtId="0" fontId="3" fillId="0" borderId="42" xfId="477" applyBorder="1" applyAlignment="1">
      <alignment horizontal="center" vertical="center"/>
    </xf>
    <xf numFmtId="0" fontId="107" fillId="0" borderId="74" xfId="0" applyFont="1" applyBorder="1" applyAlignment="1">
      <alignment horizontal="left" vertical="center" wrapText="1"/>
    </xf>
    <xf numFmtId="0" fontId="3" fillId="0" borderId="19" xfId="0" applyFont="1" applyBorder="1" applyAlignment="1">
      <alignment horizontal="center" vertical="center"/>
    </xf>
    <xf numFmtId="0" fontId="3" fillId="0" borderId="19" xfId="477" applyBorder="1" applyAlignment="1">
      <alignment horizontal="center" vertical="center"/>
    </xf>
    <xf numFmtId="0" fontId="3" fillId="0" borderId="21" xfId="477" applyBorder="1" applyAlignment="1">
      <alignment horizontal="center" vertical="center" wrapText="1"/>
    </xf>
    <xf numFmtId="0" fontId="3" fillId="0" borderId="31" xfId="477" applyBorder="1" applyAlignment="1">
      <alignment horizontal="center" vertical="center" wrapText="1"/>
    </xf>
    <xf numFmtId="0" fontId="3" fillId="0" borderId="88" xfId="477" applyBorder="1" applyAlignment="1">
      <alignment horizontal="center" vertical="center" wrapText="1"/>
    </xf>
    <xf numFmtId="0" fontId="3" fillId="0" borderId="31" xfId="0" applyFont="1" applyBorder="1" applyAlignment="1">
      <alignment horizontal="center" vertical="center"/>
    </xf>
    <xf numFmtId="0" fontId="16" fillId="0" borderId="21" xfId="0" applyFont="1" applyBorder="1" applyAlignment="1">
      <alignment horizontal="center" vertical="center"/>
    </xf>
    <xf numFmtId="0" fontId="16" fillId="0" borderId="88" xfId="0" applyFont="1" applyBorder="1" applyAlignment="1">
      <alignment horizontal="center" vertical="center"/>
    </xf>
    <xf numFmtId="0" fontId="16" fillId="0" borderId="31" xfId="0" applyFont="1" applyBorder="1" applyAlignment="1">
      <alignment horizontal="center" vertical="center"/>
    </xf>
    <xf numFmtId="0" fontId="109" fillId="0" borderId="0" xfId="0" applyFont="1" applyAlignment="1">
      <alignment horizontal="left" wrapText="1"/>
    </xf>
    <xf numFmtId="0" fontId="0" fillId="0" borderId="0" xfId="0" applyAlignment="1">
      <alignment horizontal="left" wrapText="1"/>
    </xf>
    <xf numFmtId="0" fontId="117" fillId="0" borderId="91" xfId="0" applyFont="1" applyBorder="1" applyAlignment="1">
      <alignment horizontal="center" vertical="center" wrapText="1"/>
    </xf>
    <xf numFmtId="0" fontId="117" fillId="0" borderId="93" xfId="0" applyFont="1" applyBorder="1" applyAlignment="1">
      <alignment horizontal="center" vertical="center" wrapText="1"/>
    </xf>
    <xf numFmtId="0" fontId="117" fillId="0" borderId="51" xfId="0" applyFont="1" applyBorder="1" applyAlignment="1">
      <alignment horizontal="center" vertical="center" wrapText="1"/>
    </xf>
    <xf numFmtId="0" fontId="117" fillId="0" borderId="50" xfId="0" applyFont="1" applyBorder="1" applyAlignment="1">
      <alignment horizontal="center" vertical="center" wrapText="1"/>
    </xf>
    <xf numFmtId="0" fontId="117" fillId="0" borderId="56" xfId="0" applyFont="1" applyBorder="1" applyAlignment="1">
      <alignment horizontal="center" vertical="center" wrapText="1"/>
    </xf>
    <xf numFmtId="0" fontId="11" fillId="29" borderId="19" xfId="477" applyFont="1" applyFill="1" applyBorder="1" applyAlignment="1">
      <alignment horizontal="left" vertical="center"/>
    </xf>
    <xf numFmtId="0" fontId="32" fillId="0" borderId="36" xfId="0" applyFont="1" applyBorder="1" applyAlignment="1">
      <alignment horizontal="center" vertical="center" wrapText="1"/>
    </xf>
    <xf numFmtId="0" fontId="32" fillId="0" borderId="63" xfId="0" applyFont="1" applyBorder="1" applyAlignment="1">
      <alignment horizontal="center" vertical="center" wrapText="1"/>
    </xf>
    <xf numFmtId="0" fontId="32" fillId="0" borderId="60" xfId="0" applyFont="1" applyBorder="1" applyAlignment="1">
      <alignment horizontal="center" vertical="center" wrapText="1"/>
    </xf>
    <xf numFmtId="0" fontId="23" fillId="34" borderId="36" xfId="0" applyFont="1" applyFill="1" applyBorder="1" applyAlignment="1" applyProtection="1">
      <alignment horizontal="left" vertical="center" wrapText="1"/>
      <protection locked="0"/>
    </xf>
    <xf numFmtId="0" fontId="11" fillId="40" borderId="27" xfId="0" applyFont="1" applyFill="1" applyBorder="1" applyAlignment="1" applyProtection="1">
      <alignment horizontal="left" vertical="center" wrapText="1"/>
      <protection locked="0"/>
    </xf>
    <xf numFmtId="0" fontId="70" fillId="0" borderId="36" xfId="0" applyFont="1" applyBorder="1" applyAlignment="1">
      <alignment horizontal="center" vertical="center" wrapText="1"/>
    </xf>
    <xf numFmtId="0" fontId="64" fillId="0" borderId="63" xfId="0" applyFont="1" applyBorder="1" applyAlignment="1">
      <alignment horizontal="center" vertical="center" wrapText="1"/>
    </xf>
    <xf numFmtId="0" fontId="64" fillId="0" borderId="60" xfId="0" applyFont="1" applyBorder="1" applyAlignment="1">
      <alignment horizontal="center" vertical="center" wrapText="1"/>
    </xf>
    <xf numFmtId="0" fontId="7" fillId="0" borderId="36" xfId="0" applyFont="1" applyBorder="1" applyAlignment="1">
      <alignment horizontal="center" vertical="center" wrapText="1"/>
    </xf>
    <xf numFmtId="0" fontId="81" fillId="0" borderId="63" xfId="0" applyFont="1" applyBorder="1" applyAlignment="1">
      <alignment horizontal="center" vertical="center" wrapText="1"/>
    </xf>
    <xf numFmtId="0" fontId="81" fillId="0" borderId="60" xfId="0" applyFont="1" applyBorder="1" applyAlignment="1">
      <alignment horizontal="center" vertical="center" wrapText="1"/>
    </xf>
    <xf numFmtId="0" fontId="7" fillId="0" borderId="36" xfId="0" applyFont="1" applyBorder="1" applyAlignment="1">
      <alignment vertical="center" wrapText="1"/>
    </xf>
    <xf numFmtId="0" fontId="81" fillId="0" borderId="63" xfId="0" applyFont="1" applyBorder="1" applyAlignment="1">
      <alignment vertical="center" wrapText="1"/>
    </xf>
    <xf numFmtId="0" fontId="81" fillId="0" borderId="60" xfId="0" applyFont="1" applyBorder="1" applyAlignment="1">
      <alignment vertical="center" wrapText="1"/>
    </xf>
    <xf numFmtId="0" fontId="7" fillId="0" borderId="48" xfId="0" applyFont="1" applyBorder="1" applyAlignment="1">
      <alignment vertical="center" wrapText="1"/>
    </xf>
    <xf numFmtId="0" fontId="81" fillId="0" borderId="32" xfId="0" applyFont="1" applyBorder="1" applyAlignment="1">
      <alignment vertical="center" wrapText="1"/>
    </xf>
    <xf numFmtId="0" fontId="81" fillId="0" borderId="52" xfId="0" applyFont="1" applyBorder="1" applyAlignment="1">
      <alignment vertical="center" wrapText="1"/>
    </xf>
    <xf numFmtId="0" fontId="81" fillId="0" borderId="26" xfId="0" applyFont="1" applyBorder="1" applyAlignment="1">
      <alignment vertical="center" wrapText="1"/>
    </xf>
    <xf numFmtId="0" fontId="81" fillId="0" borderId="47" xfId="0" applyFont="1" applyBorder="1" applyAlignment="1">
      <alignment vertical="center" wrapText="1"/>
    </xf>
    <xf numFmtId="0" fontId="81" fillId="0" borderId="25" xfId="0" applyFont="1" applyBorder="1" applyAlignment="1">
      <alignment vertical="center" wrapText="1"/>
    </xf>
    <xf numFmtId="0" fontId="56" fillId="0" borderId="36" xfId="0" applyFont="1" applyBorder="1" applyAlignment="1">
      <alignment horizontal="center" vertical="center" wrapText="1"/>
    </xf>
    <xf numFmtId="0" fontId="56" fillId="0" borderId="63" xfId="0" applyFont="1" applyBorder="1" applyAlignment="1">
      <alignment horizontal="center" vertical="center" wrapText="1"/>
    </xf>
    <xf numFmtId="0" fontId="56" fillId="0" borderId="60" xfId="0" applyFont="1" applyBorder="1" applyAlignment="1">
      <alignment horizontal="center" vertical="center" wrapText="1"/>
    </xf>
    <xf numFmtId="0" fontId="56" fillId="0" borderId="48"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52" xfId="0" applyFont="1" applyBorder="1" applyAlignment="1">
      <alignment horizontal="center" vertical="center" wrapText="1"/>
    </xf>
    <xf numFmtId="0" fontId="56" fillId="0" borderId="26" xfId="0" applyFont="1" applyBorder="1" applyAlignment="1">
      <alignment horizontal="center" vertical="center" wrapText="1"/>
    </xf>
    <xf numFmtId="0" fontId="56" fillId="0" borderId="47" xfId="0" applyFont="1" applyBorder="1" applyAlignment="1">
      <alignment horizontal="center" vertical="center" wrapText="1"/>
    </xf>
    <xf numFmtId="0" fontId="56" fillId="0" borderId="25" xfId="0" applyFont="1" applyBorder="1" applyAlignment="1">
      <alignment horizontal="center" vertical="center" wrapText="1"/>
    </xf>
    <xf numFmtId="9" fontId="56" fillId="0" borderId="36" xfId="0" applyNumberFormat="1" applyFont="1" applyBorder="1" applyAlignment="1">
      <alignment horizontal="center" vertical="center" wrapText="1"/>
    </xf>
    <xf numFmtId="0" fontId="110" fillId="0" borderId="36" xfId="0" applyFont="1" applyBorder="1" applyAlignment="1">
      <alignment horizontal="center" vertical="center" wrapText="1"/>
    </xf>
    <xf numFmtId="0" fontId="110" fillId="0" borderId="63" xfId="0" applyFont="1" applyBorder="1" applyAlignment="1">
      <alignment horizontal="center" vertical="center" wrapText="1"/>
    </xf>
    <xf numFmtId="0" fontId="110" fillId="0" borderId="60" xfId="0" applyFont="1" applyBorder="1" applyAlignment="1">
      <alignment horizontal="center" vertical="center" wrapText="1"/>
    </xf>
    <xf numFmtId="0" fontId="31" fillId="33" borderId="36" xfId="0" applyFont="1" applyFill="1" applyBorder="1" applyAlignment="1">
      <alignment horizontal="center" vertical="center" wrapText="1"/>
    </xf>
    <xf numFmtId="0" fontId="31" fillId="33" borderId="63" xfId="0" applyFont="1" applyFill="1" applyBorder="1" applyAlignment="1">
      <alignment horizontal="center" vertical="center" wrapText="1"/>
    </xf>
    <xf numFmtId="0" fontId="31" fillId="33" borderId="60" xfId="0" applyFont="1" applyFill="1" applyBorder="1" applyAlignment="1">
      <alignment horizontal="center" vertical="center" wrapText="1"/>
    </xf>
    <xf numFmtId="0" fontId="70" fillId="0" borderId="48" xfId="0" applyFont="1" applyBorder="1" applyAlignment="1">
      <alignment vertical="center" wrapText="1"/>
    </xf>
    <xf numFmtId="0" fontId="64" fillId="0" borderId="32" xfId="0" applyFont="1" applyBorder="1" applyAlignment="1">
      <alignment vertical="center" wrapText="1"/>
    </xf>
    <xf numFmtId="0" fontId="64" fillId="0" borderId="52" xfId="0" applyFont="1" applyBorder="1" applyAlignment="1">
      <alignment vertical="center" wrapText="1"/>
    </xf>
    <xf numFmtId="0" fontId="64" fillId="0" borderId="26" xfId="0" applyFont="1" applyBorder="1" applyAlignment="1">
      <alignment vertical="center" wrapText="1"/>
    </xf>
    <xf numFmtId="0" fontId="64" fillId="0" borderId="47" xfId="0" applyFont="1" applyBorder="1" applyAlignment="1">
      <alignment vertical="center" wrapText="1"/>
    </xf>
    <xf numFmtId="0" fontId="64" fillId="0" borderId="25" xfId="0" applyFont="1" applyBorder="1" applyAlignment="1">
      <alignment vertical="center" wrapText="1"/>
    </xf>
    <xf numFmtId="0" fontId="58" fillId="0" borderId="48" xfId="0" applyFont="1" applyBorder="1" applyAlignment="1">
      <alignment horizontal="center" vertical="center" wrapText="1"/>
    </xf>
    <xf numFmtId="0" fontId="79" fillId="0" borderId="32" xfId="0" applyFont="1" applyBorder="1" applyAlignment="1">
      <alignment horizontal="center" vertical="center" wrapText="1"/>
    </xf>
    <xf numFmtId="0" fontId="79" fillId="0" borderId="52" xfId="0" applyFont="1" applyBorder="1" applyAlignment="1">
      <alignment horizontal="center" vertical="center" wrapText="1"/>
    </xf>
    <xf numFmtId="0" fontId="79" fillId="0" borderId="26" xfId="0" applyFont="1" applyBorder="1" applyAlignment="1">
      <alignment horizontal="center" vertical="center" wrapText="1"/>
    </xf>
    <xf numFmtId="0" fontId="79" fillId="0" borderId="47" xfId="0" applyFont="1" applyBorder="1" applyAlignment="1">
      <alignment horizontal="center" vertical="center" wrapText="1"/>
    </xf>
    <xf numFmtId="0" fontId="79" fillId="0" borderId="25" xfId="0" applyFont="1" applyBorder="1" applyAlignment="1">
      <alignment horizontal="center" vertical="center" wrapText="1"/>
    </xf>
    <xf numFmtId="0" fontId="31" fillId="33" borderId="27" xfId="0" applyFont="1" applyFill="1" applyBorder="1" applyAlignment="1">
      <alignment horizontal="center" vertical="center" wrapText="1"/>
    </xf>
    <xf numFmtId="0" fontId="14" fillId="0" borderId="48" xfId="0" applyFont="1" applyBorder="1" applyAlignment="1">
      <alignment vertical="center" wrapText="1"/>
    </xf>
    <xf numFmtId="0" fontId="79" fillId="0" borderId="48" xfId="0" applyFont="1" applyBorder="1" applyAlignment="1">
      <alignment horizontal="center" vertical="center" wrapText="1"/>
    </xf>
    <xf numFmtId="0" fontId="7" fillId="0" borderId="63" xfId="0" applyFont="1" applyBorder="1" applyAlignment="1">
      <alignment horizontal="center" vertical="center" wrapText="1"/>
    </xf>
    <xf numFmtId="0" fontId="7" fillId="0" borderId="60" xfId="0" applyFont="1" applyBorder="1" applyAlignment="1">
      <alignment horizontal="center" vertical="center" wrapText="1"/>
    </xf>
    <xf numFmtId="1" fontId="8" fillId="34" borderId="36" xfId="0" applyNumberFormat="1" applyFont="1" applyFill="1" applyBorder="1" applyAlignment="1" applyProtection="1">
      <alignment horizontal="center" vertical="center"/>
      <protection locked="0"/>
    </xf>
    <xf numFmtId="1" fontId="8" fillId="34" borderId="63" xfId="0" applyNumberFormat="1" applyFont="1" applyFill="1" applyBorder="1" applyAlignment="1" applyProtection="1">
      <alignment horizontal="center" vertical="center"/>
      <protection locked="0"/>
    </xf>
    <xf numFmtId="1" fontId="8" fillId="34" borderId="60" xfId="0" applyNumberFormat="1" applyFont="1" applyFill="1" applyBorder="1" applyAlignment="1" applyProtection="1">
      <alignment horizontal="center" vertical="center"/>
      <protection locked="0"/>
    </xf>
    <xf numFmtId="1" fontId="8" fillId="29" borderId="36" xfId="0" applyNumberFormat="1" applyFont="1" applyFill="1" applyBorder="1" applyAlignment="1">
      <alignment horizontal="center" vertical="center" wrapText="1"/>
    </xf>
    <xf numFmtId="1" fontId="8" fillId="29" borderId="63" xfId="0" applyNumberFormat="1" applyFont="1" applyFill="1" applyBorder="1" applyAlignment="1">
      <alignment horizontal="center" vertical="center" wrapText="1"/>
    </xf>
    <xf numFmtId="1" fontId="8" fillId="29" borderId="60" xfId="0" applyNumberFormat="1" applyFont="1" applyFill="1" applyBorder="1" applyAlignment="1">
      <alignment horizontal="center" vertical="center" wrapText="1"/>
    </xf>
    <xf numFmtId="9" fontId="56" fillId="0" borderId="63" xfId="0" applyNumberFormat="1" applyFont="1" applyBorder="1" applyAlignment="1">
      <alignment horizontal="center" vertical="center" wrapText="1"/>
    </xf>
    <xf numFmtId="9" fontId="56" fillId="0" borderId="60" xfId="0" applyNumberFormat="1" applyFont="1" applyBorder="1" applyAlignment="1">
      <alignment horizontal="center" vertical="center" wrapText="1"/>
    </xf>
    <xf numFmtId="0" fontId="79" fillId="0" borderId="36" xfId="0" applyFont="1" applyBorder="1" applyAlignment="1">
      <alignment horizontal="center" vertical="center" wrapText="1"/>
    </xf>
    <xf numFmtId="0" fontId="79" fillId="0" borderId="63" xfId="0" applyFont="1" applyBorder="1" applyAlignment="1">
      <alignment horizontal="center" vertical="center" wrapText="1"/>
    </xf>
    <xf numFmtId="0" fontId="79" fillId="0" borderId="60" xfId="0" applyFont="1" applyBorder="1" applyAlignment="1">
      <alignment horizontal="center" vertical="center" wrapText="1"/>
    </xf>
    <xf numFmtId="9" fontId="79" fillId="0" borderId="36" xfId="0" applyNumberFormat="1" applyFont="1" applyBorder="1" applyAlignment="1">
      <alignment horizontal="center" vertical="center" wrapText="1"/>
    </xf>
    <xf numFmtId="0" fontId="31" fillId="0" borderId="36" xfId="0" applyFont="1" applyBorder="1" applyAlignment="1">
      <alignment horizontal="center" vertical="center" wrapText="1"/>
    </xf>
    <xf numFmtId="0" fontId="78" fillId="0" borderId="63" xfId="0" applyFont="1" applyBorder="1" applyAlignment="1">
      <alignment horizontal="center" vertical="center" wrapText="1"/>
    </xf>
    <xf numFmtId="0" fontId="78" fillId="0" borderId="60" xfId="0" applyFont="1" applyBorder="1" applyAlignment="1">
      <alignment horizontal="center" vertical="center" wrapText="1"/>
    </xf>
    <xf numFmtId="0" fontId="70" fillId="0" borderId="36" xfId="0" applyFont="1" applyBorder="1" applyAlignment="1">
      <alignment vertical="center" wrapText="1"/>
    </xf>
    <xf numFmtId="0" fontId="64" fillId="0" borderId="63" xfId="0" applyFont="1" applyBorder="1" applyAlignment="1">
      <alignment vertical="center" wrapText="1"/>
    </xf>
    <xf numFmtId="0" fontId="64" fillId="0" borderId="60" xfId="0" applyFont="1" applyBorder="1" applyAlignment="1">
      <alignment vertical="center" wrapText="1"/>
    </xf>
    <xf numFmtId="0" fontId="82" fillId="0" borderId="63" xfId="0" applyFont="1" applyBorder="1" applyAlignment="1">
      <alignment horizontal="center" vertical="center" wrapText="1"/>
    </xf>
    <xf numFmtId="0" fontId="82" fillId="0" borderId="60" xfId="0" applyFont="1" applyBorder="1" applyAlignment="1">
      <alignment horizontal="center" vertical="center" wrapText="1"/>
    </xf>
    <xf numFmtId="0" fontId="77" fillId="0" borderId="36" xfId="0" applyFont="1" applyBorder="1" applyAlignment="1">
      <alignment horizontal="center" vertical="center" wrapText="1"/>
    </xf>
    <xf numFmtId="0" fontId="14" fillId="0" borderId="36" xfId="0" applyFont="1" applyBorder="1" applyAlignment="1">
      <alignment vertical="center" wrapText="1"/>
    </xf>
    <xf numFmtId="49" fontId="32" fillId="0" borderId="36" xfId="0" applyNumberFormat="1" applyFont="1" applyBorder="1" applyAlignment="1">
      <alignment horizontal="center" vertical="center" wrapText="1"/>
    </xf>
    <xf numFmtId="49" fontId="82" fillId="0" borderId="63" xfId="0" applyNumberFormat="1" applyFont="1" applyBorder="1" applyAlignment="1">
      <alignment horizontal="center" vertical="center" wrapText="1"/>
    </xf>
    <xf numFmtId="49" fontId="82" fillId="0" borderId="60" xfId="0" applyNumberFormat="1" applyFont="1" applyBorder="1" applyAlignment="1">
      <alignment horizontal="center" vertical="center" wrapText="1"/>
    </xf>
    <xf numFmtId="0" fontId="29" fillId="0" borderId="36" xfId="0" applyFont="1" applyBorder="1" applyAlignment="1">
      <alignment horizontal="center" vertical="center" wrapText="1"/>
    </xf>
    <xf numFmtId="0" fontId="29" fillId="0" borderId="60" xfId="0" applyFont="1" applyBorder="1" applyAlignment="1">
      <alignment horizontal="center" vertical="center" wrapText="1"/>
    </xf>
    <xf numFmtId="0" fontId="14" fillId="0" borderId="36" xfId="0" applyFont="1" applyBorder="1" applyAlignment="1">
      <alignment horizontal="center" vertical="center" wrapText="1"/>
    </xf>
    <xf numFmtId="0" fontId="11" fillId="29" borderId="39" xfId="477" applyFont="1" applyFill="1" applyBorder="1" applyAlignment="1">
      <alignment vertical="center"/>
    </xf>
    <xf numFmtId="0" fontId="0" fillId="0" borderId="43" xfId="0" applyBorder="1" applyAlignment="1">
      <alignment vertical="center"/>
    </xf>
    <xf numFmtId="0" fontId="29" fillId="0" borderId="48" xfId="0" applyFont="1" applyBorder="1" applyAlignment="1">
      <alignment horizontal="center" vertical="center" wrapText="1"/>
    </xf>
    <xf numFmtId="0" fontId="29" fillId="0" borderId="32" xfId="0" applyFont="1" applyBorder="1" applyAlignment="1">
      <alignment horizontal="center" vertical="center" wrapText="1"/>
    </xf>
    <xf numFmtId="0" fontId="29" fillId="0" borderId="47" xfId="0" applyFont="1" applyBorder="1" applyAlignment="1">
      <alignment horizontal="center" vertical="center" wrapText="1"/>
    </xf>
    <xf numFmtId="0" fontId="29" fillId="0" borderId="25" xfId="0" applyFont="1" applyBorder="1" applyAlignment="1">
      <alignment horizontal="center" vertical="center" wrapText="1"/>
    </xf>
    <xf numFmtId="0" fontId="23" fillId="0" borderId="60" xfId="0" applyFont="1" applyBorder="1" applyAlignment="1">
      <alignment horizontal="center" vertical="center" wrapText="1"/>
    </xf>
    <xf numFmtId="0" fontId="23" fillId="34" borderId="63" xfId="0" applyFont="1" applyFill="1" applyBorder="1" applyAlignment="1" applyProtection="1">
      <alignment horizontal="left" vertical="center" wrapText="1"/>
      <protection locked="0"/>
    </xf>
    <xf numFmtId="0" fontId="23" fillId="34" borderId="60" xfId="0" applyFont="1" applyFill="1" applyBorder="1" applyAlignment="1" applyProtection="1">
      <alignment horizontal="left" vertical="center" wrapText="1"/>
      <protection locked="0"/>
    </xf>
    <xf numFmtId="0" fontId="23" fillId="34" borderId="36" xfId="0" quotePrefix="1" applyFont="1" applyFill="1" applyBorder="1" applyAlignment="1" applyProtection="1">
      <alignment horizontal="left" vertical="center" wrapText="1"/>
      <protection locked="0"/>
    </xf>
    <xf numFmtId="0" fontId="29" fillId="0" borderId="45" xfId="0" applyFont="1" applyBorder="1" applyAlignment="1">
      <alignment horizontal="center" vertical="center"/>
    </xf>
    <xf numFmtId="0" fontId="29" fillId="0" borderId="18" xfId="0" applyFont="1" applyBorder="1" applyAlignment="1">
      <alignment horizontal="center" vertical="center"/>
    </xf>
    <xf numFmtId="0" fontId="29" fillId="0" borderId="27" xfId="0" applyFont="1" applyBorder="1" applyAlignment="1">
      <alignment horizontal="center" vertical="center" wrapText="1"/>
    </xf>
    <xf numFmtId="0" fontId="0" fillId="0" borderId="27" xfId="0" applyBorder="1" applyAlignment="1">
      <alignment horizontal="center" vertical="center" wrapText="1"/>
    </xf>
    <xf numFmtId="0" fontId="23" fillId="0" borderId="27" xfId="0" applyFont="1" applyBorder="1" applyAlignment="1">
      <alignment horizontal="center" vertical="center" wrapText="1"/>
    </xf>
    <xf numFmtId="0" fontId="57" fillId="0" borderId="27" xfId="0" applyFont="1" applyBorder="1" applyAlignment="1">
      <alignment horizontal="center" vertical="center" wrapText="1"/>
    </xf>
    <xf numFmtId="0" fontId="79" fillId="0" borderId="27" xfId="0" applyFont="1" applyBorder="1" applyAlignment="1">
      <alignment horizontal="center" vertical="center" wrapText="1"/>
    </xf>
    <xf numFmtId="0" fontId="58" fillId="0" borderId="27" xfId="0" applyFont="1" applyBorder="1" applyAlignment="1">
      <alignment horizontal="center" vertical="center" wrapText="1"/>
    </xf>
    <xf numFmtId="0" fontId="80" fillId="0" borderId="36" xfId="0" applyFont="1" applyBorder="1" applyAlignment="1">
      <alignment horizontal="center" vertical="center" wrapText="1"/>
    </xf>
    <xf numFmtId="0" fontId="80" fillId="0" borderId="60" xfId="0" applyFont="1" applyBorder="1" applyAlignment="1">
      <alignment horizontal="center" vertical="center" wrapText="1"/>
    </xf>
    <xf numFmtId="0" fontId="23" fillId="0" borderId="32" xfId="0" applyFont="1" applyBorder="1" applyAlignment="1">
      <alignment horizontal="center" vertical="center" wrapText="1"/>
    </xf>
    <xf numFmtId="0" fontId="23" fillId="0" borderId="47" xfId="0" applyFont="1" applyBorder="1" applyAlignment="1">
      <alignment horizontal="center" vertical="center" wrapText="1"/>
    </xf>
    <xf numFmtId="0" fontId="23" fillId="0" borderId="25" xfId="0" applyFont="1" applyBorder="1" applyAlignment="1">
      <alignment horizontal="center" vertical="center" wrapText="1"/>
    </xf>
    <xf numFmtId="0" fontId="18" fillId="34" borderId="36" xfId="0" applyFont="1" applyFill="1" applyBorder="1" applyAlignment="1" applyProtection="1">
      <alignment horizontal="left" vertical="center" wrapText="1"/>
      <protection locked="0"/>
    </xf>
    <xf numFmtId="0" fontId="114" fillId="34" borderId="36" xfId="0" applyFont="1" applyFill="1" applyBorder="1" applyAlignment="1" applyProtection="1">
      <alignment horizontal="left" vertical="center" wrapText="1"/>
      <protection locked="0"/>
    </xf>
    <xf numFmtId="0" fontId="117" fillId="40" borderId="27" xfId="0" applyFont="1" applyFill="1" applyBorder="1" applyAlignment="1" applyProtection="1">
      <alignment horizontal="left" vertical="center" wrapText="1"/>
      <protection locked="0"/>
    </xf>
    <xf numFmtId="0" fontId="114" fillId="34" borderId="63" xfId="0" applyFont="1" applyFill="1" applyBorder="1" applyAlignment="1" applyProtection="1">
      <alignment horizontal="left" vertical="center" wrapText="1"/>
      <protection locked="0"/>
    </xf>
    <xf numFmtId="0" fontId="114" fillId="34" borderId="60" xfId="0" applyFont="1" applyFill="1" applyBorder="1" applyAlignment="1" applyProtection="1">
      <alignment horizontal="left" vertical="center" wrapText="1"/>
      <protection locked="0"/>
    </xf>
    <xf numFmtId="0" fontId="112" fillId="0" borderId="36" xfId="0" applyFont="1" applyBorder="1" applyAlignment="1">
      <alignment horizontal="center" vertical="center" wrapText="1"/>
    </xf>
    <xf numFmtId="0" fontId="112" fillId="0" borderId="63" xfId="0" applyFont="1" applyBorder="1" applyAlignment="1">
      <alignment horizontal="center" vertical="center" wrapText="1"/>
    </xf>
    <xf numFmtId="0" fontId="112" fillId="0" borderId="60" xfId="0" applyFont="1" applyBorder="1" applyAlignment="1">
      <alignment horizontal="center" vertical="center" wrapText="1"/>
    </xf>
    <xf numFmtId="0" fontId="109" fillId="0" borderId="36" xfId="0" applyFont="1" applyBorder="1" applyAlignment="1">
      <alignment horizontal="center" vertical="center" wrapText="1"/>
    </xf>
    <xf numFmtId="0" fontId="111" fillId="0" borderId="63" xfId="0" applyFont="1" applyBorder="1" applyAlignment="1">
      <alignment horizontal="center" vertical="center" wrapText="1"/>
    </xf>
    <xf numFmtId="0" fontId="111" fillId="0" borderId="60" xfId="0" applyFont="1" applyBorder="1" applyAlignment="1">
      <alignment horizontal="center" vertical="center" wrapText="1"/>
    </xf>
    <xf numFmtId="0" fontId="116" fillId="0" borderId="63" xfId="0" applyFont="1" applyBorder="1" applyAlignment="1">
      <alignment horizontal="center" vertical="center" wrapText="1"/>
    </xf>
    <xf numFmtId="0" fontId="116" fillId="0" borderId="60" xfId="0" applyFont="1" applyBorder="1" applyAlignment="1">
      <alignment horizontal="center" vertical="center" wrapText="1"/>
    </xf>
    <xf numFmtId="0" fontId="109" fillId="0" borderId="36" xfId="0" applyFont="1" applyBorder="1" applyAlignment="1">
      <alignment vertical="center" wrapText="1"/>
    </xf>
    <xf numFmtId="0" fontId="111" fillId="0" borderId="63" xfId="0" applyFont="1" applyBorder="1" applyAlignment="1">
      <alignment vertical="center" wrapText="1"/>
    </xf>
    <xf numFmtId="0" fontId="111" fillId="0" borderId="60" xfId="0" applyFont="1" applyBorder="1" applyAlignment="1">
      <alignment vertical="center" wrapText="1"/>
    </xf>
    <xf numFmtId="0" fontId="109" fillId="0" borderId="48" xfId="0" applyFont="1" applyBorder="1" applyAlignment="1">
      <alignment vertical="center" wrapText="1"/>
    </xf>
    <xf numFmtId="0" fontId="111" fillId="0" borderId="32" xfId="0" applyFont="1" applyBorder="1" applyAlignment="1">
      <alignment vertical="center" wrapText="1"/>
    </xf>
    <xf numFmtId="0" fontId="111" fillId="0" borderId="52" xfId="0" applyFont="1" applyBorder="1" applyAlignment="1">
      <alignment vertical="center" wrapText="1"/>
    </xf>
    <xf numFmtId="0" fontId="111" fillId="0" borderId="26" xfId="0" applyFont="1" applyBorder="1" applyAlignment="1">
      <alignment vertical="center" wrapText="1"/>
    </xf>
    <xf numFmtId="0" fontId="111" fillId="0" borderId="47" xfId="0" applyFont="1" applyBorder="1" applyAlignment="1">
      <alignment vertical="center" wrapText="1"/>
    </xf>
    <xf numFmtId="0" fontId="111" fillId="0" borderId="25" xfId="0" applyFont="1" applyBorder="1" applyAlignment="1">
      <alignment vertical="center" wrapText="1"/>
    </xf>
    <xf numFmtId="0" fontId="112" fillId="0" borderId="48" xfId="0" applyFont="1" applyBorder="1" applyAlignment="1">
      <alignment horizontal="center" vertical="center" wrapText="1"/>
    </xf>
    <xf numFmtId="0" fontId="112" fillId="0" borderId="32" xfId="0" applyFont="1" applyBorder="1" applyAlignment="1">
      <alignment horizontal="center" vertical="center" wrapText="1"/>
    </xf>
    <xf numFmtId="0" fontId="112" fillId="0" borderId="52" xfId="0" applyFont="1" applyBorder="1" applyAlignment="1">
      <alignment horizontal="center" vertical="center" wrapText="1"/>
    </xf>
    <xf numFmtId="0" fontId="112" fillId="0" borderId="26" xfId="0" applyFont="1" applyBorder="1" applyAlignment="1">
      <alignment horizontal="center" vertical="center" wrapText="1"/>
    </xf>
    <xf numFmtId="0" fontId="112" fillId="0" borderId="47" xfId="0" applyFont="1" applyBorder="1" applyAlignment="1">
      <alignment horizontal="center" vertical="center" wrapText="1"/>
    </xf>
    <xf numFmtId="0" fontId="112" fillId="0" borderId="25" xfId="0" applyFont="1" applyBorder="1" applyAlignment="1">
      <alignment horizontal="center" vertical="center" wrapText="1"/>
    </xf>
    <xf numFmtId="9" fontId="58" fillId="0" borderId="36" xfId="0" applyNumberFormat="1" applyFont="1" applyBorder="1" applyAlignment="1">
      <alignment horizontal="center" vertical="center" wrapText="1"/>
    </xf>
    <xf numFmtId="0" fontId="58" fillId="0" borderId="36" xfId="0" applyFont="1" applyBorder="1" applyAlignment="1">
      <alignment horizontal="center" vertical="center" wrapText="1"/>
    </xf>
    <xf numFmtId="0" fontId="18" fillId="34" borderId="36" xfId="0" quotePrefix="1" applyFont="1" applyFill="1" applyBorder="1" applyAlignment="1" applyProtection="1">
      <alignment horizontal="left" vertical="center" wrapText="1"/>
      <protection locked="0"/>
    </xf>
    <xf numFmtId="9" fontId="112" fillId="0" borderId="36" xfId="0" applyNumberFormat="1" applyFont="1" applyBorder="1" applyAlignment="1">
      <alignment horizontal="center" vertical="center" wrapText="1"/>
    </xf>
    <xf numFmtId="0" fontId="32" fillId="33" borderId="36" xfId="0" applyFont="1" applyFill="1" applyBorder="1" applyAlignment="1">
      <alignment horizontal="center" vertical="center" wrapText="1"/>
    </xf>
    <xf numFmtId="0" fontId="32" fillId="33" borderId="63" xfId="0" applyFont="1" applyFill="1" applyBorder="1" applyAlignment="1">
      <alignment horizontal="center" vertical="center" wrapText="1"/>
    </xf>
    <xf numFmtId="0" fontId="32" fillId="33" borderId="60" xfId="0" applyFont="1" applyFill="1" applyBorder="1" applyAlignment="1">
      <alignment horizontal="center" vertical="center" wrapText="1"/>
    </xf>
    <xf numFmtId="0" fontId="18" fillId="34" borderId="63" xfId="0" applyFont="1" applyFill="1" applyBorder="1" applyAlignment="1" applyProtection="1">
      <alignment horizontal="left" vertical="center" wrapText="1"/>
      <protection locked="0"/>
    </xf>
    <xf numFmtId="0" fontId="18" fillId="34" borderId="60" xfId="0" applyFont="1" applyFill="1" applyBorder="1" applyAlignment="1" applyProtection="1">
      <alignment horizontal="left" vertical="center" wrapText="1"/>
      <protection locked="0"/>
    </xf>
    <xf numFmtId="0" fontId="14" fillId="0" borderId="27" xfId="0" applyFont="1" applyBorder="1" applyAlignment="1">
      <alignment vertical="center" wrapText="1"/>
    </xf>
    <xf numFmtId="1" fontId="26" fillId="29" borderId="36" xfId="0" applyNumberFormat="1" applyFont="1" applyFill="1" applyBorder="1" applyAlignment="1">
      <alignment horizontal="center" vertical="center" wrapText="1"/>
    </xf>
    <xf numFmtId="1" fontId="26" fillId="29" borderId="63" xfId="0" applyNumberFormat="1" applyFont="1" applyFill="1" applyBorder="1" applyAlignment="1">
      <alignment horizontal="center" vertical="center" wrapText="1"/>
    </xf>
    <xf numFmtId="1" fontId="26" fillId="29" borderId="60" xfId="0" applyNumberFormat="1" applyFont="1" applyFill="1" applyBorder="1" applyAlignment="1">
      <alignment horizontal="center" vertical="center" wrapText="1"/>
    </xf>
    <xf numFmtId="0" fontId="11" fillId="40" borderId="36" xfId="0" applyFont="1" applyFill="1" applyBorder="1" applyAlignment="1" applyProtection="1">
      <alignment horizontal="left" vertical="center" wrapText="1"/>
      <protection locked="0"/>
    </xf>
    <xf numFmtId="0" fontId="7" fillId="0" borderId="63" xfId="0" applyFont="1" applyBorder="1" applyAlignment="1">
      <alignment vertical="center" wrapText="1"/>
    </xf>
    <xf numFmtId="0" fontId="7" fillId="0" borderId="60" xfId="0" applyFont="1" applyBorder="1" applyAlignment="1">
      <alignment vertical="center" wrapText="1"/>
    </xf>
    <xf numFmtId="0" fontId="7" fillId="0" borderId="32" xfId="0" applyFont="1" applyBorder="1" applyAlignment="1">
      <alignment vertical="center" wrapText="1"/>
    </xf>
    <xf numFmtId="0" fontId="7" fillId="0" borderId="52" xfId="0" applyFont="1" applyBorder="1" applyAlignment="1">
      <alignment vertical="center" wrapText="1"/>
    </xf>
    <xf numFmtId="0" fontId="7" fillId="0" borderId="26" xfId="0" applyFont="1" applyBorder="1" applyAlignment="1">
      <alignment vertical="center" wrapText="1"/>
    </xf>
    <xf numFmtId="0" fontId="7" fillId="0" borderId="47" xfId="0" applyFont="1" applyBorder="1" applyAlignment="1">
      <alignment vertical="center" wrapText="1"/>
    </xf>
    <xf numFmtId="0" fontId="7" fillId="0" borderId="25" xfId="0" applyFont="1" applyBorder="1" applyAlignment="1">
      <alignment vertical="center" wrapText="1"/>
    </xf>
    <xf numFmtId="49" fontId="110" fillId="0" borderId="36" xfId="0" applyNumberFormat="1" applyFont="1" applyBorder="1" applyAlignment="1">
      <alignment horizontal="center" vertical="center" wrapText="1"/>
    </xf>
    <xf numFmtId="49" fontId="116" fillId="0" borderId="63" xfId="0" applyNumberFormat="1" applyFont="1" applyBorder="1" applyAlignment="1">
      <alignment horizontal="center" vertical="center" wrapText="1"/>
    </xf>
    <xf numFmtId="49" fontId="116" fillId="0" borderId="60" xfId="0" applyNumberFormat="1" applyFont="1" applyBorder="1" applyAlignment="1">
      <alignment horizontal="center" vertical="center" wrapText="1"/>
    </xf>
    <xf numFmtId="0" fontId="82" fillId="0" borderId="36" xfId="0" applyFont="1" applyBorder="1" applyAlignment="1">
      <alignment horizontal="center" vertical="center" wrapText="1"/>
    </xf>
    <xf numFmtId="0" fontId="14" fillId="0" borderId="48" xfId="0" quotePrefix="1" applyFont="1" applyBorder="1" applyAlignment="1">
      <alignment vertical="center" wrapText="1"/>
    </xf>
    <xf numFmtId="0" fontId="7" fillId="0" borderId="48" xfId="0" quotePrefix="1" applyFont="1" applyBorder="1" applyAlignment="1">
      <alignment vertical="center" wrapText="1"/>
    </xf>
    <xf numFmtId="0" fontId="31" fillId="33" borderId="27" xfId="0" quotePrefix="1" applyFont="1" applyFill="1" applyBorder="1" applyAlignment="1">
      <alignment horizontal="center" vertical="center" wrapText="1"/>
    </xf>
    <xf numFmtId="0" fontId="14" fillId="0" borderId="36" xfId="0" applyFont="1" applyBorder="1" applyAlignment="1">
      <alignment horizontal="left" vertical="center" wrapText="1"/>
    </xf>
    <xf numFmtId="0" fontId="14" fillId="0" borderId="63" xfId="0" applyFont="1" applyBorder="1" applyAlignment="1">
      <alignment horizontal="left" vertical="center" wrapText="1"/>
    </xf>
    <xf numFmtId="0" fontId="14" fillId="0" borderId="60" xfId="0" applyFont="1" applyBorder="1" applyAlignment="1">
      <alignment horizontal="left" vertical="center" wrapText="1"/>
    </xf>
    <xf numFmtId="1" fontId="26" fillId="34" borderId="36" xfId="0" applyNumberFormat="1" applyFont="1" applyFill="1" applyBorder="1" applyAlignment="1" applyProtection="1">
      <alignment horizontal="center" vertical="center"/>
      <protection locked="0"/>
    </xf>
    <xf numFmtId="1" fontId="26" fillId="34" borderId="63" xfId="0" applyNumberFormat="1" applyFont="1" applyFill="1" applyBorder="1" applyAlignment="1" applyProtection="1">
      <alignment horizontal="center" vertical="center"/>
      <protection locked="0"/>
    </xf>
    <xf numFmtId="1" fontId="26" fillId="34" borderId="60" xfId="0" applyNumberFormat="1" applyFont="1" applyFill="1" applyBorder="1" applyAlignment="1" applyProtection="1">
      <alignment horizontal="center" vertical="center"/>
      <protection locked="0"/>
    </xf>
    <xf numFmtId="0" fontId="109" fillId="0" borderId="0" xfId="0" applyFont="1" applyAlignment="1">
      <alignment horizontal="left" vertical="center" wrapText="1"/>
    </xf>
    <xf numFmtId="164" fontId="7" fillId="0" borderId="27" xfId="554" applyNumberFormat="1" applyFont="1" applyFill="1" applyBorder="1" applyAlignment="1" applyProtection="1">
      <alignment horizontal="center" vertical="center"/>
    </xf>
    <xf numFmtId="164" fontId="7" fillId="83" borderId="48" xfId="554" applyNumberFormat="1" applyFont="1" applyFill="1" applyBorder="1" applyAlignment="1" applyProtection="1">
      <alignment horizontal="center" vertical="center"/>
    </xf>
    <xf numFmtId="164" fontId="7" fillId="83" borderId="32" xfId="554" applyNumberFormat="1" applyFont="1" applyFill="1" applyBorder="1" applyAlignment="1" applyProtection="1">
      <alignment horizontal="center" vertical="center"/>
    </xf>
    <xf numFmtId="164" fontId="7" fillId="83" borderId="52" xfId="554" applyNumberFormat="1" applyFont="1" applyFill="1" applyBorder="1" applyAlignment="1" applyProtection="1">
      <alignment horizontal="center" vertical="center"/>
    </xf>
    <xf numFmtId="164" fontId="7" fillId="83" borderId="26" xfId="554" applyNumberFormat="1" applyFont="1" applyFill="1" applyBorder="1" applyAlignment="1" applyProtection="1">
      <alignment horizontal="center" vertical="center"/>
    </xf>
    <xf numFmtId="164" fontId="7" fillId="85" borderId="45" xfId="554" applyNumberFormat="1" applyFont="1" applyFill="1" applyBorder="1" applyAlignment="1" applyProtection="1">
      <alignment horizontal="left" vertical="center" wrapText="1"/>
    </xf>
    <xf numFmtId="164" fontId="7" fillId="85" borderId="90" xfId="554" applyNumberFormat="1" applyFont="1" applyFill="1" applyBorder="1" applyAlignment="1" applyProtection="1">
      <alignment horizontal="left" vertical="center" wrapText="1"/>
    </xf>
    <xf numFmtId="164" fontId="7" fillId="85" borderId="18" xfId="554" applyNumberFormat="1" applyFont="1" applyFill="1" applyBorder="1" applyAlignment="1" applyProtection="1">
      <alignment horizontal="left" vertical="center" wrapText="1"/>
    </xf>
    <xf numFmtId="164" fontId="7" fillId="86" borderId="48" xfId="554" applyNumberFormat="1" applyFont="1" applyFill="1" applyBorder="1" applyAlignment="1" applyProtection="1">
      <alignment horizontal="center" vertical="center"/>
    </xf>
    <xf numFmtId="164" fontId="7" fillId="86" borderId="32" xfId="554" applyNumberFormat="1" applyFont="1" applyFill="1" applyBorder="1" applyAlignment="1" applyProtection="1">
      <alignment horizontal="center" vertical="center"/>
    </xf>
    <xf numFmtId="164" fontId="7" fillId="86" borderId="47" xfId="554" applyNumberFormat="1" applyFont="1" applyFill="1" applyBorder="1" applyAlignment="1" applyProtection="1">
      <alignment horizontal="center" vertical="center"/>
    </xf>
    <xf numFmtId="164" fontId="7" fillId="86" borderId="25" xfId="554" applyNumberFormat="1" applyFont="1" applyFill="1" applyBorder="1" applyAlignment="1" applyProtection="1">
      <alignment horizontal="center" vertical="center"/>
    </xf>
    <xf numFmtId="164" fontId="7" fillId="0" borderId="36" xfId="554" applyNumberFormat="1" applyFont="1" applyFill="1" applyBorder="1" applyAlignment="1" applyProtection="1">
      <alignment horizontal="center" wrapText="1"/>
    </xf>
    <xf numFmtId="164" fontId="7" fillId="0" borderId="63" xfId="554" applyNumberFormat="1" applyFont="1" applyFill="1" applyBorder="1" applyAlignment="1" applyProtection="1">
      <alignment horizontal="center" wrapText="1"/>
    </xf>
    <xf numFmtId="0" fontId="32" fillId="0" borderId="36" xfId="0" quotePrefix="1" applyFont="1" applyBorder="1" applyAlignment="1">
      <alignment horizontal="center" vertical="center" wrapText="1"/>
    </xf>
    <xf numFmtId="0" fontId="14" fillId="0" borderId="0" xfId="0" applyFont="1" applyAlignment="1">
      <alignment horizontal="justify" vertical="top" wrapText="1"/>
    </xf>
    <xf numFmtId="0" fontId="19" fillId="0" borderId="0" xfId="0" applyFont="1" applyAlignment="1">
      <alignment horizontal="justify" vertical="top"/>
    </xf>
    <xf numFmtId="0" fontId="0" fillId="0" borderId="40" xfId="0" applyBorder="1"/>
    <xf numFmtId="0" fontId="0" fillId="0" borderId="43" xfId="0" applyBorder="1"/>
    <xf numFmtId="0" fontId="0" fillId="0" borderId="40" xfId="0" applyBorder="1" applyAlignment="1">
      <alignment vertical="center"/>
    </xf>
    <xf numFmtId="0" fontId="26" fillId="0" borderId="0" xfId="0" applyFont="1" applyAlignment="1">
      <alignment horizontal="center" vertical="center" wrapText="1"/>
    </xf>
    <xf numFmtId="0" fontId="0" fillId="0" borderId="0" xfId="0" applyAlignment="1">
      <alignment horizontal="center" vertical="center" wrapText="1"/>
    </xf>
    <xf numFmtId="0" fontId="26" fillId="0" borderId="0" xfId="0" applyFont="1" applyAlignment="1">
      <alignment horizontal="center" vertical="center"/>
    </xf>
    <xf numFmtId="0" fontId="0" fillId="0" borderId="0" xfId="0" applyAlignment="1">
      <alignment horizontal="center" vertical="center"/>
    </xf>
    <xf numFmtId="0" fontId="13" fillId="0" borderId="0" xfId="0" applyFont="1" applyAlignment="1">
      <alignment horizontal="center" vertical="center" wrapText="1"/>
    </xf>
    <xf numFmtId="0" fontId="18" fillId="0" borderId="0" xfId="0" applyFont="1" applyAlignment="1">
      <alignment horizontal="justify" vertical="center" wrapText="1"/>
    </xf>
    <xf numFmtId="0" fontId="125" fillId="0" borderId="0" xfId="0" applyFont="1" applyAlignment="1">
      <alignment horizontal="justify" vertical="center"/>
    </xf>
    <xf numFmtId="0" fontId="126" fillId="0" borderId="27" xfId="0" applyFont="1" applyBorder="1" applyAlignment="1">
      <alignment horizontal="center" vertical="center" wrapText="1"/>
    </xf>
    <xf numFmtId="0" fontId="126" fillId="0" borderId="36" xfId="0" applyFont="1" applyBorder="1" applyAlignment="1">
      <alignment horizontal="center" vertical="center" wrapText="1"/>
    </xf>
    <xf numFmtId="0" fontId="126" fillId="0" borderId="63" xfId="0" applyFont="1" applyBorder="1" applyAlignment="1">
      <alignment horizontal="center" vertical="center" wrapText="1"/>
    </xf>
    <xf numFmtId="0" fontId="126" fillId="0" borderId="60" xfId="0" applyFont="1" applyBorder="1" applyAlignment="1">
      <alignment horizontal="center" vertical="center" wrapText="1"/>
    </xf>
    <xf numFmtId="0" fontId="126" fillId="0" borderId="48" xfId="0" applyFont="1" applyBorder="1" applyAlignment="1">
      <alignment horizontal="center" vertical="center" wrapText="1"/>
    </xf>
    <xf numFmtId="0" fontId="126" fillId="0" borderId="32" xfId="0" applyFont="1" applyBorder="1" applyAlignment="1">
      <alignment horizontal="center" vertical="center" wrapText="1"/>
    </xf>
    <xf numFmtId="0" fontId="126" fillId="0" borderId="52" xfId="0" applyFont="1" applyBorder="1" applyAlignment="1">
      <alignment horizontal="center" vertical="center" wrapText="1"/>
    </xf>
    <xf numFmtId="0" fontId="126" fillId="0" borderId="26" xfId="0" applyFont="1" applyBorder="1" applyAlignment="1">
      <alignment horizontal="center" vertical="center" wrapText="1"/>
    </xf>
    <xf numFmtId="0" fontId="126" fillId="0" borderId="47" xfId="0" applyFont="1" applyBorder="1" applyAlignment="1">
      <alignment horizontal="center" vertical="center" wrapText="1"/>
    </xf>
    <xf numFmtId="0" fontId="126" fillId="0" borderId="25" xfId="0" applyFont="1" applyBorder="1" applyAlignment="1">
      <alignment horizontal="center" vertical="center" wrapText="1"/>
    </xf>
    <xf numFmtId="0" fontId="127" fillId="0" borderId="36" xfId="0" applyFont="1" applyBorder="1" applyAlignment="1">
      <alignment horizontal="center" vertical="center" wrapText="1"/>
    </xf>
    <xf numFmtId="0" fontId="127" fillId="0" borderId="60" xfId="0" applyFont="1" applyBorder="1" applyAlignment="1">
      <alignment horizontal="center" vertical="center" wrapText="1"/>
    </xf>
    <xf numFmtId="0" fontId="129" fillId="0" borderId="45" xfId="0" applyFont="1" applyBorder="1" applyAlignment="1">
      <alignment horizontal="center" vertical="center" wrapText="1"/>
    </xf>
    <xf numFmtId="0" fontId="129" fillId="0" borderId="18" xfId="0" applyFont="1" applyBorder="1" applyAlignment="1">
      <alignment horizontal="center" vertical="center" wrapText="1"/>
    </xf>
    <xf numFmtId="0" fontId="129" fillId="0" borderId="36" xfId="0" applyFont="1" applyBorder="1" applyAlignment="1">
      <alignment horizontal="center" vertical="top" wrapText="1"/>
    </xf>
    <xf numFmtId="0" fontId="129" fillId="0" borderId="63" xfId="0" applyFont="1" applyBorder="1" applyAlignment="1">
      <alignment horizontal="center" vertical="top" wrapText="1"/>
    </xf>
    <xf numFmtId="0" fontId="129" fillId="0" borderId="60" xfId="0" applyFont="1" applyBorder="1" applyAlignment="1">
      <alignment horizontal="center" vertical="top" wrapText="1"/>
    </xf>
    <xf numFmtId="0" fontId="7" fillId="0" borderId="36" xfId="0" applyFont="1" applyBorder="1" applyAlignment="1">
      <alignment horizontal="center" vertical="top" wrapText="1"/>
    </xf>
    <xf numFmtId="0" fontId="7" fillId="0" borderId="27" xfId="0" applyFont="1" applyBorder="1" applyAlignment="1">
      <alignment horizontal="left" vertical="center" wrapText="1"/>
    </xf>
    <xf numFmtId="0" fontId="129" fillId="0" borderId="27" xfId="0" applyFont="1" applyBorder="1" applyAlignment="1">
      <alignment horizontal="left" vertical="center" wrapText="1"/>
    </xf>
    <xf numFmtId="0" fontId="130" fillId="0" borderId="48" xfId="0" applyFont="1" applyBorder="1" applyAlignment="1">
      <alignment horizontal="left"/>
    </xf>
    <xf numFmtId="0" fontId="130" fillId="0" borderId="86" xfId="0" applyFont="1" applyBorder="1" applyAlignment="1">
      <alignment horizontal="left"/>
    </xf>
    <xf numFmtId="0" fontId="130" fillId="0" borderId="52" xfId="0" applyFont="1" applyBorder="1" applyAlignment="1">
      <alignment horizontal="left"/>
    </xf>
    <xf numFmtId="0" fontId="130" fillId="0" borderId="0" xfId="0" applyFont="1" applyAlignment="1">
      <alignment horizontal="left"/>
    </xf>
    <xf numFmtId="0" fontId="130" fillId="0" borderId="47" xfId="0" applyFont="1" applyBorder="1" applyAlignment="1">
      <alignment horizontal="left"/>
    </xf>
    <xf numFmtId="0" fontId="130" fillId="0" borderId="87" xfId="0" applyFont="1" applyBorder="1" applyAlignment="1">
      <alignment horizontal="left"/>
    </xf>
    <xf numFmtId="0" fontId="130" fillId="0" borderId="36" xfId="0" applyFont="1" applyBorder="1" applyAlignment="1">
      <alignment horizontal="center" vertical="center"/>
    </xf>
    <xf numFmtId="0" fontId="130" fillId="0" borderId="63" xfId="0" applyFont="1" applyBorder="1" applyAlignment="1">
      <alignment horizontal="center" vertical="center"/>
    </xf>
    <xf numFmtId="0" fontId="130" fillId="0" borderId="60" xfId="0" applyFont="1" applyBorder="1" applyAlignment="1">
      <alignment horizontal="center" vertical="center"/>
    </xf>
    <xf numFmtId="0" fontId="130" fillId="0" borderId="36" xfId="0" applyFont="1" applyBorder="1" applyAlignment="1">
      <alignment horizontal="center" vertical="center" wrapText="1"/>
    </xf>
    <xf numFmtId="0" fontId="130" fillId="0" borderId="63" xfId="0" applyFont="1" applyBorder="1" applyAlignment="1">
      <alignment horizontal="center" vertical="center" wrapText="1"/>
    </xf>
    <xf numFmtId="0" fontId="130" fillId="0" borderId="60" xfId="0" applyFont="1" applyBorder="1" applyAlignment="1">
      <alignment horizontal="center" vertical="center" wrapText="1"/>
    </xf>
    <xf numFmtId="0" fontId="7" fillId="0" borderId="45" xfId="0" applyFont="1" applyBorder="1" applyAlignment="1">
      <alignment horizontal="left" vertical="top" wrapText="1"/>
    </xf>
    <xf numFmtId="0" fontId="129" fillId="0" borderId="18" xfId="0" applyFont="1" applyBorder="1" applyAlignment="1">
      <alignment horizontal="left" vertical="top" wrapText="1"/>
    </xf>
    <xf numFmtId="49" fontId="129" fillId="0" borderId="36" xfId="0" applyNumberFormat="1" applyFont="1" applyBorder="1" applyAlignment="1">
      <alignment horizontal="center" vertical="top" wrapText="1"/>
    </xf>
    <xf numFmtId="49" fontId="129" fillId="0" borderId="63" xfId="0" applyNumberFormat="1" applyFont="1" applyBorder="1" applyAlignment="1">
      <alignment horizontal="center" vertical="top" wrapText="1"/>
    </xf>
    <xf numFmtId="0" fontId="130" fillId="0" borderId="48" xfId="0" applyFont="1" applyBorder="1" applyAlignment="1">
      <alignment horizontal="left" vertical="top"/>
    </xf>
    <xf numFmtId="0" fontId="130" fillId="0" borderId="86" xfId="0" applyFont="1" applyBorder="1" applyAlignment="1">
      <alignment horizontal="left" vertical="top"/>
    </xf>
    <xf numFmtId="0" fontId="130" fillId="0" borderId="32" xfId="0" applyFont="1" applyBorder="1" applyAlignment="1">
      <alignment horizontal="left" vertical="top"/>
    </xf>
    <xf numFmtId="0" fontId="130" fillId="0" borderId="52" xfId="0" applyFont="1" applyBorder="1" applyAlignment="1">
      <alignment horizontal="left" vertical="top"/>
    </xf>
    <xf numFmtId="0" fontId="130" fillId="0" borderId="0" xfId="0" applyFont="1" applyAlignment="1">
      <alignment horizontal="left" vertical="top"/>
    </xf>
    <xf numFmtId="0" fontId="130" fillId="0" borderId="26" xfId="0" applyFont="1" applyBorder="1" applyAlignment="1">
      <alignment horizontal="left" vertical="top"/>
    </xf>
    <xf numFmtId="0" fontId="7" fillId="0" borderId="48" xfId="0" applyFont="1" applyBorder="1" applyAlignment="1">
      <alignment horizontal="left" vertical="top" wrapText="1"/>
    </xf>
    <xf numFmtId="0" fontId="129" fillId="0" borderId="32" xfId="0" applyFont="1" applyBorder="1" applyAlignment="1">
      <alignment horizontal="left" vertical="top" wrapText="1"/>
    </xf>
    <xf numFmtId="49" fontId="129" fillId="0" borderId="60" xfId="0" applyNumberFormat="1" applyFont="1" applyBorder="1" applyAlignment="1">
      <alignment horizontal="center" vertical="top" wrapText="1"/>
    </xf>
    <xf numFmtId="0" fontId="7" fillId="0" borderId="45" xfId="0" applyFont="1" applyBorder="1" applyAlignment="1">
      <alignment horizontal="left" vertical="center" wrapText="1"/>
    </xf>
    <xf numFmtId="0" fontId="129" fillId="0" borderId="18" xfId="0" applyFont="1" applyBorder="1" applyAlignment="1">
      <alignment horizontal="left" vertical="center" wrapText="1"/>
    </xf>
    <xf numFmtId="0" fontId="130" fillId="0" borderId="87" xfId="0" applyFont="1" applyBorder="1" applyAlignment="1">
      <alignment horizontal="left" vertical="top"/>
    </xf>
    <xf numFmtId="0" fontId="130" fillId="0" borderId="25" xfId="0" applyFont="1" applyBorder="1" applyAlignment="1">
      <alignment horizontal="left" vertical="top"/>
    </xf>
    <xf numFmtId="0" fontId="7" fillId="0" borderId="0" xfId="477" applyFont="1" applyAlignment="1">
      <alignment horizontal="justify" vertical="center" wrapText="1"/>
    </xf>
    <xf numFmtId="0" fontId="9" fillId="0" borderId="0" xfId="477" applyFont="1" applyAlignment="1">
      <alignment horizontal="justify" vertical="center"/>
    </xf>
    <xf numFmtId="0" fontId="9" fillId="0" borderId="0" xfId="477" applyFont="1" applyAlignment="1">
      <alignment horizontal="justify" vertical="center" wrapText="1"/>
    </xf>
    <xf numFmtId="0" fontId="7" fillId="0" borderId="68" xfId="0" applyFont="1" applyBorder="1" applyAlignment="1">
      <alignment horizontal="center" textRotation="90" wrapText="1"/>
    </xf>
    <xf numFmtId="0" fontId="7" fillId="0" borderId="69" xfId="0" applyFont="1" applyBorder="1" applyAlignment="1">
      <alignment horizontal="center" textRotation="90" wrapText="1"/>
    </xf>
    <xf numFmtId="0" fontId="7" fillId="0" borderId="36" xfId="477" applyFont="1" applyBorder="1" applyAlignment="1">
      <alignment horizontal="center" textRotation="90" wrapText="1"/>
    </xf>
    <xf numFmtId="0" fontId="7" fillId="0" borderId="60" xfId="477" applyFont="1" applyBorder="1" applyAlignment="1">
      <alignment horizontal="center" textRotation="90" wrapText="1"/>
    </xf>
    <xf numFmtId="0" fontId="29" fillId="29" borderId="40" xfId="0" applyFont="1" applyFill="1" applyBorder="1" applyAlignment="1">
      <alignment vertical="center"/>
    </xf>
    <xf numFmtId="0" fontId="29" fillId="0" borderId="40" xfId="0" applyFont="1" applyBorder="1" applyAlignment="1">
      <alignment vertical="center"/>
    </xf>
    <xf numFmtId="0" fontId="29" fillId="41" borderId="39" xfId="0" applyFont="1" applyFill="1" applyBorder="1" applyAlignment="1">
      <alignment vertical="center"/>
    </xf>
    <xf numFmtId="0" fontId="29" fillId="41" borderId="40" xfId="0" applyFont="1" applyFill="1" applyBorder="1" applyAlignment="1">
      <alignment vertical="center"/>
    </xf>
    <xf numFmtId="14" fontId="29" fillId="29" borderId="39" xfId="0" applyNumberFormat="1" applyFont="1" applyFill="1" applyBorder="1" applyAlignment="1">
      <alignment horizontal="center" vertical="center"/>
    </xf>
    <xf numFmtId="0" fontId="29" fillId="0" borderId="40" xfId="0" applyFont="1" applyBorder="1" applyAlignment="1">
      <alignment horizontal="center" vertical="center"/>
    </xf>
    <xf numFmtId="0" fontId="23" fillId="33" borderId="21" xfId="0" applyFont="1" applyFill="1" applyBorder="1" applyAlignment="1">
      <alignment horizontal="center" vertical="center"/>
    </xf>
    <xf numFmtId="0" fontId="0" fillId="0" borderId="21" xfId="0" applyBorder="1" applyAlignment="1">
      <alignment horizontal="center" vertical="center"/>
    </xf>
    <xf numFmtId="0" fontId="23" fillId="31" borderId="21" xfId="0" applyFont="1" applyFill="1" applyBorder="1" applyAlignment="1">
      <alignment horizontal="center" vertical="center"/>
    </xf>
    <xf numFmtId="0" fontId="0" fillId="0" borderId="21" xfId="0" applyBorder="1"/>
    <xf numFmtId="0" fontId="69" fillId="30" borderId="21" xfId="0" applyFont="1" applyFill="1" applyBorder="1" applyAlignment="1">
      <alignment horizontal="center" vertical="center"/>
    </xf>
    <xf numFmtId="0" fontId="71" fillId="30" borderId="21" xfId="0" applyFont="1" applyFill="1" applyBorder="1"/>
    <xf numFmtId="0" fontId="23" fillId="27" borderId="21" xfId="0" applyFont="1" applyFill="1" applyBorder="1" applyAlignment="1">
      <alignment horizontal="center" vertical="center"/>
    </xf>
    <xf numFmtId="0" fontId="83" fillId="0" borderId="21" xfId="0" applyFont="1" applyBorder="1" applyAlignment="1">
      <alignment horizontal="center" vertical="center"/>
    </xf>
    <xf numFmtId="0" fontId="108" fillId="0" borderId="0" xfId="0" applyFont="1" applyAlignment="1">
      <alignment horizontal="left" vertical="center"/>
    </xf>
    <xf numFmtId="0" fontId="7" fillId="28" borderId="64" xfId="0" applyFont="1" applyFill="1" applyBorder="1" applyAlignment="1">
      <alignment horizontal="center" vertical="center" wrapText="1"/>
    </xf>
    <xf numFmtId="0" fontId="0" fillId="0" borderId="64" xfId="0" applyBorder="1" applyAlignment="1">
      <alignment wrapText="1"/>
    </xf>
    <xf numFmtId="0" fontId="7" fillId="0" borderId="65" xfId="0" applyFont="1" applyBorder="1" applyAlignment="1">
      <alignment horizontal="center" vertical="center" wrapText="1"/>
    </xf>
    <xf numFmtId="0" fontId="7" fillId="0" borderId="66" xfId="0" applyFont="1" applyBorder="1" applyAlignment="1">
      <alignment horizontal="center" vertical="center" wrapText="1"/>
    </xf>
    <xf numFmtId="0" fontId="7" fillId="0" borderId="23" xfId="0" applyFont="1" applyBorder="1" applyAlignment="1">
      <alignment horizontal="center" vertical="center" wrapText="1"/>
    </xf>
    <xf numFmtId="0" fontId="7" fillId="0" borderId="67" xfId="0" applyFont="1" applyBorder="1" applyAlignment="1">
      <alignment horizontal="center" vertical="center" wrapText="1"/>
    </xf>
    <xf numFmtId="0" fontId="25" fillId="33" borderId="31" xfId="0" applyFont="1" applyFill="1" applyBorder="1" applyAlignment="1">
      <alignment horizontal="center" vertical="center" wrapText="1"/>
    </xf>
    <xf numFmtId="0" fontId="0" fillId="0" borderId="31" xfId="0" applyBorder="1" applyAlignment="1">
      <alignment horizontal="center" vertical="center" wrapText="1"/>
    </xf>
    <xf numFmtId="0" fontId="23" fillId="31" borderId="31" xfId="0" applyFont="1" applyFill="1" applyBorder="1" applyAlignment="1">
      <alignment horizontal="center" vertical="center"/>
    </xf>
    <xf numFmtId="0" fontId="0" fillId="0" borderId="31" xfId="0" applyBorder="1"/>
    <xf numFmtId="0" fontId="69" fillId="30" borderId="31" xfId="0" applyFont="1" applyFill="1" applyBorder="1" applyAlignment="1">
      <alignment horizontal="center" vertical="center"/>
    </xf>
    <xf numFmtId="0" fontId="71" fillId="0" borderId="31" xfId="0" applyFont="1" applyBorder="1"/>
    <xf numFmtId="0" fontId="23" fillId="27" borderId="31" xfId="0" applyFont="1" applyFill="1" applyBorder="1" applyAlignment="1">
      <alignment horizontal="center" vertical="center"/>
    </xf>
    <xf numFmtId="0" fontId="0" fillId="0" borderId="31" xfId="0" applyBorder="1" applyAlignment="1">
      <alignment horizontal="center" vertical="center"/>
    </xf>
    <xf numFmtId="0" fontId="14" fillId="31" borderId="19" xfId="0" applyFont="1" applyFill="1" applyBorder="1" applyAlignment="1">
      <alignment horizontal="center" vertical="center" wrapText="1"/>
    </xf>
    <xf numFmtId="0" fontId="17" fillId="31" borderId="19" xfId="0" applyFont="1" applyFill="1" applyBorder="1" applyAlignment="1">
      <alignment horizontal="center" vertical="center" wrapText="1"/>
    </xf>
    <xf numFmtId="0" fontId="26" fillId="0" borderId="19" xfId="0" applyFont="1" applyBorder="1" applyAlignment="1">
      <alignment horizontal="center" vertical="center"/>
    </xf>
    <xf numFmtId="0" fontId="17" fillId="0" borderId="19" xfId="0" applyFont="1" applyBorder="1" applyAlignment="1">
      <alignment vertical="center"/>
    </xf>
    <xf numFmtId="0" fontId="26" fillId="0" borderId="39" xfId="0" applyFont="1" applyBorder="1" applyAlignment="1">
      <alignment horizontal="center" vertical="center"/>
    </xf>
    <xf numFmtId="0" fontId="43" fillId="0" borderId="40" xfId="0" applyFont="1" applyBorder="1" applyAlignment="1">
      <alignment vertical="center"/>
    </xf>
    <xf numFmtId="0" fontId="43" fillId="0" borderId="43" xfId="0" applyFont="1" applyBorder="1" applyAlignment="1">
      <alignment vertical="center"/>
    </xf>
    <xf numFmtId="164" fontId="7" fillId="0" borderId="27" xfId="399" applyNumberFormat="1" applyFont="1" applyFill="1" applyBorder="1" applyAlignment="1" applyProtection="1">
      <alignment vertical="center"/>
    </xf>
    <xf numFmtId="164" fontId="7" fillId="0" borderId="44" xfId="399" applyNumberFormat="1" applyFont="1" applyFill="1" applyBorder="1" applyAlignment="1" applyProtection="1">
      <alignment vertical="center"/>
    </xf>
    <xf numFmtId="0" fontId="8" fillId="28" borderId="72" xfId="0" applyFont="1" applyFill="1" applyBorder="1" applyAlignment="1">
      <alignment horizontal="center" textRotation="90" wrapText="1"/>
    </xf>
    <xf numFmtId="0" fontId="8" fillId="28" borderId="73" xfId="0" applyFont="1" applyFill="1" applyBorder="1" applyAlignment="1">
      <alignment horizontal="center" textRotation="90" wrapText="1"/>
    </xf>
    <xf numFmtId="0" fontId="7" fillId="37" borderId="27" xfId="0" applyFont="1" applyFill="1" applyBorder="1" applyAlignment="1">
      <alignment horizontal="center" vertical="center" wrapText="1"/>
    </xf>
    <xf numFmtId="0" fontId="7" fillId="0" borderId="27" xfId="0" applyFont="1" applyBorder="1" applyAlignment="1">
      <alignment horizontal="center" vertical="center"/>
    </xf>
    <xf numFmtId="0" fontId="8" fillId="28" borderId="36" xfId="0" applyFont="1" applyFill="1" applyBorder="1" applyAlignment="1">
      <alignment horizontal="center" textRotation="90" wrapText="1"/>
    </xf>
    <xf numFmtId="0" fontId="8" fillId="28" borderId="60" xfId="0" applyFont="1" applyFill="1" applyBorder="1" applyAlignment="1">
      <alignment horizontal="center" textRotation="90" wrapText="1"/>
    </xf>
    <xf numFmtId="0" fontId="7" fillId="0" borderId="36" xfId="0" applyFont="1" applyBorder="1" applyAlignment="1">
      <alignment horizontal="center" textRotation="90" wrapText="1"/>
    </xf>
    <xf numFmtId="0" fontId="7" fillId="0" borderId="60" xfId="0" applyFont="1" applyBorder="1" applyAlignment="1">
      <alignment horizontal="center" textRotation="90" wrapText="1"/>
    </xf>
    <xf numFmtId="0" fontId="8" fillId="0" borderId="36" xfId="0" applyFont="1" applyBorder="1" applyAlignment="1">
      <alignment horizontal="center" textRotation="90" wrapText="1"/>
    </xf>
    <xf numFmtId="0" fontId="8" fillId="0" borderId="60" xfId="0" applyFont="1" applyBorder="1" applyAlignment="1">
      <alignment horizontal="center" textRotation="90" wrapText="1"/>
    </xf>
    <xf numFmtId="0" fontId="0" fillId="0" borderId="60" xfId="0" applyBorder="1" applyAlignment="1">
      <alignment horizontal="center" textRotation="90" wrapText="1"/>
    </xf>
    <xf numFmtId="0" fontId="7" fillId="0" borderId="70" xfId="477" applyFont="1" applyBorder="1" applyAlignment="1">
      <alignment horizontal="center" textRotation="90" wrapText="1"/>
    </xf>
    <xf numFmtId="0" fontId="0" fillId="0" borderId="59" xfId="0" applyBorder="1" applyAlignment="1">
      <alignment horizontal="center" textRotation="90" wrapText="1"/>
    </xf>
    <xf numFmtId="0" fontId="84" fillId="0" borderId="36" xfId="0" applyFont="1" applyBorder="1" applyAlignment="1">
      <alignment horizontal="center" textRotation="90" wrapText="1"/>
    </xf>
    <xf numFmtId="0" fontId="85" fillId="0" borderId="60" xfId="0" applyFont="1" applyBorder="1" applyAlignment="1">
      <alignment horizontal="center" textRotation="90" wrapText="1"/>
    </xf>
    <xf numFmtId="0" fontId="7" fillId="37" borderId="36" xfId="0" applyFont="1" applyFill="1" applyBorder="1" applyAlignment="1">
      <alignment horizontal="center" textRotation="90" wrapText="1"/>
    </xf>
    <xf numFmtId="0" fontId="7" fillId="28" borderId="36" xfId="0" applyFont="1" applyFill="1" applyBorder="1" applyAlignment="1">
      <alignment horizontal="center" textRotation="90" wrapText="1"/>
    </xf>
    <xf numFmtId="0" fontId="7" fillId="28" borderId="60" xfId="0" applyFont="1" applyFill="1" applyBorder="1" applyAlignment="1">
      <alignment horizontal="center" textRotation="90" wrapText="1"/>
    </xf>
    <xf numFmtId="0" fontId="7" fillId="0" borderId="28" xfId="0" applyFont="1" applyBorder="1" applyAlignment="1">
      <alignment horizontal="center" vertical="center"/>
    </xf>
    <xf numFmtId="0" fontId="14" fillId="31" borderId="39" xfId="0" applyFont="1" applyFill="1" applyBorder="1" applyAlignment="1">
      <alignment horizontal="center" vertical="center" wrapText="1"/>
    </xf>
    <xf numFmtId="0" fontId="14" fillId="31" borderId="40" xfId="0" applyFont="1" applyFill="1" applyBorder="1" applyAlignment="1">
      <alignment horizontal="center" vertical="center" wrapText="1"/>
    </xf>
    <xf numFmtId="0" fontId="14" fillId="31" borderId="43" xfId="0" applyFont="1" applyFill="1" applyBorder="1" applyAlignment="1">
      <alignment horizontal="center" vertical="center" wrapText="1"/>
    </xf>
    <xf numFmtId="0" fontId="14" fillId="77" borderId="19" xfId="0" applyFont="1" applyFill="1" applyBorder="1" applyAlignment="1">
      <alignment horizontal="center" vertical="center" wrapText="1"/>
    </xf>
    <xf numFmtId="0" fontId="17" fillId="77" borderId="19" xfId="0" applyFont="1" applyFill="1" applyBorder="1" applyAlignment="1">
      <alignment horizontal="center" vertical="center" wrapText="1"/>
    </xf>
    <xf numFmtId="0" fontId="14" fillId="27" borderId="19" xfId="0" applyFont="1" applyFill="1" applyBorder="1" applyAlignment="1">
      <alignment horizontal="center" vertical="center" wrapText="1"/>
    </xf>
    <xf numFmtId="0" fontId="17" fillId="27" borderId="19" xfId="0" applyFont="1" applyFill="1" applyBorder="1" applyAlignment="1">
      <alignment horizontal="center" vertical="center" wrapText="1"/>
    </xf>
    <xf numFmtId="0" fontId="26" fillId="0" borderId="20" xfId="0" applyFont="1" applyBorder="1" applyAlignment="1">
      <alignment vertical="center"/>
    </xf>
    <xf numFmtId="0" fontId="17" fillId="0" borderId="41" xfId="0" applyFont="1" applyBorder="1" applyAlignment="1">
      <alignment vertical="center"/>
    </xf>
    <xf numFmtId="0" fontId="17" fillId="0" borderId="42" xfId="0" applyFont="1" applyBorder="1" applyAlignment="1">
      <alignment vertical="center"/>
    </xf>
    <xf numFmtId="1" fontId="26" fillId="32" borderId="39" xfId="0" applyNumberFormat="1" applyFont="1" applyFill="1" applyBorder="1" applyAlignment="1">
      <alignment horizontal="center" vertical="center"/>
    </xf>
    <xf numFmtId="1" fontId="26" fillId="32" borderId="40" xfId="0" applyNumberFormat="1" applyFont="1" applyFill="1" applyBorder="1" applyAlignment="1">
      <alignment horizontal="center" vertical="center"/>
    </xf>
    <xf numFmtId="1" fontId="26" fillId="32" borderId="43" xfId="0" applyNumberFormat="1" applyFont="1" applyFill="1" applyBorder="1" applyAlignment="1">
      <alignment horizontal="center" vertical="center"/>
    </xf>
    <xf numFmtId="0" fontId="14" fillId="27" borderId="31" xfId="0" applyFont="1" applyFill="1" applyBorder="1" applyAlignment="1">
      <alignment horizontal="center" vertical="center" wrapText="1"/>
    </xf>
    <xf numFmtId="0" fontId="17" fillId="27" borderId="31" xfId="0" applyFont="1" applyFill="1" applyBorder="1" applyAlignment="1">
      <alignment horizontal="center" vertical="center" wrapText="1"/>
    </xf>
    <xf numFmtId="0" fontId="113" fillId="73" borderId="20" xfId="0" applyFont="1" applyFill="1" applyBorder="1" applyAlignment="1">
      <alignment horizontal="center" vertical="center"/>
    </xf>
    <xf numFmtId="0" fontId="111" fillId="73" borderId="41" xfId="0" applyFont="1" applyFill="1" applyBorder="1" applyAlignment="1">
      <alignment vertical="center"/>
    </xf>
    <xf numFmtId="0" fontId="111" fillId="73" borderId="42" xfId="0" applyFont="1" applyFill="1" applyBorder="1" applyAlignment="1">
      <alignment vertical="center"/>
    </xf>
    <xf numFmtId="164" fontId="7" fillId="0" borderId="28" xfId="399" applyNumberFormat="1" applyFont="1" applyFill="1" applyBorder="1" applyAlignment="1" applyProtection="1">
      <alignment vertical="center"/>
    </xf>
    <xf numFmtId="164" fontId="7" fillId="0" borderId="71" xfId="399" applyNumberFormat="1" applyFont="1" applyFill="1" applyBorder="1" applyAlignment="1" applyProtection="1">
      <alignment vertical="center"/>
    </xf>
    <xf numFmtId="0" fontId="14" fillId="0" borderId="39" xfId="0" applyFont="1" applyBorder="1" applyAlignment="1">
      <alignment horizontal="center" vertical="center"/>
    </xf>
    <xf numFmtId="0" fontId="14" fillId="0" borderId="40" xfId="0" applyFont="1" applyBorder="1" applyAlignment="1">
      <alignment horizontal="center" vertical="center"/>
    </xf>
    <xf numFmtId="0" fontId="14" fillId="0" borderId="43" xfId="0" applyFont="1" applyBorder="1" applyAlignment="1">
      <alignment horizontal="center" vertical="center"/>
    </xf>
    <xf numFmtId="0" fontId="17" fillId="0" borderId="40" xfId="0" applyFont="1" applyBorder="1" applyAlignment="1">
      <alignment horizontal="center" vertical="center"/>
    </xf>
    <xf numFmtId="0" fontId="17" fillId="0" borderId="43" xfId="0" applyFont="1" applyBorder="1" applyAlignment="1">
      <alignment horizontal="center" vertical="center"/>
    </xf>
    <xf numFmtId="0" fontId="14" fillId="0" borderId="0" xfId="0" applyFont="1" applyAlignment="1">
      <alignment horizontal="left" vertical="center" wrapText="1"/>
    </xf>
    <xf numFmtId="0" fontId="14" fillId="0" borderId="0" xfId="0" applyFont="1" applyAlignment="1">
      <alignment horizontal="left" vertical="center"/>
    </xf>
    <xf numFmtId="0" fontId="14" fillId="0" borderId="19" xfId="0" applyFont="1" applyBorder="1" applyAlignment="1">
      <alignment horizontal="center" vertical="center"/>
    </xf>
    <xf numFmtId="0" fontId="17" fillId="0" borderId="39" xfId="0" applyFont="1" applyBorder="1" applyAlignment="1">
      <alignment vertical="center"/>
    </xf>
    <xf numFmtId="0" fontId="26" fillId="0" borderId="20" xfId="0" applyFont="1" applyBorder="1" applyAlignment="1">
      <alignment horizontal="center" vertical="center" wrapText="1"/>
    </xf>
    <xf numFmtId="0" fontId="26" fillId="0" borderId="29" xfId="0" applyFont="1" applyBorder="1" applyAlignment="1">
      <alignment horizontal="center" vertical="center"/>
    </xf>
    <xf numFmtId="0" fontId="26" fillId="0" borderId="21" xfId="0" applyFont="1" applyBorder="1" applyAlignment="1">
      <alignment horizontal="center" vertical="center" wrapText="1"/>
    </xf>
    <xf numFmtId="0" fontId="70" fillId="0" borderId="31" xfId="0" applyFont="1" applyBorder="1" applyAlignment="1">
      <alignment horizontal="center" vertical="center"/>
    </xf>
    <xf numFmtId="0" fontId="26" fillId="0" borderId="21" xfId="0" applyFont="1" applyBorder="1" applyAlignment="1">
      <alignment horizontal="center" vertical="center"/>
    </xf>
    <xf numFmtId="0" fontId="26" fillId="0" borderId="31" xfId="0" applyFont="1" applyBorder="1" applyAlignment="1">
      <alignment horizontal="center" vertical="center"/>
    </xf>
    <xf numFmtId="0" fontId="14" fillId="31" borderId="52" xfId="0" applyFont="1" applyFill="1" applyBorder="1" applyAlignment="1">
      <alignment horizontal="center" vertical="center"/>
    </xf>
    <xf numFmtId="49" fontId="14" fillId="37" borderId="52" xfId="0" applyNumberFormat="1" applyFont="1" applyFill="1" applyBorder="1" applyAlignment="1">
      <alignment horizontal="center" vertical="center" wrapText="1"/>
    </xf>
    <xf numFmtId="0" fontId="14" fillId="31" borderId="52" xfId="0" applyFont="1" applyFill="1" applyBorder="1" applyAlignment="1">
      <alignment horizontal="center" vertical="center" wrapText="1"/>
    </xf>
    <xf numFmtId="0" fontId="29" fillId="0" borderId="19" xfId="0" applyFont="1" applyBorder="1" applyAlignment="1">
      <alignment horizontal="center" vertical="center" wrapText="1"/>
    </xf>
    <xf numFmtId="0" fontId="13" fillId="0" borderId="19" xfId="0" applyFont="1" applyBorder="1" applyAlignment="1">
      <alignment horizontal="center" vertical="center"/>
    </xf>
    <xf numFmtId="0" fontId="29" fillId="0" borderId="19" xfId="0" applyFont="1" applyBorder="1" applyAlignment="1">
      <alignment horizontal="center" vertical="center"/>
    </xf>
    <xf numFmtId="0" fontId="29" fillId="0" borderId="19" xfId="0" applyFont="1" applyBorder="1" applyAlignment="1">
      <alignment horizontal="left" vertical="center" wrapText="1"/>
    </xf>
    <xf numFmtId="0" fontId="13" fillId="0" borderId="19" xfId="0" applyFont="1" applyBorder="1" applyAlignment="1">
      <alignment horizontal="left" vertical="center"/>
    </xf>
    <xf numFmtId="0" fontId="0" fillId="0" borderId="19" xfId="0" applyBorder="1"/>
    <xf numFmtId="0" fontId="23" fillId="0" borderId="19" xfId="0" applyFont="1" applyBorder="1" applyAlignment="1" applyProtection="1">
      <alignment horizontal="left" vertical="center" wrapText="1"/>
      <protection locked="0"/>
    </xf>
    <xf numFmtId="0" fontId="0" fillId="0" borderId="19" xfId="0" applyBorder="1" applyAlignment="1" applyProtection="1">
      <alignment horizontal="left" vertical="center" wrapText="1"/>
      <protection locked="0"/>
    </xf>
    <xf numFmtId="0" fontId="0" fillId="0" borderId="19" xfId="0" applyBorder="1" applyAlignment="1" applyProtection="1">
      <alignment wrapText="1"/>
      <protection locked="0"/>
    </xf>
    <xf numFmtId="0" fontId="0" fillId="0" borderId="19" xfId="0" applyBorder="1" applyProtection="1">
      <protection locked="0"/>
    </xf>
    <xf numFmtId="0" fontId="7" fillId="0" borderId="27" xfId="477" applyFont="1" applyBorder="1" applyAlignment="1">
      <alignment horizontal="center" textRotation="90" wrapText="1"/>
    </xf>
    <xf numFmtId="0" fontId="0" fillId="0" borderId="27" xfId="0" applyBorder="1" applyAlignment="1">
      <alignment horizontal="center" textRotation="90" wrapText="1"/>
    </xf>
    <xf numFmtId="0" fontId="14" fillId="30" borderId="39" xfId="0" applyFont="1" applyFill="1" applyBorder="1" applyAlignment="1">
      <alignment horizontal="center" vertical="center" wrapText="1"/>
    </xf>
    <xf numFmtId="0" fontId="14" fillId="30" borderId="40" xfId="0" applyFont="1" applyFill="1" applyBorder="1" applyAlignment="1">
      <alignment horizontal="center" vertical="center" wrapText="1"/>
    </xf>
    <xf numFmtId="0" fontId="14" fillId="30" borderId="43" xfId="0" applyFont="1" applyFill="1" applyBorder="1" applyAlignment="1">
      <alignment horizontal="center" vertical="center" wrapText="1"/>
    </xf>
    <xf numFmtId="0" fontId="14" fillId="27" borderId="39" xfId="0" applyFont="1" applyFill="1" applyBorder="1" applyAlignment="1">
      <alignment horizontal="center" vertical="center" wrapText="1"/>
    </xf>
    <xf numFmtId="0" fontId="14" fillId="27" borderId="40" xfId="0" applyFont="1" applyFill="1" applyBorder="1" applyAlignment="1">
      <alignment horizontal="center" vertical="center" wrapText="1"/>
    </xf>
    <xf numFmtId="0" fontId="14" fillId="27" borderId="43" xfId="0" applyFont="1" applyFill="1" applyBorder="1" applyAlignment="1">
      <alignment horizontal="center" vertical="center" wrapText="1"/>
    </xf>
    <xf numFmtId="0" fontId="26" fillId="0" borderId="40" xfId="0" applyFont="1" applyBorder="1" applyAlignment="1">
      <alignment horizontal="center" vertical="center"/>
    </xf>
    <xf numFmtId="0" fontId="26" fillId="0" borderId="43" xfId="0" applyFont="1" applyBorder="1" applyAlignment="1">
      <alignment horizontal="center" vertical="center"/>
    </xf>
    <xf numFmtId="0" fontId="26" fillId="0" borderId="39" xfId="0" applyFont="1" applyBorder="1" applyAlignment="1">
      <alignment vertical="center"/>
    </xf>
    <xf numFmtId="0" fontId="26" fillId="0" borderId="40" xfId="0" applyFont="1" applyBorder="1" applyAlignment="1">
      <alignment vertical="center"/>
    </xf>
    <xf numFmtId="0" fontId="26" fillId="0" borderId="43" xfId="0" applyFont="1" applyBorder="1" applyAlignment="1">
      <alignment vertical="center"/>
    </xf>
    <xf numFmtId="0" fontId="29" fillId="0" borderId="21" xfId="0" applyFont="1" applyBorder="1" applyAlignment="1">
      <alignment horizontal="center" vertical="center" wrapText="1"/>
    </xf>
    <xf numFmtId="0" fontId="29" fillId="0" borderId="31" xfId="0" applyFont="1" applyBorder="1" applyAlignment="1">
      <alignment horizontal="center" vertical="center" wrapText="1"/>
    </xf>
    <xf numFmtId="0" fontId="29" fillId="0" borderId="21" xfId="0" applyFont="1" applyBorder="1" applyAlignment="1">
      <alignment horizontal="center" vertical="center"/>
    </xf>
    <xf numFmtId="0" fontId="29" fillId="0" borderId="31" xfId="0" applyFont="1" applyBorder="1" applyAlignment="1">
      <alignment horizontal="center" vertical="center"/>
    </xf>
    <xf numFmtId="0" fontId="29" fillId="0" borderId="20" xfId="0" applyFont="1" applyBorder="1" applyAlignment="1">
      <alignment horizontal="left" vertical="center" wrapText="1"/>
    </xf>
    <xf numFmtId="0" fontId="29" fillId="0" borderId="41" xfId="0" applyFont="1" applyBorder="1" applyAlignment="1">
      <alignment horizontal="left" vertical="center" wrapText="1"/>
    </xf>
    <xf numFmtId="0" fontId="29" fillId="0" borderId="42" xfId="0" applyFont="1" applyBorder="1" applyAlignment="1">
      <alignment horizontal="left" vertical="center" wrapText="1"/>
    </xf>
    <xf numFmtId="0" fontId="29" fillId="0" borderId="29" xfId="0" applyFont="1" applyBorder="1" applyAlignment="1">
      <alignment horizontal="left" vertical="center" wrapText="1"/>
    </xf>
    <xf numFmtId="0" fontId="29" fillId="0" borderId="74" xfId="0" applyFont="1" applyBorder="1" applyAlignment="1">
      <alignment horizontal="left" vertical="center" wrapText="1"/>
    </xf>
    <xf numFmtId="0" fontId="29" fillId="0" borderId="30" xfId="0" applyFont="1" applyBorder="1" applyAlignment="1">
      <alignment horizontal="left" vertical="center" wrapText="1"/>
    </xf>
  </cellXfs>
  <cellStyles count="559">
    <cellStyle name="20 % - Akzent1 2" xfId="1" xr:uid="{00000000-0005-0000-0000-000000000000}"/>
    <cellStyle name="20 % - Akzent1 2 2" xfId="2" xr:uid="{00000000-0005-0000-0000-000001000000}"/>
    <cellStyle name="20 % - Akzent1 2 3" xfId="3" xr:uid="{00000000-0005-0000-0000-000002000000}"/>
    <cellStyle name="20 % - Akzent1 2 3 2" xfId="4" xr:uid="{00000000-0005-0000-0000-000003000000}"/>
    <cellStyle name="20 % - Akzent1 2 3 2 2" xfId="5" xr:uid="{00000000-0005-0000-0000-000004000000}"/>
    <cellStyle name="20 % - Akzent1 2 3 3" xfId="6" xr:uid="{00000000-0005-0000-0000-000005000000}"/>
    <cellStyle name="20 % - Akzent1 2 4" xfId="7" xr:uid="{00000000-0005-0000-0000-000006000000}"/>
    <cellStyle name="20 % - Akzent1 3" xfId="8" xr:uid="{00000000-0005-0000-0000-000007000000}"/>
    <cellStyle name="20 % - Akzent1 3 2" xfId="9" xr:uid="{00000000-0005-0000-0000-000008000000}"/>
    <cellStyle name="20 % - Akzent1 3 3" xfId="10" xr:uid="{00000000-0005-0000-0000-000009000000}"/>
    <cellStyle name="20 % - Akzent1 4" xfId="11" xr:uid="{00000000-0005-0000-0000-00000A000000}"/>
    <cellStyle name="20 % - Akzent1 4 2" xfId="12" xr:uid="{00000000-0005-0000-0000-00000B000000}"/>
    <cellStyle name="20 % - Akzent1 4 3" xfId="13" xr:uid="{00000000-0005-0000-0000-00000C000000}"/>
    <cellStyle name="20 % - Akzent1 5" xfId="14" xr:uid="{00000000-0005-0000-0000-00000D000000}"/>
    <cellStyle name="20 % - Akzent1 6" xfId="15" xr:uid="{00000000-0005-0000-0000-00000E000000}"/>
    <cellStyle name="20 % - Akzent1 7" xfId="16" xr:uid="{00000000-0005-0000-0000-00000F000000}"/>
    <cellStyle name="20 % - Akzent2 2" xfId="17" xr:uid="{00000000-0005-0000-0000-000010000000}"/>
    <cellStyle name="20 % - Akzent2 2 2" xfId="18" xr:uid="{00000000-0005-0000-0000-000011000000}"/>
    <cellStyle name="20 % - Akzent2 2 3" xfId="19" xr:uid="{00000000-0005-0000-0000-000012000000}"/>
    <cellStyle name="20 % - Akzent2 2 3 2" xfId="20" xr:uid="{00000000-0005-0000-0000-000013000000}"/>
    <cellStyle name="20 % - Akzent2 2 3 2 2" xfId="21" xr:uid="{00000000-0005-0000-0000-000014000000}"/>
    <cellStyle name="20 % - Akzent2 2 3 3" xfId="22" xr:uid="{00000000-0005-0000-0000-000015000000}"/>
    <cellStyle name="20 % - Akzent2 2 4" xfId="23" xr:uid="{00000000-0005-0000-0000-000016000000}"/>
    <cellStyle name="20 % - Akzent2 3" xfId="24" xr:uid="{00000000-0005-0000-0000-000017000000}"/>
    <cellStyle name="20 % - Akzent2 3 2" xfId="25" xr:uid="{00000000-0005-0000-0000-000018000000}"/>
    <cellStyle name="20 % - Akzent2 3 3" xfId="26" xr:uid="{00000000-0005-0000-0000-000019000000}"/>
    <cellStyle name="20 % - Akzent2 4" xfId="27" xr:uid="{00000000-0005-0000-0000-00001A000000}"/>
    <cellStyle name="20 % - Akzent2 4 2" xfId="28" xr:uid="{00000000-0005-0000-0000-00001B000000}"/>
    <cellStyle name="20 % - Akzent2 4 3" xfId="29" xr:uid="{00000000-0005-0000-0000-00001C000000}"/>
    <cellStyle name="20 % - Akzent2 5" xfId="30" xr:uid="{00000000-0005-0000-0000-00001D000000}"/>
    <cellStyle name="20 % - Akzent2 6" xfId="31" xr:uid="{00000000-0005-0000-0000-00001E000000}"/>
    <cellStyle name="20 % - Akzent2 7" xfId="32" xr:uid="{00000000-0005-0000-0000-00001F000000}"/>
    <cellStyle name="20 % - Akzent3 2" xfId="33" xr:uid="{00000000-0005-0000-0000-000020000000}"/>
    <cellStyle name="20 % - Akzent3 2 2" xfId="34" xr:uid="{00000000-0005-0000-0000-000021000000}"/>
    <cellStyle name="20 % - Akzent3 2 3" xfId="35" xr:uid="{00000000-0005-0000-0000-000022000000}"/>
    <cellStyle name="20 % - Akzent3 2 3 2" xfId="36" xr:uid="{00000000-0005-0000-0000-000023000000}"/>
    <cellStyle name="20 % - Akzent3 2 3 2 2" xfId="37" xr:uid="{00000000-0005-0000-0000-000024000000}"/>
    <cellStyle name="20 % - Akzent3 2 3 3" xfId="38" xr:uid="{00000000-0005-0000-0000-000025000000}"/>
    <cellStyle name="20 % - Akzent3 2 4" xfId="39" xr:uid="{00000000-0005-0000-0000-000026000000}"/>
    <cellStyle name="20 % - Akzent3 3" xfId="40" xr:uid="{00000000-0005-0000-0000-000027000000}"/>
    <cellStyle name="20 % - Akzent3 3 2" xfId="41" xr:uid="{00000000-0005-0000-0000-000028000000}"/>
    <cellStyle name="20 % - Akzent3 3 3" xfId="42" xr:uid="{00000000-0005-0000-0000-000029000000}"/>
    <cellStyle name="20 % - Akzent3 4" xfId="43" xr:uid="{00000000-0005-0000-0000-00002A000000}"/>
    <cellStyle name="20 % - Akzent3 4 2" xfId="44" xr:uid="{00000000-0005-0000-0000-00002B000000}"/>
    <cellStyle name="20 % - Akzent3 4 3" xfId="45" xr:uid="{00000000-0005-0000-0000-00002C000000}"/>
    <cellStyle name="20 % - Akzent3 5" xfId="46" xr:uid="{00000000-0005-0000-0000-00002D000000}"/>
    <cellStyle name="20 % - Akzent3 6" xfId="47" xr:uid="{00000000-0005-0000-0000-00002E000000}"/>
    <cellStyle name="20 % - Akzent3 7" xfId="48" xr:uid="{00000000-0005-0000-0000-00002F000000}"/>
    <cellStyle name="20 % - Akzent4 2" xfId="49" xr:uid="{00000000-0005-0000-0000-000030000000}"/>
    <cellStyle name="20 % - Akzent4 2 2" xfId="50" xr:uid="{00000000-0005-0000-0000-000031000000}"/>
    <cellStyle name="20 % - Akzent4 2 3" xfId="51" xr:uid="{00000000-0005-0000-0000-000032000000}"/>
    <cellStyle name="20 % - Akzent4 2 3 2" xfId="52" xr:uid="{00000000-0005-0000-0000-000033000000}"/>
    <cellStyle name="20 % - Akzent4 2 3 2 2" xfId="53" xr:uid="{00000000-0005-0000-0000-000034000000}"/>
    <cellStyle name="20 % - Akzent4 2 3 3" xfId="54" xr:uid="{00000000-0005-0000-0000-000035000000}"/>
    <cellStyle name="20 % - Akzent4 2 4" xfId="55" xr:uid="{00000000-0005-0000-0000-000036000000}"/>
    <cellStyle name="20 % - Akzent4 3" xfId="56" xr:uid="{00000000-0005-0000-0000-000037000000}"/>
    <cellStyle name="20 % - Akzent4 3 2" xfId="57" xr:uid="{00000000-0005-0000-0000-000038000000}"/>
    <cellStyle name="20 % - Akzent4 3 3" xfId="58" xr:uid="{00000000-0005-0000-0000-000039000000}"/>
    <cellStyle name="20 % - Akzent4 4" xfId="59" xr:uid="{00000000-0005-0000-0000-00003A000000}"/>
    <cellStyle name="20 % - Akzent4 4 2" xfId="60" xr:uid="{00000000-0005-0000-0000-00003B000000}"/>
    <cellStyle name="20 % - Akzent4 4 3" xfId="61" xr:uid="{00000000-0005-0000-0000-00003C000000}"/>
    <cellStyle name="20 % - Akzent4 5" xfId="62" xr:uid="{00000000-0005-0000-0000-00003D000000}"/>
    <cellStyle name="20 % - Akzent4 6" xfId="63" xr:uid="{00000000-0005-0000-0000-00003E000000}"/>
    <cellStyle name="20 % - Akzent4 7" xfId="64" xr:uid="{00000000-0005-0000-0000-00003F000000}"/>
    <cellStyle name="20 % - Akzent5 2" xfId="65" xr:uid="{00000000-0005-0000-0000-000040000000}"/>
    <cellStyle name="20 % - Akzent5 2 2" xfId="66" xr:uid="{00000000-0005-0000-0000-000041000000}"/>
    <cellStyle name="20 % - Akzent5 2 2 2" xfId="67" xr:uid="{00000000-0005-0000-0000-000042000000}"/>
    <cellStyle name="20 % - Akzent5 2 3" xfId="68" xr:uid="{00000000-0005-0000-0000-000043000000}"/>
    <cellStyle name="20 % - Akzent5 3" xfId="69" xr:uid="{00000000-0005-0000-0000-000044000000}"/>
    <cellStyle name="20 % - Akzent5 3 2" xfId="70" xr:uid="{00000000-0005-0000-0000-000045000000}"/>
    <cellStyle name="20 % - Akzent5 3 3" xfId="71" xr:uid="{00000000-0005-0000-0000-000046000000}"/>
    <cellStyle name="20 % - Akzent5 4" xfId="72" xr:uid="{00000000-0005-0000-0000-000047000000}"/>
    <cellStyle name="20 % - Akzent5 4 2" xfId="73" xr:uid="{00000000-0005-0000-0000-000048000000}"/>
    <cellStyle name="20 % - Akzent5 4 3" xfId="74" xr:uid="{00000000-0005-0000-0000-000049000000}"/>
    <cellStyle name="20 % - Akzent5 5" xfId="75" xr:uid="{00000000-0005-0000-0000-00004A000000}"/>
    <cellStyle name="20 % - Akzent5 6" xfId="76" xr:uid="{00000000-0005-0000-0000-00004B000000}"/>
    <cellStyle name="20 % - Akzent5 7" xfId="77" xr:uid="{00000000-0005-0000-0000-00004C000000}"/>
    <cellStyle name="20 % - Akzent6 2" xfId="78" xr:uid="{00000000-0005-0000-0000-00004D000000}"/>
    <cellStyle name="20 % - Akzent6 3" xfId="79" xr:uid="{00000000-0005-0000-0000-00004E000000}"/>
    <cellStyle name="20 % - Akzent6 3 2" xfId="80" xr:uid="{00000000-0005-0000-0000-00004F000000}"/>
    <cellStyle name="20 % - Akzent6 3 3" xfId="81" xr:uid="{00000000-0005-0000-0000-000050000000}"/>
    <cellStyle name="20 % - Akzent6 4" xfId="82" xr:uid="{00000000-0005-0000-0000-000051000000}"/>
    <cellStyle name="20 % - Akzent6 4 2" xfId="83" xr:uid="{00000000-0005-0000-0000-000052000000}"/>
    <cellStyle name="20 % - Akzent6 4 3" xfId="84" xr:uid="{00000000-0005-0000-0000-000053000000}"/>
    <cellStyle name="20 % - Akzent6 5" xfId="85" xr:uid="{00000000-0005-0000-0000-000054000000}"/>
    <cellStyle name="20 % - Akzent6 6" xfId="86" xr:uid="{00000000-0005-0000-0000-000055000000}"/>
    <cellStyle name="20 % - Akzent6 7" xfId="87" xr:uid="{00000000-0005-0000-0000-000056000000}"/>
    <cellStyle name="40 % - Akzent1 2" xfId="88" xr:uid="{00000000-0005-0000-0000-000057000000}"/>
    <cellStyle name="40 % - Akzent1 2 2" xfId="89" xr:uid="{00000000-0005-0000-0000-000058000000}"/>
    <cellStyle name="40 % - Akzent1 2 3" xfId="90" xr:uid="{00000000-0005-0000-0000-000059000000}"/>
    <cellStyle name="40 % - Akzent1 3" xfId="91" xr:uid="{00000000-0005-0000-0000-00005A000000}"/>
    <cellStyle name="40 % - Akzent1 3 2" xfId="92" xr:uid="{00000000-0005-0000-0000-00005B000000}"/>
    <cellStyle name="40 % - Akzent1 3 3" xfId="93" xr:uid="{00000000-0005-0000-0000-00005C000000}"/>
    <cellStyle name="40 % - Akzent1 4" xfId="94" xr:uid="{00000000-0005-0000-0000-00005D000000}"/>
    <cellStyle name="40 % - Akzent1 4 2" xfId="95" xr:uid="{00000000-0005-0000-0000-00005E000000}"/>
    <cellStyle name="40 % - Akzent1 4 3" xfId="96" xr:uid="{00000000-0005-0000-0000-00005F000000}"/>
    <cellStyle name="40 % - Akzent1 5" xfId="97" xr:uid="{00000000-0005-0000-0000-000060000000}"/>
    <cellStyle name="40 % - Akzent1 6" xfId="98" xr:uid="{00000000-0005-0000-0000-000061000000}"/>
    <cellStyle name="40 % - Akzent1 7" xfId="99" xr:uid="{00000000-0005-0000-0000-000062000000}"/>
    <cellStyle name="40 % - Akzent2 2" xfId="100" xr:uid="{00000000-0005-0000-0000-000063000000}"/>
    <cellStyle name="40 % - Akzent2 3" xfId="101" xr:uid="{00000000-0005-0000-0000-000064000000}"/>
    <cellStyle name="40 % - Akzent2 3 2" xfId="102" xr:uid="{00000000-0005-0000-0000-000065000000}"/>
    <cellStyle name="40 % - Akzent2 3 3" xfId="103" xr:uid="{00000000-0005-0000-0000-000066000000}"/>
    <cellStyle name="40 % - Akzent2 4" xfId="104" xr:uid="{00000000-0005-0000-0000-000067000000}"/>
    <cellStyle name="40 % - Akzent2 4 2" xfId="105" xr:uid="{00000000-0005-0000-0000-000068000000}"/>
    <cellStyle name="40 % - Akzent2 4 3" xfId="106" xr:uid="{00000000-0005-0000-0000-000069000000}"/>
    <cellStyle name="40 % - Akzent2 5" xfId="107" xr:uid="{00000000-0005-0000-0000-00006A000000}"/>
    <cellStyle name="40 % - Akzent2 6" xfId="108" xr:uid="{00000000-0005-0000-0000-00006B000000}"/>
    <cellStyle name="40 % - Akzent2 7" xfId="109" xr:uid="{00000000-0005-0000-0000-00006C000000}"/>
    <cellStyle name="40 % - Akzent3 2" xfId="110" xr:uid="{00000000-0005-0000-0000-00006D000000}"/>
    <cellStyle name="40 % - Akzent3 2 2" xfId="111" xr:uid="{00000000-0005-0000-0000-00006E000000}"/>
    <cellStyle name="40 % - Akzent3 2 3" xfId="112" xr:uid="{00000000-0005-0000-0000-00006F000000}"/>
    <cellStyle name="40 % - Akzent3 2 3 2" xfId="113" xr:uid="{00000000-0005-0000-0000-000070000000}"/>
    <cellStyle name="40 % - Akzent3 2 3 2 2" xfId="114" xr:uid="{00000000-0005-0000-0000-000071000000}"/>
    <cellStyle name="40 % - Akzent3 2 3 3" xfId="115" xr:uid="{00000000-0005-0000-0000-000072000000}"/>
    <cellStyle name="40 % - Akzent3 2 4" xfId="116" xr:uid="{00000000-0005-0000-0000-000073000000}"/>
    <cellStyle name="40 % - Akzent3 3" xfId="117" xr:uid="{00000000-0005-0000-0000-000074000000}"/>
    <cellStyle name="40 % - Akzent3 3 2" xfId="118" xr:uid="{00000000-0005-0000-0000-000075000000}"/>
    <cellStyle name="40 % - Akzent3 3 3" xfId="119" xr:uid="{00000000-0005-0000-0000-000076000000}"/>
    <cellStyle name="40 % - Akzent3 4" xfId="120" xr:uid="{00000000-0005-0000-0000-000077000000}"/>
    <cellStyle name="40 % - Akzent3 4 2" xfId="121" xr:uid="{00000000-0005-0000-0000-000078000000}"/>
    <cellStyle name="40 % - Akzent3 4 3" xfId="122" xr:uid="{00000000-0005-0000-0000-000079000000}"/>
    <cellStyle name="40 % - Akzent3 5" xfId="123" xr:uid="{00000000-0005-0000-0000-00007A000000}"/>
    <cellStyle name="40 % - Akzent3 6" xfId="124" xr:uid="{00000000-0005-0000-0000-00007B000000}"/>
    <cellStyle name="40 % - Akzent3 7" xfId="125" xr:uid="{00000000-0005-0000-0000-00007C000000}"/>
    <cellStyle name="40 % - Akzent4 2" xfId="126" xr:uid="{00000000-0005-0000-0000-00007D000000}"/>
    <cellStyle name="40 % - Akzent4 2 2" xfId="127" xr:uid="{00000000-0005-0000-0000-00007E000000}"/>
    <cellStyle name="40 % - Akzent4 2 2 2" xfId="128" xr:uid="{00000000-0005-0000-0000-00007F000000}"/>
    <cellStyle name="40 % - Akzent4 2 3" xfId="129" xr:uid="{00000000-0005-0000-0000-000080000000}"/>
    <cellStyle name="40 % - Akzent4 3" xfId="130" xr:uid="{00000000-0005-0000-0000-000081000000}"/>
    <cellStyle name="40 % - Akzent4 3 2" xfId="131" xr:uid="{00000000-0005-0000-0000-000082000000}"/>
    <cellStyle name="40 % - Akzent4 3 3" xfId="132" xr:uid="{00000000-0005-0000-0000-000083000000}"/>
    <cellStyle name="40 % - Akzent4 4" xfId="133" xr:uid="{00000000-0005-0000-0000-000084000000}"/>
    <cellStyle name="40 % - Akzent4 4 2" xfId="134" xr:uid="{00000000-0005-0000-0000-000085000000}"/>
    <cellStyle name="40 % - Akzent4 4 3" xfId="135" xr:uid="{00000000-0005-0000-0000-000086000000}"/>
    <cellStyle name="40 % - Akzent4 5" xfId="136" xr:uid="{00000000-0005-0000-0000-000087000000}"/>
    <cellStyle name="40 % - Akzent4 6" xfId="137" xr:uid="{00000000-0005-0000-0000-000088000000}"/>
    <cellStyle name="40 % - Akzent4 7" xfId="138" xr:uid="{00000000-0005-0000-0000-000089000000}"/>
    <cellStyle name="40 % - Akzent5 2" xfId="139" xr:uid="{00000000-0005-0000-0000-00008A000000}"/>
    <cellStyle name="40 % - Akzent5 2 2" xfId="140" xr:uid="{00000000-0005-0000-0000-00008B000000}"/>
    <cellStyle name="40 % - Akzent5 2 3" xfId="141" xr:uid="{00000000-0005-0000-0000-00008C000000}"/>
    <cellStyle name="40 % - Akzent5 3" xfId="142" xr:uid="{00000000-0005-0000-0000-00008D000000}"/>
    <cellStyle name="40 % - Akzent5 3 2" xfId="143" xr:uid="{00000000-0005-0000-0000-00008E000000}"/>
    <cellStyle name="40 % - Akzent5 3 3" xfId="144" xr:uid="{00000000-0005-0000-0000-00008F000000}"/>
    <cellStyle name="40 % - Akzent5 4" xfId="145" xr:uid="{00000000-0005-0000-0000-000090000000}"/>
    <cellStyle name="40 % - Akzent5 4 2" xfId="146" xr:uid="{00000000-0005-0000-0000-000091000000}"/>
    <cellStyle name="40 % - Akzent5 4 3" xfId="147" xr:uid="{00000000-0005-0000-0000-000092000000}"/>
    <cellStyle name="40 % - Akzent5 5" xfId="148" xr:uid="{00000000-0005-0000-0000-000093000000}"/>
    <cellStyle name="40 % - Akzent5 6" xfId="149" xr:uid="{00000000-0005-0000-0000-000094000000}"/>
    <cellStyle name="40 % - Akzent5 7" xfId="150" xr:uid="{00000000-0005-0000-0000-000095000000}"/>
    <cellStyle name="40 % - Akzent6 2" xfId="151" xr:uid="{00000000-0005-0000-0000-000096000000}"/>
    <cellStyle name="40 % - Akzent6 2 2" xfId="152" xr:uid="{00000000-0005-0000-0000-000097000000}"/>
    <cellStyle name="40 % - Akzent6 2 2 2" xfId="153" xr:uid="{00000000-0005-0000-0000-000098000000}"/>
    <cellStyle name="40 % - Akzent6 2 3" xfId="154" xr:uid="{00000000-0005-0000-0000-000099000000}"/>
    <cellStyle name="40 % - Akzent6 3" xfId="155" xr:uid="{00000000-0005-0000-0000-00009A000000}"/>
    <cellStyle name="40 % - Akzent6 3 2" xfId="156" xr:uid="{00000000-0005-0000-0000-00009B000000}"/>
    <cellStyle name="40 % - Akzent6 3 3" xfId="157" xr:uid="{00000000-0005-0000-0000-00009C000000}"/>
    <cellStyle name="40 % - Akzent6 4" xfId="158" xr:uid="{00000000-0005-0000-0000-00009D000000}"/>
    <cellStyle name="40 % - Akzent6 4 2" xfId="159" xr:uid="{00000000-0005-0000-0000-00009E000000}"/>
    <cellStyle name="40 % - Akzent6 4 3" xfId="160" xr:uid="{00000000-0005-0000-0000-00009F000000}"/>
    <cellStyle name="40 % - Akzent6 5" xfId="161" xr:uid="{00000000-0005-0000-0000-0000A0000000}"/>
    <cellStyle name="40 % - Akzent6 6" xfId="162" xr:uid="{00000000-0005-0000-0000-0000A1000000}"/>
    <cellStyle name="40 % - Akzent6 7" xfId="163" xr:uid="{00000000-0005-0000-0000-0000A2000000}"/>
    <cellStyle name="60 % - Akzent1 2" xfId="164" xr:uid="{00000000-0005-0000-0000-0000A3000000}"/>
    <cellStyle name="60 % - Akzent1 2 2" xfId="165" xr:uid="{00000000-0005-0000-0000-0000A4000000}"/>
    <cellStyle name="60 % - Akzent1 2 2 2" xfId="166" xr:uid="{00000000-0005-0000-0000-0000A5000000}"/>
    <cellStyle name="60 % - Akzent1 2 3" xfId="167" xr:uid="{00000000-0005-0000-0000-0000A6000000}"/>
    <cellStyle name="60 % - Akzent1 3" xfId="168" xr:uid="{00000000-0005-0000-0000-0000A7000000}"/>
    <cellStyle name="60 % - Akzent1 4" xfId="169" xr:uid="{00000000-0005-0000-0000-0000A8000000}"/>
    <cellStyle name="60 % - Akzent1 5" xfId="170" xr:uid="{00000000-0005-0000-0000-0000A9000000}"/>
    <cellStyle name="60 % - Akzent1 6" xfId="171" xr:uid="{00000000-0005-0000-0000-0000AA000000}"/>
    <cellStyle name="60 % - Akzent2 2" xfId="172" xr:uid="{00000000-0005-0000-0000-0000AB000000}"/>
    <cellStyle name="60 % - Akzent2 3" xfId="173" xr:uid="{00000000-0005-0000-0000-0000AC000000}"/>
    <cellStyle name="60 % - Akzent2 4" xfId="174" xr:uid="{00000000-0005-0000-0000-0000AD000000}"/>
    <cellStyle name="60 % - Akzent2 5" xfId="175" xr:uid="{00000000-0005-0000-0000-0000AE000000}"/>
    <cellStyle name="60 % - Akzent2 6" xfId="176" xr:uid="{00000000-0005-0000-0000-0000AF000000}"/>
    <cellStyle name="60 % - Akzent3 2" xfId="177" xr:uid="{00000000-0005-0000-0000-0000B0000000}"/>
    <cellStyle name="60 % - Akzent3 3" xfId="178" xr:uid="{00000000-0005-0000-0000-0000B1000000}"/>
    <cellStyle name="60 % - Akzent3 4" xfId="179" xr:uid="{00000000-0005-0000-0000-0000B2000000}"/>
    <cellStyle name="60 % - Akzent3 5" xfId="180" xr:uid="{00000000-0005-0000-0000-0000B3000000}"/>
    <cellStyle name="60 % - Akzent3 6" xfId="181" xr:uid="{00000000-0005-0000-0000-0000B4000000}"/>
    <cellStyle name="60 % - Akzent4 2" xfId="182" xr:uid="{00000000-0005-0000-0000-0000B5000000}"/>
    <cellStyle name="60 % - Akzent4 2 2" xfId="183" xr:uid="{00000000-0005-0000-0000-0000B6000000}"/>
    <cellStyle name="60 % - Akzent4 2 3" xfId="184" xr:uid="{00000000-0005-0000-0000-0000B7000000}"/>
    <cellStyle name="60 % - Akzent4 2 3 2" xfId="185" xr:uid="{00000000-0005-0000-0000-0000B8000000}"/>
    <cellStyle name="60 % - Akzent4 2 3 2 2" xfId="186" xr:uid="{00000000-0005-0000-0000-0000B9000000}"/>
    <cellStyle name="60 % - Akzent4 2 3 3" xfId="187" xr:uid="{00000000-0005-0000-0000-0000BA000000}"/>
    <cellStyle name="60 % - Akzent4 2 4" xfId="188" xr:uid="{00000000-0005-0000-0000-0000BB000000}"/>
    <cellStyle name="60 % - Akzent4 3" xfId="189" xr:uid="{00000000-0005-0000-0000-0000BC000000}"/>
    <cellStyle name="60 % - Akzent4 4" xfId="190" xr:uid="{00000000-0005-0000-0000-0000BD000000}"/>
    <cellStyle name="60 % - Akzent4 5" xfId="191" xr:uid="{00000000-0005-0000-0000-0000BE000000}"/>
    <cellStyle name="60 % - Akzent4 6" xfId="192" xr:uid="{00000000-0005-0000-0000-0000BF000000}"/>
    <cellStyle name="60 % - Akzent5 2" xfId="193" xr:uid="{00000000-0005-0000-0000-0000C0000000}"/>
    <cellStyle name="60 % - Akzent5 2 2" xfId="194" xr:uid="{00000000-0005-0000-0000-0000C1000000}"/>
    <cellStyle name="60 % - Akzent5 2 2 2" xfId="195" xr:uid="{00000000-0005-0000-0000-0000C2000000}"/>
    <cellStyle name="60 % - Akzent5 2 3" xfId="196" xr:uid="{00000000-0005-0000-0000-0000C3000000}"/>
    <cellStyle name="60 % - Akzent5 3" xfId="197" xr:uid="{00000000-0005-0000-0000-0000C4000000}"/>
    <cellStyle name="60 % - Akzent5 4" xfId="198" xr:uid="{00000000-0005-0000-0000-0000C5000000}"/>
    <cellStyle name="60 % - Akzent5 5" xfId="199" xr:uid="{00000000-0005-0000-0000-0000C6000000}"/>
    <cellStyle name="60 % - Akzent5 6" xfId="200" xr:uid="{00000000-0005-0000-0000-0000C7000000}"/>
    <cellStyle name="60 % - Akzent6 2" xfId="201" xr:uid="{00000000-0005-0000-0000-0000C8000000}"/>
    <cellStyle name="60 % - Akzent6 2 2" xfId="202" xr:uid="{00000000-0005-0000-0000-0000C9000000}"/>
    <cellStyle name="60 % - Akzent6 2 3" xfId="203" xr:uid="{00000000-0005-0000-0000-0000CA000000}"/>
    <cellStyle name="60 % - Akzent6 2 3 2" xfId="204" xr:uid="{00000000-0005-0000-0000-0000CB000000}"/>
    <cellStyle name="60 % - Akzent6 2 3 2 2" xfId="205" xr:uid="{00000000-0005-0000-0000-0000CC000000}"/>
    <cellStyle name="60 % - Akzent6 2 3 3" xfId="206" xr:uid="{00000000-0005-0000-0000-0000CD000000}"/>
    <cellStyle name="60 % - Akzent6 2 4" xfId="207" xr:uid="{00000000-0005-0000-0000-0000CE000000}"/>
    <cellStyle name="60 % - Akzent6 3" xfId="208" xr:uid="{00000000-0005-0000-0000-0000CF000000}"/>
    <cellStyle name="60 % - Akzent6 4" xfId="209" xr:uid="{00000000-0005-0000-0000-0000D0000000}"/>
    <cellStyle name="60 % - Akzent6 5" xfId="210" xr:uid="{00000000-0005-0000-0000-0000D1000000}"/>
    <cellStyle name="60 % - Akzent6 6" xfId="211" xr:uid="{00000000-0005-0000-0000-0000D2000000}"/>
    <cellStyle name="Accent1" xfId="225" xr:uid="{00000000-0005-0000-0000-0000D3000000}"/>
    <cellStyle name="Accent1 2" xfId="212" xr:uid="{00000000-0005-0000-0000-0000D4000000}"/>
    <cellStyle name="Accent1 3" xfId="213" xr:uid="{00000000-0005-0000-0000-0000D5000000}"/>
    <cellStyle name="Accent1 3 2" xfId="214" xr:uid="{00000000-0005-0000-0000-0000D6000000}"/>
    <cellStyle name="Accent1 4" xfId="215" xr:uid="{00000000-0005-0000-0000-0000D7000000}"/>
    <cellStyle name="Accent2" xfId="228" xr:uid="{00000000-0005-0000-0000-0000D8000000}"/>
    <cellStyle name="Accent2 2" xfId="216" xr:uid="{00000000-0005-0000-0000-0000D9000000}"/>
    <cellStyle name="Accent2 3" xfId="217" xr:uid="{00000000-0005-0000-0000-0000DA000000}"/>
    <cellStyle name="Accent3" xfId="231" xr:uid="{00000000-0005-0000-0000-0000DB000000}"/>
    <cellStyle name="Accent3 2" xfId="218" xr:uid="{00000000-0005-0000-0000-0000DC000000}"/>
    <cellStyle name="Accent4" xfId="234" xr:uid="{00000000-0005-0000-0000-0000DD000000}"/>
    <cellStyle name="Accent4 2" xfId="219" xr:uid="{00000000-0005-0000-0000-0000DE000000}"/>
    <cellStyle name="Accent4 3" xfId="220" xr:uid="{00000000-0005-0000-0000-0000DF000000}"/>
    <cellStyle name="Accent4 3 2" xfId="221" xr:uid="{00000000-0005-0000-0000-0000E0000000}"/>
    <cellStyle name="Accent4 4" xfId="222" xr:uid="{00000000-0005-0000-0000-0000E1000000}"/>
    <cellStyle name="Accent5" xfId="237" xr:uid="{00000000-0005-0000-0000-0000E2000000}"/>
    <cellStyle name="Accent5 2" xfId="223" xr:uid="{00000000-0005-0000-0000-0000E3000000}"/>
    <cellStyle name="Accent6" xfId="240" xr:uid="{00000000-0005-0000-0000-0000E4000000}"/>
    <cellStyle name="Accent6 2" xfId="224" xr:uid="{00000000-0005-0000-0000-0000E5000000}"/>
    <cellStyle name="Akzent1 2" xfId="226" xr:uid="{00000000-0005-0000-0000-0000E6000000}"/>
    <cellStyle name="Akzent1 3" xfId="227" xr:uid="{00000000-0005-0000-0000-0000E7000000}"/>
    <cellStyle name="Akzent2 2" xfId="229" xr:uid="{00000000-0005-0000-0000-0000E8000000}"/>
    <cellStyle name="Akzent2 3" xfId="230" xr:uid="{00000000-0005-0000-0000-0000E9000000}"/>
    <cellStyle name="Akzent3 2" xfId="232" xr:uid="{00000000-0005-0000-0000-0000EA000000}"/>
    <cellStyle name="Akzent3 3" xfId="233" xr:uid="{00000000-0005-0000-0000-0000EB000000}"/>
    <cellStyle name="Akzent4 2" xfId="235" xr:uid="{00000000-0005-0000-0000-0000EC000000}"/>
    <cellStyle name="Akzent4 3" xfId="236" xr:uid="{00000000-0005-0000-0000-0000ED000000}"/>
    <cellStyle name="Akzent5 2" xfId="238" xr:uid="{00000000-0005-0000-0000-0000EE000000}"/>
    <cellStyle name="Akzent5 3" xfId="239" xr:uid="{00000000-0005-0000-0000-0000EF000000}"/>
    <cellStyle name="Akzent6 2" xfId="241" xr:uid="{00000000-0005-0000-0000-0000F0000000}"/>
    <cellStyle name="Akzent6 3" xfId="242" xr:uid="{00000000-0005-0000-0000-0000F1000000}"/>
    <cellStyle name="Ausgabe 2" xfId="243" xr:uid="{00000000-0005-0000-0000-0000F2000000}"/>
    <cellStyle name="Ausgabe 2 2" xfId="244" xr:uid="{00000000-0005-0000-0000-0000F3000000}"/>
    <cellStyle name="Ausgabe 2 2 2" xfId="245" xr:uid="{00000000-0005-0000-0000-0000F4000000}"/>
    <cellStyle name="Ausgabe 2 2 3" xfId="246" xr:uid="{00000000-0005-0000-0000-0000F5000000}"/>
    <cellStyle name="Ausgabe 2 2 3 2" xfId="546" xr:uid="{00000000-0005-0000-0000-0000F6000000}"/>
    <cellStyle name="Ausgabe 2 3" xfId="247" xr:uid="{00000000-0005-0000-0000-0000F7000000}"/>
    <cellStyle name="Ausgabe 2 3 2" xfId="248" xr:uid="{00000000-0005-0000-0000-0000F8000000}"/>
    <cellStyle name="Ausgabe 2 3 2 2" xfId="249" xr:uid="{00000000-0005-0000-0000-0000F9000000}"/>
    <cellStyle name="Ausgabe 2 3 3" xfId="250" xr:uid="{00000000-0005-0000-0000-0000FA000000}"/>
    <cellStyle name="Ausgabe 2 3 3 2" xfId="547" xr:uid="{00000000-0005-0000-0000-0000FB000000}"/>
    <cellStyle name="Ausgabe 2 4" xfId="251" xr:uid="{00000000-0005-0000-0000-0000FC000000}"/>
    <cellStyle name="Ausgabe 2 5" xfId="252" xr:uid="{00000000-0005-0000-0000-0000FD000000}"/>
    <cellStyle name="Ausgabe 2 5 2" xfId="548" xr:uid="{00000000-0005-0000-0000-0000FE000000}"/>
    <cellStyle name="Ausgabe 3" xfId="253" xr:uid="{00000000-0005-0000-0000-0000FF000000}"/>
    <cellStyle name="Ausgabe 3 2" xfId="254" xr:uid="{00000000-0005-0000-0000-000000010000}"/>
    <cellStyle name="Ausgabe 3 3" xfId="255" xr:uid="{00000000-0005-0000-0000-000001010000}"/>
    <cellStyle name="Ausgabe 3 3 2" xfId="549" xr:uid="{00000000-0005-0000-0000-000002010000}"/>
    <cellStyle name="Ausgabe 4" xfId="256" xr:uid="{00000000-0005-0000-0000-000003010000}"/>
    <cellStyle name="Ausgabe 5" xfId="257" xr:uid="{00000000-0005-0000-0000-000004010000}"/>
    <cellStyle name="Ausgabe 6" xfId="258" xr:uid="{00000000-0005-0000-0000-000005010000}"/>
    <cellStyle name="Ausgabe 7" xfId="259" xr:uid="{00000000-0005-0000-0000-000006010000}"/>
    <cellStyle name="Ausgabe 7 2" xfId="260" xr:uid="{00000000-0005-0000-0000-000007010000}"/>
    <cellStyle name="Ausgabe 7 3" xfId="261" xr:uid="{00000000-0005-0000-0000-000008010000}"/>
    <cellStyle name="Ausgabe 7 3 2" xfId="262" xr:uid="{00000000-0005-0000-0000-000009010000}"/>
    <cellStyle name="Ausgabe 7 3 3" xfId="550" xr:uid="{00000000-0005-0000-0000-00000A010000}"/>
    <cellStyle name="Ausgabe 7 4" xfId="263" xr:uid="{00000000-0005-0000-0000-00000B010000}"/>
    <cellStyle name="Ausgabe 8" xfId="264" xr:uid="{00000000-0005-0000-0000-00000C010000}"/>
    <cellStyle name="Ausgabe 8 2" xfId="265" xr:uid="{00000000-0005-0000-0000-00000D010000}"/>
    <cellStyle name="Bad" xfId="474" xr:uid="{00000000-0005-0000-0000-00000E010000}"/>
    <cellStyle name="Bad 2" xfId="266" xr:uid="{00000000-0005-0000-0000-00000F010000}"/>
    <cellStyle name="Berechnung 2" xfId="267" xr:uid="{00000000-0005-0000-0000-000010010000}"/>
    <cellStyle name="Berechnung 2 2" xfId="268" xr:uid="{00000000-0005-0000-0000-000011010000}"/>
    <cellStyle name="Berechnung 2 3" xfId="269" xr:uid="{00000000-0005-0000-0000-000012010000}"/>
    <cellStyle name="Berechnung 2 3 2" xfId="270" xr:uid="{00000000-0005-0000-0000-000013010000}"/>
    <cellStyle name="Berechnung 2 3 2 2" xfId="271" xr:uid="{00000000-0005-0000-0000-000014010000}"/>
    <cellStyle name="Berechnung 2 3 3" xfId="272" xr:uid="{00000000-0005-0000-0000-000015010000}"/>
    <cellStyle name="Berechnung 2 4" xfId="273" xr:uid="{00000000-0005-0000-0000-000016010000}"/>
    <cellStyle name="Berechnung 3" xfId="274" xr:uid="{00000000-0005-0000-0000-000017010000}"/>
    <cellStyle name="Berechnung 4" xfId="275" xr:uid="{00000000-0005-0000-0000-000018010000}"/>
    <cellStyle name="Berechnung 5" xfId="276" xr:uid="{00000000-0005-0000-0000-000019010000}"/>
    <cellStyle name="Berechnung 6" xfId="277" xr:uid="{00000000-0005-0000-0000-00001A010000}"/>
    <cellStyle name="Berechnung 7" xfId="278" xr:uid="{00000000-0005-0000-0000-00001B010000}"/>
    <cellStyle name="Berechnung 7 2" xfId="279" xr:uid="{00000000-0005-0000-0000-00001C010000}"/>
    <cellStyle name="Berechnung 7 3" xfId="280" xr:uid="{00000000-0005-0000-0000-00001D010000}"/>
    <cellStyle name="Berechnung 8" xfId="281" xr:uid="{00000000-0005-0000-0000-00001E010000}"/>
    <cellStyle name="Calculation 2" xfId="282" xr:uid="{00000000-0005-0000-0000-00001F010000}"/>
    <cellStyle name="Check Cell" xfId="541" xr:uid="{00000000-0005-0000-0000-000020010000}"/>
    <cellStyle name="Check Cell 2" xfId="283" xr:uid="{00000000-0005-0000-0000-000021010000}"/>
    <cellStyle name="Check Cell 3" xfId="284" xr:uid="{00000000-0005-0000-0000-000022010000}"/>
    <cellStyle name="Check Cell 4" xfId="285" xr:uid="{00000000-0005-0000-0000-000023010000}"/>
    <cellStyle name="Eingabe 2" xfId="286" xr:uid="{00000000-0005-0000-0000-000024010000}"/>
    <cellStyle name="Eingabe 3" xfId="287" xr:uid="{00000000-0005-0000-0000-000025010000}"/>
    <cellStyle name="Eingabe 4" xfId="288" xr:uid="{00000000-0005-0000-0000-000026010000}"/>
    <cellStyle name="Eingabe 5" xfId="289" xr:uid="{00000000-0005-0000-0000-000027010000}"/>
    <cellStyle name="Eingabe 6" xfId="290" xr:uid="{00000000-0005-0000-0000-000028010000}"/>
    <cellStyle name="Eingabe 7" xfId="291" xr:uid="{00000000-0005-0000-0000-000029010000}"/>
    <cellStyle name="Ergebnis 2" xfId="292" xr:uid="{00000000-0005-0000-0000-00002A010000}"/>
    <cellStyle name="Ergebnis 2 2" xfId="293" xr:uid="{00000000-0005-0000-0000-00002B010000}"/>
    <cellStyle name="Ergebnis 2 2 2" xfId="294" xr:uid="{00000000-0005-0000-0000-00002C010000}"/>
    <cellStyle name="Ergebnis 2 3" xfId="295" xr:uid="{00000000-0005-0000-0000-00002D010000}"/>
    <cellStyle name="Ergebnis 2 4" xfId="296" xr:uid="{00000000-0005-0000-0000-00002E010000}"/>
    <cellStyle name="Ergebnis 2 4 2" xfId="297" xr:uid="{00000000-0005-0000-0000-00002F010000}"/>
    <cellStyle name="Ergebnis 2 4 2 2" xfId="298" xr:uid="{00000000-0005-0000-0000-000030010000}"/>
    <cellStyle name="Ergebnis 2 4 3" xfId="299" xr:uid="{00000000-0005-0000-0000-000031010000}"/>
    <cellStyle name="Ergebnis 2 5" xfId="300" xr:uid="{00000000-0005-0000-0000-000032010000}"/>
    <cellStyle name="Ergebnis 3" xfId="301" xr:uid="{00000000-0005-0000-0000-000033010000}"/>
    <cellStyle name="Ergebnis 3 2" xfId="302" xr:uid="{00000000-0005-0000-0000-000034010000}"/>
    <cellStyle name="Ergebnis 4" xfId="303" xr:uid="{00000000-0005-0000-0000-000035010000}"/>
    <cellStyle name="Ergebnis 4 2" xfId="304" xr:uid="{00000000-0005-0000-0000-000036010000}"/>
    <cellStyle name="Ergebnis 5" xfId="305" xr:uid="{00000000-0005-0000-0000-000037010000}"/>
    <cellStyle name="Ergebnis 6" xfId="306" xr:uid="{00000000-0005-0000-0000-000038010000}"/>
    <cellStyle name="Ergebnis 7" xfId="307" xr:uid="{00000000-0005-0000-0000-000039010000}"/>
    <cellStyle name="Ergebnis 8" xfId="308" xr:uid="{00000000-0005-0000-0000-00003A010000}"/>
    <cellStyle name="Ergebnis 8 2" xfId="309" xr:uid="{00000000-0005-0000-0000-00003B010000}"/>
    <cellStyle name="Ergebnis 8 3" xfId="310" xr:uid="{00000000-0005-0000-0000-00003C010000}"/>
    <cellStyle name="Ergebnis 9" xfId="311" xr:uid="{00000000-0005-0000-0000-00003D010000}"/>
    <cellStyle name="Erklärender Text 2" xfId="312" xr:uid="{00000000-0005-0000-0000-00003E010000}"/>
    <cellStyle name="Erklärender Text 3" xfId="313" xr:uid="{00000000-0005-0000-0000-00003F010000}"/>
    <cellStyle name="Erklärender Text 4" xfId="314" xr:uid="{00000000-0005-0000-0000-000040010000}"/>
    <cellStyle name="Erklärender Text 5" xfId="315" xr:uid="{00000000-0005-0000-0000-000041010000}"/>
    <cellStyle name="Erklärender Text 6" xfId="316" xr:uid="{00000000-0005-0000-0000-000042010000}"/>
    <cellStyle name="Good" xfId="318" xr:uid="{00000000-0005-0000-0000-000043010000}"/>
    <cellStyle name="Good 2" xfId="317" xr:uid="{00000000-0005-0000-0000-000044010000}"/>
    <cellStyle name="Gut 2" xfId="319" xr:uid="{00000000-0005-0000-0000-000045010000}"/>
    <cellStyle name="Gut 3" xfId="320" xr:uid="{00000000-0005-0000-0000-000046010000}"/>
    <cellStyle name="Heading 1" xfId="516" xr:uid="{00000000-0005-0000-0000-000047010000}"/>
    <cellStyle name="Heading 1 2" xfId="321" xr:uid="{00000000-0005-0000-0000-000048010000}"/>
    <cellStyle name="Heading 1 2 2" xfId="322" xr:uid="{00000000-0005-0000-0000-000049010000}"/>
    <cellStyle name="Heading 1 3" xfId="323" xr:uid="{00000000-0005-0000-0000-00004A010000}"/>
    <cellStyle name="Heading 2" xfId="519" xr:uid="{00000000-0005-0000-0000-00004B010000}"/>
    <cellStyle name="Heading 2 2" xfId="324" xr:uid="{00000000-0005-0000-0000-00004C010000}"/>
    <cellStyle name="Heading 2 2 2" xfId="325" xr:uid="{00000000-0005-0000-0000-00004D010000}"/>
    <cellStyle name="Heading 2 3" xfId="326" xr:uid="{00000000-0005-0000-0000-00004E010000}"/>
    <cellStyle name="Heading 3" xfId="522" xr:uid="{00000000-0005-0000-0000-00004F010000}"/>
    <cellStyle name="Heading 3 2" xfId="327" xr:uid="{00000000-0005-0000-0000-000050010000}"/>
    <cellStyle name="Heading 3 2 2" xfId="328" xr:uid="{00000000-0005-0000-0000-000051010000}"/>
    <cellStyle name="Heading 3 3" xfId="329" xr:uid="{00000000-0005-0000-0000-000052010000}"/>
    <cellStyle name="Heading 4" xfId="525" xr:uid="{00000000-0005-0000-0000-000053010000}"/>
    <cellStyle name="Heading 4 2" xfId="330" xr:uid="{00000000-0005-0000-0000-000054010000}"/>
    <cellStyle name="Heading 4 2 2" xfId="331" xr:uid="{00000000-0005-0000-0000-000055010000}"/>
    <cellStyle name="Heading 4 3" xfId="332" xr:uid="{00000000-0005-0000-0000-000056010000}"/>
    <cellStyle name="Input 2" xfId="333" xr:uid="{00000000-0005-0000-0000-000057010000}"/>
    <cellStyle name="Linked Cell" xfId="530" xr:uid="{00000000-0005-0000-0000-000058010000}"/>
    <cellStyle name="Linked Cell 2" xfId="334" xr:uid="{00000000-0005-0000-0000-000059010000}"/>
    <cellStyle name="Neutral" xfId="335" builtinId="28" customBuiltin="1"/>
    <cellStyle name="Normal" xfId="0" builtinId="0"/>
    <cellStyle name="Normal 2" xfId="336" xr:uid="{00000000-0005-0000-0000-00005B010000}"/>
    <cellStyle name="Note" xfId="342" xr:uid="{00000000-0005-0000-0000-00005C010000}"/>
    <cellStyle name="Note 2" xfId="337" xr:uid="{00000000-0005-0000-0000-00005D010000}"/>
    <cellStyle name="Note 2 2" xfId="338" xr:uid="{00000000-0005-0000-0000-00005E010000}"/>
    <cellStyle name="Note 3" xfId="339" xr:uid="{00000000-0005-0000-0000-00005F010000}"/>
    <cellStyle name="Note 4" xfId="340" xr:uid="{00000000-0005-0000-0000-000060010000}"/>
    <cellStyle name="Note 5" xfId="341" xr:uid="{00000000-0005-0000-0000-000061010000}"/>
    <cellStyle name="Note 5 2" xfId="551" xr:uid="{00000000-0005-0000-0000-000062010000}"/>
    <cellStyle name="Notiz 2" xfId="343" xr:uid="{00000000-0005-0000-0000-000063010000}"/>
    <cellStyle name="Notiz 2 2" xfId="344" xr:uid="{00000000-0005-0000-0000-000064010000}"/>
    <cellStyle name="Notiz 2 2 2" xfId="345" xr:uid="{00000000-0005-0000-0000-000065010000}"/>
    <cellStyle name="Notiz 2 2 2 2" xfId="346" xr:uid="{00000000-0005-0000-0000-000066010000}"/>
    <cellStyle name="Notiz 2 2 2 2 2" xfId="347" xr:uid="{00000000-0005-0000-0000-000067010000}"/>
    <cellStyle name="Notiz 2 2 2 3" xfId="348" xr:uid="{00000000-0005-0000-0000-000068010000}"/>
    <cellStyle name="Notiz 2 2 3" xfId="349" xr:uid="{00000000-0005-0000-0000-000069010000}"/>
    <cellStyle name="Notiz 2 2 3 2" xfId="350" xr:uid="{00000000-0005-0000-0000-00006A010000}"/>
    <cellStyle name="Notiz 2 2 4" xfId="351" xr:uid="{00000000-0005-0000-0000-00006B010000}"/>
    <cellStyle name="Notiz 2 2 4 2" xfId="352" xr:uid="{00000000-0005-0000-0000-00006C010000}"/>
    <cellStyle name="Notiz 2 2 4 3" xfId="353" xr:uid="{00000000-0005-0000-0000-00006D010000}"/>
    <cellStyle name="Notiz 2 2 4 3 2" xfId="354" xr:uid="{00000000-0005-0000-0000-00006E010000}"/>
    <cellStyle name="Notiz 2 2 4 3 3" xfId="355" xr:uid="{00000000-0005-0000-0000-00006F010000}"/>
    <cellStyle name="Notiz 2 2 4 4" xfId="356" xr:uid="{00000000-0005-0000-0000-000070010000}"/>
    <cellStyle name="Notiz 2 2 4 4 2" xfId="552" xr:uid="{00000000-0005-0000-0000-000071010000}"/>
    <cellStyle name="Notiz 2 2 5" xfId="357" xr:uid="{00000000-0005-0000-0000-000072010000}"/>
    <cellStyle name="Notiz 2 2 5 2" xfId="358" xr:uid="{00000000-0005-0000-0000-000073010000}"/>
    <cellStyle name="Notiz 2 2 5 3" xfId="359" xr:uid="{00000000-0005-0000-0000-000074010000}"/>
    <cellStyle name="Notiz 2 2 5 4" xfId="360" xr:uid="{00000000-0005-0000-0000-000075010000}"/>
    <cellStyle name="Notiz 2 2 5 4 2" xfId="553" xr:uid="{00000000-0005-0000-0000-000076010000}"/>
    <cellStyle name="Notiz 2 3" xfId="361" xr:uid="{00000000-0005-0000-0000-000077010000}"/>
    <cellStyle name="Notiz 2 3 2" xfId="362" xr:uid="{00000000-0005-0000-0000-000078010000}"/>
    <cellStyle name="Notiz 2 3 2 2" xfId="363" xr:uid="{00000000-0005-0000-0000-000079010000}"/>
    <cellStyle name="Notiz 2 3 3" xfId="364" xr:uid="{00000000-0005-0000-0000-00007A010000}"/>
    <cellStyle name="Notiz 2 4" xfId="365" xr:uid="{00000000-0005-0000-0000-00007B010000}"/>
    <cellStyle name="Notiz 2 4 2" xfId="366" xr:uid="{00000000-0005-0000-0000-00007C010000}"/>
    <cellStyle name="Notiz 2 5" xfId="367" xr:uid="{00000000-0005-0000-0000-00007D010000}"/>
    <cellStyle name="Notiz 3" xfId="368" xr:uid="{00000000-0005-0000-0000-00007E010000}"/>
    <cellStyle name="Notiz 3 2" xfId="369" xr:uid="{00000000-0005-0000-0000-00007F010000}"/>
    <cellStyle name="Notiz 3 2 2" xfId="370" xr:uid="{00000000-0005-0000-0000-000080010000}"/>
    <cellStyle name="Notiz 3 2 2 2" xfId="371" xr:uid="{00000000-0005-0000-0000-000081010000}"/>
    <cellStyle name="Notiz 3 2 3" xfId="372" xr:uid="{00000000-0005-0000-0000-000082010000}"/>
    <cellStyle name="Notiz 3 3" xfId="373" xr:uid="{00000000-0005-0000-0000-000083010000}"/>
    <cellStyle name="Notiz 3 3 2" xfId="374" xr:uid="{00000000-0005-0000-0000-000084010000}"/>
    <cellStyle name="Notiz 3 4" xfId="375" xr:uid="{00000000-0005-0000-0000-000085010000}"/>
    <cellStyle name="Notiz 4" xfId="376" xr:uid="{00000000-0005-0000-0000-000086010000}"/>
    <cellStyle name="Notiz 4 2" xfId="377" xr:uid="{00000000-0005-0000-0000-000087010000}"/>
    <cellStyle name="Notiz 4 2 2" xfId="378" xr:uid="{00000000-0005-0000-0000-000088010000}"/>
    <cellStyle name="Notiz 4 3" xfId="379" xr:uid="{00000000-0005-0000-0000-000089010000}"/>
    <cellStyle name="Notiz 5" xfId="380" xr:uid="{00000000-0005-0000-0000-00008A010000}"/>
    <cellStyle name="Notiz 5 2" xfId="381" xr:uid="{00000000-0005-0000-0000-00008B010000}"/>
    <cellStyle name="Notiz 5 2 2" xfId="382" xr:uid="{00000000-0005-0000-0000-00008C010000}"/>
    <cellStyle name="Notiz 5 3" xfId="383" xr:uid="{00000000-0005-0000-0000-00008D010000}"/>
    <cellStyle name="Notiz 6" xfId="384" xr:uid="{00000000-0005-0000-0000-00008E010000}"/>
    <cellStyle name="Notiz 6 2" xfId="385" xr:uid="{00000000-0005-0000-0000-00008F010000}"/>
    <cellStyle name="Notiz 7" xfId="386" xr:uid="{00000000-0005-0000-0000-000090010000}"/>
    <cellStyle name="Notiz 8" xfId="387" xr:uid="{00000000-0005-0000-0000-000091010000}"/>
    <cellStyle name="Output 2" xfId="388" xr:uid="{00000000-0005-0000-0000-000092010000}"/>
    <cellStyle name="Percent" xfId="389" builtinId="5"/>
    <cellStyle name="Percent 2" xfId="554" xr:uid="{00000000-0005-0000-0000-000093010000}"/>
    <cellStyle name="Prozent 10" xfId="390" xr:uid="{00000000-0005-0000-0000-000095010000}"/>
    <cellStyle name="Prozent 10 2" xfId="391" xr:uid="{00000000-0005-0000-0000-000096010000}"/>
    <cellStyle name="Prozent 10 3" xfId="392" xr:uid="{00000000-0005-0000-0000-000097010000}"/>
    <cellStyle name="Prozent 10 4" xfId="393" xr:uid="{00000000-0005-0000-0000-000098010000}"/>
    <cellStyle name="Prozent 10 4 2" xfId="555" xr:uid="{00000000-0005-0000-0000-000099010000}"/>
    <cellStyle name="Prozent 11" xfId="394" xr:uid="{00000000-0005-0000-0000-00009A010000}"/>
    <cellStyle name="Prozent 12" xfId="395" xr:uid="{00000000-0005-0000-0000-00009B010000}"/>
    <cellStyle name="Prozent 2" xfId="396" xr:uid="{00000000-0005-0000-0000-00009C010000}"/>
    <cellStyle name="Prozent 3" xfId="397" xr:uid="{00000000-0005-0000-0000-00009D010000}"/>
    <cellStyle name="Prozent 3 2" xfId="398" xr:uid="{00000000-0005-0000-0000-00009E010000}"/>
    <cellStyle name="Prozent 3 2 2" xfId="399" xr:uid="{00000000-0005-0000-0000-00009F010000}"/>
    <cellStyle name="Prozent 3 2 2 2" xfId="400" xr:uid="{00000000-0005-0000-0000-0000A0010000}"/>
    <cellStyle name="Prozent 3 2 2 2 2" xfId="401" xr:uid="{00000000-0005-0000-0000-0000A1010000}"/>
    <cellStyle name="Prozent 3 2 2 3" xfId="402" xr:uid="{00000000-0005-0000-0000-0000A2010000}"/>
    <cellStyle name="Prozent 3 2 3" xfId="403" xr:uid="{00000000-0005-0000-0000-0000A3010000}"/>
    <cellStyle name="Prozent 3 2 3 2" xfId="404" xr:uid="{00000000-0005-0000-0000-0000A4010000}"/>
    <cellStyle name="Prozent 3 2 4" xfId="405" xr:uid="{00000000-0005-0000-0000-0000A5010000}"/>
    <cellStyle name="Prozent 3 2 4 2" xfId="406" xr:uid="{00000000-0005-0000-0000-0000A6010000}"/>
    <cellStyle name="Prozent 3 2 4 3" xfId="407" xr:uid="{00000000-0005-0000-0000-0000A7010000}"/>
    <cellStyle name="Prozent 3 2 5" xfId="408" xr:uid="{00000000-0005-0000-0000-0000A8010000}"/>
    <cellStyle name="Prozent 3 3" xfId="409" xr:uid="{00000000-0005-0000-0000-0000A9010000}"/>
    <cellStyle name="Prozent 3 3 2" xfId="410" xr:uid="{00000000-0005-0000-0000-0000AA010000}"/>
    <cellStyle name="Prozent 3 3 2 2" xfId="411" xr:uid="{00000000-0005-0000-0000-0000AB010000}"/>
    <cellStyle name="Prozent 3 3 3" xfId="412" xr:uid="{00000000-0005-0000-0000-0000AC010000}"/>
    <cellStyle name="Prozent 3 4" xfId="413" xr:uid="{00000000-0005-0000-0000-0000AD010000}"/>
    <cellStyle name="Prozent 3 4 2" xfId="414" xr:uid="{00000000-0005-0000-0000-0000AE010000}"/>
    <cellStyle name="Prozent 3 5" xfId="415" xr:uid="{00000000-0005-0000-0000-0000AF010000}"/>
    <cellStyle name="Prozent 4" xfId="416" xr:uid="{00000000-0005-0000-0000-0000B0010000}"/>
    <cellStyle name="Prozent 4 2" xfId="417" xr:uid="{00000000-0005-0000-0000-0000B1010000}"/>
    <cellStyle name="Prozent 4 2 2" xfId="418" xr:uid="{00000000-0005-0000-0000-0000B2010000}"/>
    <cellStyle name="Prozent 4 2 2 2" xfId="419" xr:uid="{00000000-0005-0000-0000-0000B3010000}"/>
    <cellStyle name="Prozent 4 2 2 2 2" xfId="420" xr:uid="{00000000-0005-0000-0000-0000B4010000}"/>
    <cellStyle name="Prozent 4 2 2 3" xfId="421" xr:uid="{00000000-0005-0000-0000-0000B5010000}"/>
    <cellStyle name="Prozent 4 2 3" xfId="422" xr:uid="{00000000-0005-0000-0000-0000B6010000}"/>
    <cellStyle name="Prozent 4 2 3 2" xfId="423" xr:uid="{00000000-0005-0000-0000-0000B7010000}"/>
    <cellStyle name="Prozent 4 2 4" xfId="424" xr:uid="{00000000-0005-0000-0000-0000B8010000}"/>
    <cellStyle name="Prozent 4 3" xfId="425" xr:uid="{00000000-0005-0000-0000-0000B9010000}"/>
    <cellStyle name="Prozent 4 3 2" xfId="426" xr:uid="{00000000-0005-0000-0000-0000BA010000}"/>
    <cellStyle name="Prozent 4 3 2 2" xfId="427" xr:uid="{00000000-0005-0000-0000-0000BB010000}"/>
    <cellStyle name="Prozent 4 3 3" xfId="428" xr:uid="{00000000-0005-0000-0000-0000BC010000}"/>
    <cellStyle name="Prozent 4 3 3 2" xfId="429" xr:uid="{00000000-0005-0000-0000-0000BD010000}"/>
    <cellStyle name="Prozent 4 3 4" xfId="430" xr:uid="{00000000-0005-0000-0000-0000BE010000}"/>
    <cellStyle name="Prozent 4 3 4 2" xfId="431" xr:uid="{00000000-0005-0000-0000-0000BF010000}"/>
    <cellStyle name="Prozent 4 3 4 3" xfId="432" xr:uid="{00000000-0005-0000-0000-0000C0010000}"/>
    <cellStyle name="Prozent 4 3 4 4" xfId="433" xr:uid="{00000000-0005-0000-0000-0000C1010000}"/>
    <cellStyle name="Prozent 4 3 4 4 2" xfId="556" xr:uid="{00000000-0005-0000-0000-0000C2010000}"/>
    <cellStyle name="Prozent 4 4" xfId="434" xr:uid="{00000000-0005-0000-0000-0000C3010000}"/>
    <cellStyle name="Prozent 4 4 2" xfId="435" xr:uid="{00000000-0005-0000-0000-0000C4010000}"/>
    <cellStyle name="Prozent 4 5" xfId="436" xr:uid="{00000000-0005-0000-0000-0000C5010000}"/>
    <cellStyle name="Prozent 5" xfId="437" xr:uid="{00000000-0005-0000-0000-0000C6010000}"/>
    <cellStyle name="Prozent 5 2" xfId="438" xr:uid="{00000000-0005-0000-0000-0000C7010000}"/>
    <cellStyle name="Prozent 5 2 2" xfId="439" xr:uid="{00000000-0005-0000-0000-0000C8010000}"/>
    <cellStyle name="Prozent 5 2 2 2" xfId="440" xr:uid="{00000000-0005-0000-0000-0000C9010000}"/>
    <cellStyle name="Prozent 5 2 3" xfId="441" xr:uid="{00000000-0005-0000-0000-0000CA010000}"/>
    <cellStyle name="Prozent 5 3" xfId="442" xr:uid="{00000000-0005-0000-0000-0000CB010000}"/>
    <cellStyle name="Prozent 5 3 2" xfId="443" xr:uid="{00000000-0005-0000-0000-0000CC010000}"/>
    <cellStyle name="Prozent 5 4" xfId="444" xr:uid="{00000000-0005-0000-0000-0000CD010000}"/>
    <cellStyle name="Prozent 5 4 2" xfId="445" xr:uid="{00000000-0005-0000-0000-0000CE010000}"/>
    <cellStyle name="Prozent 5 4 3" xfId="446" xr:uid="{00000000-0005-0000-0000-0000CF010000}"/>
    <cellStyle name="Prozent 5 4 3 2" xfId="447" xr:uid="{00000000-0005-0000-0000-0000D0010000}"/>
    <cellStyle name="Prozent 5 4 3 3" xfId="448" xr:uid="{00000000-0005-0000-0000-0000D1010000}"/>
    <cellStyle name="Prozent 5 4 4" xfId="449" xr:uid="{00000000-0005-0000-0000-0000D2010000}"/>
    <cellStyle name="Prozent 5 4 4 2" xfId="557" xr:uid="{00000000-0005-0000-0000-0000D3010000}"/>
    <cellStyle name="Prozent 5 5" xfId="450" xr:uid="{00000000-0005-0000-0000-0000D4010000}"/>
    <cellStyle name="Prozent 5 5 2" xfId="451" xr:uid="{00000000-0005-0000-0000-0000D5010000}"/>
    <cellStyle name="Prozent 5 5 3" xfId="452" xr:uid="{00000000-0005-0000-0000-0000D6010000}"/>
    <cellStyle name="Prozent 5 5 4" xfId="453" xr:uid="{00000000-0005-0000-0000-0000D7010000}"/>
    <cellStyle name="Prozent 5 5 4 2" xfId="558" xr:uid="{00000000-0005-0000-0000-0000D8010000}"/>
    <cellStyle name="Prozent 6" xfId="454" xr:uid="{00000000-0005-0000-0000-0000D9010000}"/>
    <cellStyle name="Prozent 6 2" xfId="455" xr:uid="{00000000-0005-0000-0000-0000DA010000}"/>
    <cellStyle name="Prozent 6 2 2" xfId="456" xr:uid="{00000000-0005-0000-0000-0000DB010000}"/>
    <cellStyle name="Prozent 6 3" xfId="457" xr:uid="{00000000-0005-0000-0000-0000DC010000}"/>
    <cellStyle name="Prozent 7" xfId="458" xr:uid="{00000000-0005-0000-0000-0000DD010000}"/>
    <cellStyle name="Prozent 7 2" xfId="459" xr:uid="{00000000-0005-0000-0000-0000DE010000}"/>
    <cellStyle name="Prozent 7 2 2" xfId="460" xr:uid="{00000000-0005-0000-0000-0000DF010000}"/>
    <cellStyle name="Prozent 7 3" xfId="461" xr:uid="{00000000-0005-0000-0000-0000E0010000}"/>
    <cellStyle name="Prozent 8" xfId="462" xr:uid="{00000000-0005-0000-0000-0000E1010000}"/>
    <cellStyle name="Prozent 8 2" xfId="463" xr:uid="{00000000-0005-0000-0000-0000E2010000}"/>
    <cellStyle name="Prozent 8 2 2" xfId="464" xr:uid="{00000000-0005-0000-0000-0000E3010000}"/>
    <cellStyle name="Prozent 8 2 3" xfId="465" xr:uid="{00000000-0005-0000-0000-0000E4010000}"/>
    <cellStyle name="Prozent 8 3" xfId="466" xr:uid="{00000000-0005-0000-0000-0000E5010000}"/>
    <cellStyle name="Prozent 8 3 2" xfId="467" xr:uid="{00000000-0005-0000-0000-0000E6010000}"/>
    <cellStyle name="Prozent 8 3 2 2" xfId="468" xr:uid="{00000000-0005-0000-0000-0000E7010000}"/>
    <cellStyle name="Prozent 8 3 2 3" xfId="469" xr:uid="{00000000-0005-0000-0000-0000E8010000}"/>
    <cellStyle name="Prozent 8 3 3" xfId="470" xr:uid="{00000000-0005-0000-0000-0000E9010000}"/>
    <cellStyle name="Prozent 8 3 3 2" xfId="471" xr:uid="{00000000-0005-0000-0000-0000EA010000}"/>
    <cellStyle name="Prozent 8 3 3 3" xfId="472" xr:uid="{00000000-0005-0000-0000-0000EB010000}"/>
    <cellStyle name="Prozent 9" xfId="473" xr:uid="{00000000-0005-0000-0000-0000EC010000}"/>
    <cellStyle name="Schlecht 2" xfId="475" xr:uid="{00000000-0005-0000-0000-0000ED010000}"/>
    <cellStyle name="Schlecht 3" xfId="476" xr:uid="{00000000-0005-0000-0000-0000EE010000}"/>
    <cellStyle name="Standard 2" xfId="477" xr:uid="{00000000-0005-0000-0000-0000F0010000}"/>
    <cellStyle name="Standard 2 2" xfId="478" xr:uid="{00000000-0005-0000-0000-0000F1010000}"/>
    <cellStyle name="Standard 2 2 2" xfId="479" xr:uid="{00000000-0005-0000-0000-0000F2010000}"/>
    <cellStyle name="Standard 2 2 3" xfId="480" xr:uid="{00000000-0005-0000-0000-0000F3010000}"/>
    <cellStyle name="Standard 2 3" xfId="481" xr:uid="{00000000-0005-0000-0000-0000F4010000}"/>
    <cellStyle name="Standard 2 4" xfId="482" xr:uid="{00000000-0005-0000-0000-0000F5010000}"/>
    <cellStyle name="Standard 2 5" xfId="483" xr:uid="{00000000-0005-0000-0000-0000F6010000}"/>
    <cellStyle name="Standard 2 6" xfId="484" xr:uid="{00000000-0005-0000-0000-0000F7010000}"/>
    <cellStyle name="Standard 3" xfId="485" xr:uid="{00000000-0005-0000-0000-0000F8010000}"/>
    <cellStyle name="Standard 3 2" xfId="486" xr:uid="{00000000-0005-0000-0000-0000F9010000}"/>
    <cellStyle name="Standard 3 2 2" xfId="487" xr:uid="{00000000-0005-0000-0000-0000FA010000}"/>
    <cellStyle name="Standard 3 2 2 2" xfId="488" xr:uid="{00000000-0005-0000-0000-0000FB010000}"/>
    <cellStyle name="Standard 3 2 2 2 2" xfId="489" xr:uid="{00000000-0005-0000-0000-0000FC010000}"/>
    <cellStyle name="Standard 3 2 2 3" xfId="490" xr:uid="{00000000-0005-0000-0000-0000FD010000}"/>
    <cellStyle name="Standard 3 2 3" xfId="491" xr:uid="{00000000-0005-0000-0000-0000FE010000}"/>
    <cellStyle name="Standard 3 2 3 2" xfId="492" xr:uid="{00000000-0005-0000-0000-0000FF010000}"/>
    <cellStyle name="Standard 3 2 4" xfId="493" xr:uid="{00000000-0005-0000-0000-000000020000}"/>
    <cellStyle name="Standard 3 2 4 2" xfId="494" xr:uid="{00000000-0005-0000-0000-000001020000}"/>
    <cellStyle name="Standard 3 2 4 3" xfId="495" xr:uid="{00000000-0005-0000-0000-000002020000}"/>
    <cellStyle name="Standard 3 2 5" xfId="496" xr:uid="{00000000-0005-0000-0000-000003020000}"/>
    <cellStyle name="Standard 3 2 6" xfId="497" xr:uid="{00000000-0005-0000-0000-000004020000}"/>
    <cellStyle name="Standard 3 3" xfId="498" xr:uid="{00000000-0005-0000-0000-000005020000}"/>
    <cellStyle name="Standard 3 3 2" xfId="499" xr:uid="{00000000-0005-0000-0000-000006020000}"/>
    <cellStyle name="Standard 3 3 2 2" xfId="500" xr:uid="{00000000-0005-0000-0000-000007020000}"/>
    <cellStyle name="Standard 3 3 3" xfId="501" xr:uid="{00000000-0005-0000-0000-000008020000}"/>
    <cellStyle name="Standard 3 4" xfId="502" xr:uid="{00000000-0005-0000-0000-000009020000}"/>
    <cellStyle name="Standard 3 4 2" xfId="503" xr:uid="{00000000-0005-0000-0000-00000A020000}"/>
    <cellStyle name="Standard 3 5" xfId="504" xr:uid="{00000000-0005-0000-0000-00000B020000}"/>
    <cellStyle name="Standard 3 6" xfId="505" xr:uid="{00000000-0005-0000-0000-00000C020000}"/>
    <cellStyle name="Standard 4" xfId="506" xr:uid="{00000000-0005-0000-0000-00000D020000}"/>
    <cellStyle name="Standard 5" xfId="507" xr:uid="{00000000-0005-0000-0000-00000E020000}"/>
    <cellStyle name="Standard 5 2" xfId="508" xr:uid="{00000000-0005-0000-0000-00000F020000}"/>
    <cellStyle name="Standard_Bearbeitungsqualität 2011" xfId="509" xr:uid="{00000000-0005-0000-0000-000010020000}"/>
    <cellStyle name="Standard_Werte" xfId="510" xr:uid="{00000000-0005-0000-0000-000011020000}"/>
    <cellStyle name="Title" xfId="515" xr:uid="{00000000-0005-0000-0000-000012020000}"/>
    <cellStyle name="Title 2" xfId="511" xr:uid="{00000000-0005-0000-0000-000013020000}"/>
    <cellStyle name="Title 2 2" xfId="512" xr:uid="{00000000-0005-0000-0000-000014020000}"/>
    <cellStyle name="Title 3" xfId="513" xr:uid="{00000000-0005-0000-0000-000015020000}"/>
    <cellStyle name="Total 2" xfId="514" xr:uid="{00000000-0005-0000-0000-000016020000}"/>
    <cellStyle name="Überschrift 1 2" xfId="517" xr:uid="{00000000-0005-0000-0000-000017020000}"/>
    <cellStyle name="Überschrift 1 3" xfId="518" xr:uid="{00000000-0005-0000-0000-000018020000}"/>
    <cellStyle name="Überschrift 2 2" xfId="520" xr:uid="{00000000-0005-0000-0000-000019020000}"/>
    <cellStyle name="Überschrift 2 3" xfId="521" xr:uid="{00000000-0005-0000-0000-00001A020000}"/>
    <cellStyle name="Überschrift 3 2" xfId="523" xr:uid="{00000000-0005-0000-0000-00001B020000}"/>
    <cellStyle name="Überschrift 3 3" xfId="524" xr:uid="{00000000-0005-0000-0000-00001C020000}"/>
    <cellStyle name="Überschrift 4 2" xfId="526" xr:uid="{00000000-0005-0000-0000-00001D020000}"/>
    <cellStyle name="Überschrift 4 3" xfId="527" xr:uid="{00000000-0005-0000-0000-00001E020000}"/>
    <cellStyle name="Überschrift 5" xfId="528" xr:uid="{00000000-0005-0000-0000-00001F020000}"/>
    <cellStyle name="Überschrift 6" xfId="529" xr:uid="{00000000-0005-0000-0000-000020020000}"/>
    <cellStyle name="Verknüpfte Zelle 2" xfId="531" xr:uid="{00000000-0005-0000-0000-000021020000}"/>
    <cellStyle name="Verknüpfte Zelle 3" xfId="532" xr:uid="{00000000-0005-0000-0000-000022020000}"/>
    <cellStyle name="Warnender Text 2" xfId="533" xr:uid="{00000000-0005-0000-0000-000023020000}"/>
    <cellStyle name="Warnender Text 2 2" xfId="534" xr:uid="{00000000-0005-0000-0000-000024020000}"/>
    <cellStyle name="Warnender Text 2 3" xfId="535" xr:uid="{00000000-0005-0000-0000-000025020000}"/>
    <cellStyle name="Warnender Text 2 3 2" xfId="536" xr:uid="{00000000-0005-0000-0000-000026020000}"/>
    <cellStyle name="Warnender Text 3" xfId="537" xr:uid="{00000000-0005-0000-0000-000027020000}"/>
    <cellStyle name="Warnender Text 4" xfId="538" xr:uid="{00000000-0005-0000-0000-000028020000}"/>
    <cellStyle name="Warnender Text 5" xfId="539" xr:uid="{00000000-0005-0000-0000-000029020000}"/>
    <cellStyle name="Warnender Text 6" xfId="540" xr:uid="{00000000-0005-0000-0000-00002A020000}"/>
    <cellStyle name="Zelle überprüfen 2" xfId="542" xr:uid="{00000000-0005-0000-0000-00002B020000}"/>
    <cellStyle name="Zelle überprüfen 2 2" xfId="543" xr:uid="{00000000-0005-0000-0000-00002C020000}"/>
    <cellStyle name="Zelle überprüfen 3" xfId="544" xr:uid="{00000000-0005-0000-0000-00002D020000}"/>
    <cellStyle name="Zelle überprüfen 4" xfId="545" xr:uid="{00000000-0005-0000-0000-00002E020000}"/>
  </cellStyles>
  <dxfs count="260">
    <dxf>
      <fill>
        <patternFill>
          <bgColor rgb="FFC0C0C0"/>
        </patternFill>
      </fill>
    </dxf>
    <dxf>
      <fill>
        <patternFill>
          <bgColor rgb="FFDCE6F1"/>
        </patternFill>
      </fill>
    </dxf>
    <dxf>
      <fill>
        <patternFill>
          <bgColor rgb="FFDCE6F1"/>
        </patternFill>
      </fill>
    </dxf>
    <dxf>
      <fill>
        <patternFill>
          <bgColor rgb="FFFFFF99"/>
        </patternFill>
      </fill>
    </dxf>
    <dxf>
      <fill>
        <patternFill>
          <bgColor rgb="FFFFFF99"/>
        </patternFill>
      </fill>
    </dxf>
    <dxf>
      <fill>
        <patternFill>
          <bgColor rgb="FFDCE6F1"/>
        </patternFill>
      </fill>
    </dxf>
    <dxf>
      <fill>
        <patternFill>
          <bgColor rgb="FFFFFF99"/>
        </patternFill>
      </fill>
    </dxf>
    <dxf>
      <fill>
        <patternFill>
          <bgColor rgb="FFFFFF99"/>
        </patternFill>
      </fill>
    </dxf>
    <dxf>
      <fill>
        <patternFill>
          <bgColor rgb="FFC0C0C0"/>
        </patternFill>
      </fill>
    </dxf>
    <dxf>
      <fill>
        <patternFill>
          <bgColor theme="0" tint="-0.24994659260841701"/>
        </patternFill>
      </fill>
    </dxf>
    <dxf>
      <fill>
        <patternFill>
          <bgColor rgb="FFDCE6F1"/>
        </patternFill>
      </fill>
    </dxf>
    <dxf>
      <fill>
        <patternFill>
          <bgColor rgb="FFFF7C80"/>
        </patternFill>
      </fill>
    </dxf>
    <dxf>
      <fill>
        <patternFill>
          <bgColor indexed="42"/>
        </patternFill>
      </fill>
    </dxf>
    <dxf>
      <fill>
        <patternFill>
          <bgColor indexed="43"/>
        </patternFill>
      </fill>
    </dxf>
    <dxf>
      <fill>
        <patternFill>
          <bgColor indexed="10"/>
        </patternFill>
      </fill>
    </dxf>
    <dxf>
      <fill>
        <patternFill>
          <bgColor rgb="FFFF7C80"/>
        </patternFill>
      </fill>
    </dxf>
    <dxf>
      <fill>
        <patternFill>
          <bgColor rgb="FFFF7C80"/>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4"/>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10"/>
        </patternFill>
      </fill>
    </dxf>
    <dxf>
      <fill>
        <patternFill>
          <bgColor theme="0" tint="-0.24994659260841701"/>
        </patternFill>
      </fill>
    </dxf>
    <dxf>
      <fill>
        <patternFill>
          <bgColor indexed="42"/>
        </patternFill>
      </fill>
    </dxf>
    <dxf>
      <fill>
        <patternFill>
          <bgColor indexed="10"/>
        </patternFill>
      </fill>
    </dxf>
    <dxf>
      <fill>
        <patternFill>
          <bgColor indexed="9"/>
        </patternFill>
      </fill>
    </dxf>
    <dxf>
      <fill>
        <patternFill>
          <bgColor indexed="42"/>
        </patternFill>
      </fill>
    </dxf>
    <dxf>
      <fill>
        <patternFill>
          <bgColor indexed="43"/>
        </patternFill>
      </fill>
    </dxf>
    <dxf>
      <fill>
        <patternFill>
          <bgColor indexed="42"/>
        </patternFill>
      </fill>
    </dxf>
    <dxf>
      <fill>
        <patternFill patternType="none">
          <bgColor indexed="65"/>
        </patternFill>
      </fill>
    </dxf>
    <dxf>
      <fill>
        <patternFill>
          <bgColor theme="0" tint="-0.24994659260841701"/>
        </patternFill>
      </fill>
    </dxf>
    <dxf>
      <fill>
        <patternFill>
          <bgColor indexed="10"/>
        </patternFill>
      </fill>
    </dxf>
    <dxf>
      <fill>
        <patternFill patternType="none">
          <bgColor indexed="65"/>
        </patternFill>
      </fill>
    </dxf>
    <dxf>
      <fill>
        <patternFill>
          <bgColor indexed="23"/>
        </patternFill>
      </fill>
    </dxf>
    <dxf>
      <fill>
        <patternFill>
          <bgColor theme="0" tint="-0.24994659260841701"/>
        </patternFill>
      </fill>
    </dxf>
    <dxf>
      <fill>
        <patternFill>
          <bgColor indexed="23"/>
        </patternFill>
      </fill>
    </dxf>
    <dxf>
      <fill>
        <patternFill>
          <bgColor rgb="FFCCFFCA"/>
        </patternFill>
      </fill>
    </dxf>
    <dxf>
      <fill>
        <patternFill>
          <bgColor rgb="FFFF7C80"/>
        </patternFill>
      </fill>
    </dxf>
    <dxf>
      <fill>
        <patternFill>
          <bgColor rgb="FFFF7C80"/>
        </patternFill>
      </fill>
    </dxf>
    <dxf>
      <fill>
        <patternFill>
          <bgColor indexed="23"/>
        </patternFill>
      </fill>
    </dxf>
    <dxf>
      <fill>
        <patternFill>
          <bgColor theme="0" tint="-0.24994659260841701"/>
        </patternFill>
      </fill>
    </dxf>
    <dxf>
      <fill>
        <patternFill>
          <bgColor rgb="FFDCE6F1"/>
        </patternFill>
      </fill>
    </dxf>
    <dxf>
      <fill>
        <patternFill>
          <bgColor rgb="FFFF7C80"/>
        </patternFill>
      </fill>
    </dxf>
    <dxf>
      <fill>
        <patternFill>
          <bgColor indexed="42"/>
        </patternFill>
      </fill>
    </dxf>
    <dxf>
      <fill>
        <patternFill>
          <bgColor indexed="43"/>
        </patternFill>
      </fill>
    </dxf>
    <dxf>
      <fill>
        <patternFill>
          <bgColor indexed="10"/>
        </patternFill>
      </fill>
    </dxf>
    <dxf>
      <fill>
        <patternFill>
          <bgColor rgb="FFFF7C80"/>
        </patternFill>
      </fill>
    </dxf>
    <dxf>
      <fill>
        <patternFill>
          <bgColor rgb="FFFF7C80"/>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4"/>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10"/>
        </patternFill>
      </fill>
    </dxf>
    <dxf>
      <fill>
        <patternFill>
          <bgColor theme="0" tint="-0.24994659260841701"/>
        </patternFill>
      </fill>
    </dxf>
    <dxf>
      <fill>
        <patternFill>
          <bgColor indexed="42"/>
        </patternFill>
      </fill>
    </dxf>
    <dxf>
      <fill>
        <patternFill>
          <bgColor indexed="23"/>
        </patternFill>
      </fill>
    </dxf>
    <dxf>
      <fill>
        <patternFill>
          <bgColor indexed="10"/>
        </patternFill>
      </fill>
    </dxf>
    <dxf>
      <fill>
        <patternFill>
          <bgColor indexed="9"/>
        </patternFill>
      </fill>
    </dxf>
    <dxf>
      <fill>
        <patternFill>
          <bgColor indexed="42"/>
        </patternFill>
      </fill>
    </dxf>
    <dxf>
      <fill>
        <patternFill>
          <bgColor indexed="43"/>
        </patternFill>
      </fill>
    </dxf>
    <dxf>
      <fill>
        <patternFill>
          <bgColor indexed="42"/>
        </patternFill>
      </fill>
    </dxf>
    <dxf>
      <fill>
        <patternFill>
          <bgColor indexed="23"/>
        </patternFill>
      </fill>
    </dxf>
    <dxf>
      <fill>
        <patternFill patternType="none">
          <bgColor indexed="65"/>
        </patternFill>
      </fill>
    </dxf>
    <dxf>
      <fill>
        <patternFill>
          <bgColor theme="0" tint="-0.24994659260841701"/>
        </patternFill>
      </fill>
    </dxf>
    <dxf>
      <fill>
        <patternFill>
          <bgColor rgb="FF808080"/>
        </patternFill>
      </fill>
    </dxf>
    <dxf>
      <fill>
        <patternFill>
          <bgColor indexed="10"/>
        </patternFill>
      </fill>
    </dxf>
    <dxf>
      <fill>
        <patternFill patternType="none">
          <bgColor indexed="65"/>
        </patternFill>
      </fill>
    </dxf>
    <dxf>
      <fill>
        <patternFill>
          <bgColor indexed="23"/>
        </patternFill>
      </fill>
    </dxf>
    <dxf>
      <fill>
        <patternFill>
          <bgColor theme="0" tint="-0.24994659260841701"/>
        </patternFill>
      </fill>
    </dxf>
    <dxf>
      <fill>
        <patternFill>
          <bgColor rgb="FF808080"/>
        </patternFill>
      </fill>
    </dxf>
    <dxf>
      <fill>
        <patternFill>
          <bgColor indexed="23"/>
        </patternFill>
      </fill>
    </dxf>
    <dxf>
      <fill>
        <patternFill>
          <bgColor rgb="FFCCFFCA"/>
        </patternFill>
      </fill>
    </dxf>
    <dxf>
      <fill>
        <patternFill>
          <bgColor rgb="FFFF7C80"/>
        </patternFill>
      </fill>
    </dxf>
    <dxf>
      <fill>
        <patternFill>
          <bgColor rgb="FFFF7C80"/>
        </patternFill>
      </fill>
    </dxf>
    <dxf>
      <fill>
        <patternFill>
          <bgColor indexed="23"/>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border>
        <left style="thin">
          <color auto="1"/>
        </left>
        <right style="thin">
          <color auto="1"/>
        </right>
        <top style="thin">
          <color auto="1"/>
        </top>
        <bottom style="thin">
          <color auto="1"/>
        </bottom>
        <vertical/>
        <horizontal/>
      </border>
    </dxf>
    <dxf>
      <fill>
        <patternFill>
          <bgColor rgb="FFCCFFCC"/>
        </patternFill>
      </fill>
      <border>
        <left style="thin">
          <color auto="1"/>
        </left>
        <right style="thin">
          <color auto="1"/>
        </right>
        <top style="thin">
          <color auto="1"/>
        </top>
        <bottom style="thin">
          <color auto="1"/>
        </bottom>
        <vertical/>
        <horizontal/>
      </border>
    </dxf>
    <dxf>
      <fill>
        <patternFill>
          <bgColor rgb="FFFFFF99"/>
        </patternFill>
      </fill>
      <border>
        <left style="thin">
          <color auto="1"/>
        </left>
        <right style="thin">
          <color auto="1"/>
        </right>
        <top style="thin">
          <color auto="1"/>
        </top>
        <bottom style="thin">
          <color auto="1"/>
        </bottom>
        <vertical/>
        <horizontal/>
      </border>
    </dxf>
    <dxf>
      <fill>
        <patternFill>
          <bgColor indexed="10"/>
        </patternFill>
      </fill>
      <border>
        <left style="thin">
          <color indexed="64"/>
        </left>
        <right style="thin">
          <color indexed="64"/>
        </right>
        <top style="thin">
          <color indexed="64"/>
        </top>
        <bottom style="thin">
          <color indexed="64"/>
        </bottom>
      </border>
    </dxf>
    <dxf>
      <fill>
        <patternFill>
          <bgColor indexed="42"/>
        </patternFill>
      </fill>
      <border>
        <left style="thin">
          <color indexed="64"/>
        </left>
        <right style="thin">
          <color indexed="64"/>
        </right>
        <top style="thin">
          <color indexed="64"/>
        </top>
        <bottom style="thin">
          <color indexed="64"/>
        </bottom>
      </border>
    </dxf>
    <dxf>
      <fill>
        <patternFill>
          <bgColor indexed="43"/>
        </patternFill>
      </fill>
      <border>
        <left style="thin">
          <color indexed="64"/>
        </left>
        <right style="thin">
          <color indexed="64"/>
        </right>
        <top style="thin">
          <color indexed="64"/>
        </top>
        <bottom style="thin">
          <color indexed="64"/>
        </bottom>
      </border>
    </dxf>
    <dxf>
      <fill>
        <patternFill>
          <bgColor rgb="FFCCFFCC"/>
        </patternFill>
      </fill>
      <border>
        <left style="thin">
          <color auto="1"/>
        </left>
        <right style="thin">
          <color auto="1"/>
        </right>
        <top style="thin">
          <color auto="1"/>
        </top>
        <bottom style="thin">
          <color auto="1"/>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fill>
        <patternFill>
          <bgColor rgb="FF99FF66"/>
        </patternFill>
      </fill>
    </dxf>
    <dxf>
      <fill>
        <patternFill>
          <bgColor indexed="10"/>
        </patternFill>
      </fill>
    </dxf>
    <dxf>
      <fill>
        <patternFill>
          <bgColor indexed="42"/>
        </patternFill>
      </fill>
    </dxf>
    <dxf>
      <fill>
        <patternFill>
          <bgColor indexed="43"/>
        </patternFill>
      </fill>
    </dxf>
    <dxf>
      <fill>
        <patternFill>
          <bgColor rgb="FFCCFFCC"/>
        </patternFill>
      </fill>
    </dxf>
    <dxf>
      <fill>
        <patternFill>
          <bgColor theme="0" tint="-0.24994659260841701"/>
        </patternFill>
      </fill>
    </dxf>
    <dxf>
      <fill>
        <patternFill>
          <bgColor theme="0" tint="-0.24994659260841701"/>
        </patternFill>
      </fill>
    </dxf>
    <dxf>
      <fill>
        <patternFill>
          <bgColor theme="4" tint="0.79998168889431442"/>
        </patternFill>
      </fill>
    </dxf>
    <dxf>
      <fill>
        <patternFill>
          <bgColor rgb="FFDCE6F1"/>
        </patternFill>
      </fill>
    </dxf>
    <dxf>
      <fill>
        <patternFill>
          <bgColor theme="0" tint="-0.24994659260841701"/>
        </patternFill>
      </fill>
    </dxf>
    <dxf>
      <fill>
        <patternFill>
          <bgColor rgb="FFDCE6F1"/>
        </patternFill>
      </fill>
    </dxf>
    <dxf>
      <fill>
        <patternFill>
          <bgColor rgb="FFCCFFCC"/>
        </patternFill>
      </fill>
    </dxf>
    <dxf>
      <fill>
        <patternFill>
          <bgColor indexed="10"/>
        </patternFill>
      </fill>
    </dxf>
    <dxf>
      <fill>
        <patternFill>
          <bgColor rgb="FF99FF66"/>
        </patternFill>
      </fill>
    </dxf>
    <dxf>
      <fill>
        <patternFill>
          <bgColor indexed="42"/>
        </patternFill>
      </fill>
    </dxf>
    <dxf>
      <fill>
        <patternFill>
          <bgColor rgb="FFCCFFCC"/>
        </patternFill>
      </fill>
    </dxf>
    <dxf>
      <fill>
        <patternFill>
          <bgColor indexed="10"/>
        </patternFill>
      </fill>
    </dxf>
    <dxf>
      <fill>
        <patternFill>
          <bgColor indexed="42"/>
        </patternFill>
      </fill>
    </dxf>
    <dxf>
      <fill>
        <patternFill>
          <bgColor rgb="FF99FF66"/>
        </patternFill>
      </fill>
    </dxf>
    <dxf>
      <fill>
        <patternFill>
          <bgColor indexed="42"/>
        </patternFill>
      </fill>
    </dxf>
    <dxf>
      <fill>
        <patternFill>
          <bgColor rgb="FF99FF66"/>
        </patternFill>
      </fill>
    </dxf>
    <dxf>
      <fill>
        <patternFill>
          <bgColor indexed="42"/>
        </patternFill>
      </fill>
    </dxf>
    <dxf>
      <fill>
        <patternFill>
          <bgColor rgb="FF99FF66"/>
        </patternFill>
      </fill>
    </dxf>
    <dxf>
      <fill>
        <patternFill>
          <bgColor indexed="42"/>
        </patternFill>
      </fill>
    </dxf>
    <dxf>
      <fill>
        <patternFill>
          <bgColor rgb="FF99FF66"/>
        </patternFill>
      </fill>
    </dxf>
    <dxf>
      <fill>
        <patternFill>
          <bgColor rgb="FF99FF66"/>
        </patternFill>
      </fill>
    </dxf>
    <dxf>
      <fill>
        <patternFill>
          <bgColor indexed="42"/>
        </patternFill>
      </fill>
    </dxf>
    <dxf>
      <fill>
        <patternFill>
          <bgColor indexed="42"/>
        </patternFill>
      </fill>
    </dxf>
    <dxf>
      <fill>
        <patternFill>
          <bgColor rgb="FF99FF66"/>
        </patternFill>
      </fill>
    </dxf>
    <dxf>
      <fill>
        <patternFill>
          <bgColor rgb="FFCCFFCC"/>
        </patternFill>
      </fill>
    </dxf>
    <dxf>
      <fill>
        <patternFill>
          <bgColor rgb="FF99FF66"/>
        </patternFill>
      </fill>
    </dxf>
    <dxf>
      <fill>
        <patternFill>
          <bgColor indexed="42"/>
        </patternFill>
      </fill>
    </dxf>
    <dxf>
      <fill>
        <patternFill>
          <bgColor indexed="10"/>
        </patternFill>
      </fill>
    </dxf>
    <dxf>
      <fill>
        <patternFill>
          <bgColor rgb="FF99FF66"/>
        </patternFill>
      </fill>
    </dxf>
    <dxf>
      <fill>
        <patternFill>
          <bgColor indexed="42"/>
        </patternFill>
      </fill>
    </dxf>
    <dxf>
      <fill>
        <patternFill>
          <bgColor rgb="FFCCFFCC"/>
        </patternFill>
      </fill>
    </dxf>
    <dxf>
      <fill>
        <patternFill>
          <bgColor indexed="43"/>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rgb="FF99FF66"/>
        </patternFill>
      </fill>
    </dxf>
    <dxf>
      <fill>
        <patternFill>
          <bgColor indexed="42"/>
        </patternFill>
      </fill>
    </dxf>
    <dxf>
      <fill>
        <patternFill>
          <bgColor indexed="43"/>
        </patternFill>
      </fill>
    </dxf>
    <dxf>
      <fill>
        <patternFill>
          <bgColor rgb="FFCCFFCC"/>
        </patternFill>
      </fill>
    </dxf>
    <dxf>
      <fill>
        <patternFill>
          <bgColor rgb="FFCCFFCC"/>
        </patternFill>
      </fill>
    </dxf>
    <dxf>
      <fill>
        <patternFill>
          <bgColor rgb="FF99FF66"/>
        </patternFill>
      </fill>
    </dxf>
    <dxf>
      <fill>
        <patternFill>
          <bgColor indexed="43"/>
        </patternFill>
      </fill>
    </dxf>
    <dxf>
      <fill>
        <patternFill>
          <bgColor indexed="42"/>
        </patternFill>
      </fill>
    </dxf>
    <dxf>
      <fill>
        <patternFill>
          <bgColor rgb="FF99FF66"/>
        </patternFill>
      </fill>
    </dxf>
    <dxf>
      <fill>
        <patternFill>
          <bgColor indexed="10"/>
        </patternFill>
      </fill>
    </dxf>
    <dxf>
      <fill>
        <patternFill>
          <bgColor rgb="FFCCFFCC"/>
        </patternFill>
      </fill>
    </dxf>
    <dxf>
      <fill>
        <patternFill>
          <bgColor indexed="43"/>
        </patternFill>
      </fill>
    </dxf>
    <dxf>
      <fill>
        <patternFill>
          <bgColor rgb="FFCCFFCC"/>
        </patternFill>
      </fill>
    </dxf>
    <dxf>
      <fill>
        <patternFill>
          <bgColor rgb="FF99FF66"/>
        </patternFill>
      </fill>
    </dxf>
    <dxf>
      <fill>
        <patternFill>
          <bgColor indexed="10"/>
        </patternFill>
      </fill>
    </dxf>
    <dxf>
      <fill>
        <patternFill>
          <bgColor indexed="10"/>
        </patternFill>
      </fill>
    </dxf>
    <dxf>
      <fill>
        <patternFill>
          <bgColor indexed="42"/>
        </patternFill>
      </fill>
    </dxf>
    <dxf>
      <fill>
        <patternFill>
          <bgColor indexed="10"/>
        </patternFill>
      </fill>
    </dxf>
    <dxf>
      <fill>
        <patternFill>
          <bgColor rgb="FF99FF66"/>
        </patternFill>
      </fill>
    </dxf>
    <dxf>
      <fill>
        <patternFill>
          <bgColor indexed="10"/>
        </patternFill>
      </fill>
    </dxf>
    <dxf>
      <fill>
        <patternFill>
          <bgColor indexed="42"/>
        </patternFill>
      </fill>
    </dxf>
    <dxf>
      <fill>
        <patternFill>
          <bgColor rgb="FF99FF66"/>
        </patternFill>
      </fill>
    </dxf>
    <dxf>
      <fill>
        <patternFill>
          <bgColor indexed="10"/>
        </patternFill>
      </fill>
    </dxf>
    <dxf>
      <fill>
        <patternFill>
          <bgColor rgb="FFCCFFCC"/>
        </patternFill>
      </fill>
    </dxf>
    <dxf>
      <fill>
        <patternFill>
          <bgColor indexed="10"/>
        </patternFill>
      </fill>
    </dxf>
    <dxf>
      <fill>
        <patternFill>
          <bgColor rgb="FF99FF66"/>
        </patternFill>
      </fill>
    </dxf>
    <dxf>
      <fill>
        <patternFill>
          <bgColor indexed="42"/>
        </patternFill>
      </fill>
    </dxf>
    <dxf>
      <fill>
        <patternFill>
          <bgColor indexed="10"/>
        </patternFill>
      </fill>
    </dxf>
    <dxf>
      <fill>
        <patternFill>
          <bgColor rgb="FF99FF66"/>
        </patternFill>
      </fill>
    </dxf>
    <dxf>
      <fill>
        <patternFill>
          <bgColor indexed="42"/>
        </patternFill>
      </fill>
    </dxf>
    <dxf>
      <fill>
        <patternFill>
          <bgColor rgb="FFCCFFCC"/>
        </patternFill>
      </fill>
    </dxf>
    <dxf>
      <fill>
        <patternFill>
          <bgColor indexed="10"/>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rgb="FFDCE6F1"/>
        </patternFill>
      </fill>
    </dxf>
    <dxf>
      <fill>
        <patternFill>
          <bgColor rgb="FFC0C0C0"/>
        </patternFill>
      </fill>
    </dxf>
    <dxf>
      <fill>
        <patternFill>
          <bgColor rgb="FFFFFF99"/>
        </patternFill>
      </fill>
    </dxf>
    <dxf>
      <fill>
        <patternFill>
          <bgColor rgb="FFFFFF99"/>
        </patternFill>
      </fill>
    </dxf>
    <dxf>
      <fill>
        <patternFill>
          <bgColor rgb="FFC0C0C0"/>
        </patternFill>
      </fill>
    </dxf>
    <dxf>
      <font>
        <color rgb="FF9C0006"/>
      </font>
      <fill>
        <patternFill>
          <bgColor rgb="FFFFC7CE"/>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patternType="lightUp">
          <bgColor theme="0"/>
        </patternFill>
      </fill>
    </dxf>
    <dxf>
      <fill>
        <patternFill patternType="lightUp">
          <bgColor theme="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indexed="22"/>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7C80"/>
      <rgbColor rgb="0099FF66"/>
      <rgbColor rgb="000000FF"/>
      <rgbColor rgb="00FFFF00"/>
      <rgbColor rgb="00FF00FF"/>
      <rgbColor rgb="0000B0AC"/>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DCE6F1"/>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CCFFCC"/>
      <color rgb="FF99FF66"/>
      <color rgb="FFFFFF99"/>
      <color rgb="FFDCE6F1"/>
      <color rgb="FFFF7C80"/>
      <color rgb="FFC0C0C0"/>
      <color rgb="FF80808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3" Type="http://schemas.openxmlformats.org/officeDocument/2006/relationships/image" Target="../media/image6.png"/><Relationship Id="rId2" Type="http://schemas.openxmlformats.org/officeDocument/2006/relationships/image" Target="../media/image2.png"/><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2" Type="http://schemas.openxmlformats.org/officeDocument/2006/relationships/image" Target="../media/image8.png"/><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2.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5.png"/></Relationships>
</file>

<file path=xl/drawings/_rels/drawing7.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3" Type="http://schemas.openxmlformats.org/officeDocument/2006/relationships/image" Target="../media/image6.png"/><Relationship Id="rId2" Type="http://schemas.openxmlformats.org/officeDocument/2006/relationships/image" Target="../media/image2.png"/><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2" Type="http://schemas.openxmlformats.org/officeDocument/2006/relationships/image" Target="../media/image7.png"/><Relationship Id="rId1" Type="http://schemas.openxmlformats.org/officeDocument/2006/relationships/image" Target="../media/image2.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9.v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6</xdr:col>
      <xdr:colOff>228600</xdr:colOff>
      <xdr:row>0</xdr:row>
      <xdr:rowOff>38100</xdr:rowOff>
    </xdr:from>
    <xdr:to>
      <xdr:col>8</xdr:col>
      <xdr:colOff>38101</xdr:colOff>
      <xdr:row>3</xdr:row>
      <xdr:rowOff>152400</xdr:rowOff>
    </xdr:to>
    <xdr:pic>
      <xdr:nvPicPr>
        <xdr:cNvPr id="236030" name="Grafik 1">
          <a:extLst>
            <a:ext uri="{FF2B5EF4-FFF2-40B4-BE49-F238E27FC236}">
              <a16:creationId xmlns:a16="http://schemas.microsoft.com/office/drawing/2014/main" id="{00000000-0008-0000-0000-0000FE9903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610100" y="38100"/>
          <a:ext cx="1438275"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542925</xdr:colOff>
      <xdr:row>11</xdr:row>
      <xdr:rowOff>9525</xdr:rowOff>
    </xdr:from>
    <xdr:to>
      <xdr:col>8</xdr:col>
      <xdr:colOff>0</xdr:colOff>
      <xdr:row>11</xdr:row>
      <xdr:rowOff>104775</xdr:rowOff>
    </xdr:to>
    <xdr:pic>
      <xdr:nvPicPr>
        <xdr:cNvPr id="236031" name="Grafik 23">
          <a:extLst>
            <a:ext uri="{FF2B5EF4-FFF2-40B4-BE49-F238E27FC236}">
              <a16:creationId xmlns:a16="http://schemas.microsoft.com/office/drawing/2014/main" id="{00000000-0008-0000-0000-0000FF9903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905500" y="1914525"/>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609600</xdr:colOff>
      <xdr:row>5</xdr:row>
      <xdr:rowOff>9525</xdr:rowOff>
    </xdr:from>
    <xdr:to>
      <xdr:col>3</xdr:col>
      <xdr:colOff>0</xdr:colOff>
      <xdr:row>5</xdr:row>
      <xdr:rowOff>104775</xdr:rowOff>
    </xdr:to>
    <xdr:pic>
      <xdr:nvPicPr>
        <xdr:cNvPr id="236032" name="Grafik 26">
          <a:extLst>
            <a:ext uri="{FF2B5EF4-FFF2-40B4-BE49-F238E27FC236}">
              <a16:creationId xmlns:a16="http://schemas.microsoft.com/office/drawing/2014/main" id="{00000000-0008-0000-0000-0000009A03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419350" y="1085850"/>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752475</xdr:colOff>
      <xdr:row>20</xdr:row>
      <xdr:rowOff>9525</xdr:rowOff>
    </xdr:from>
    <xdr:to>
      <xdr:col>2</xdr:col>
      <xdr:colOff>9525</xdr:colOff>
      <xdr:row>20</xdr:row>
      <xdr:rowOff>114300</xdr:rowOff>
    </xdr:to>
    <xdr:pic>
      <xdr:nvPicPr>
        <xdr:cNvPr id="236035" name="Grafik 22">
          <a:extLst>
            <a:ext uri="{FF2B5EF4-FFF2-40B4-BE49-F238E27FC236}">
              <a16:creationId xmlns:a16="http://schemas.microsoft.com/office/drawing/2014/main" id="{00000000-0008-0000-0000-0000039A03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762125" y="36480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38100</xdr:colOff>
      <xdr:row>24</xdr:row>
      <xdr:rowOff>38100</xdr:rowOff>
    </xdr:from>
    <xdr:to>
      <xdr:col>9</xdr:col>
      <xdr:colOff>38100</xdr:colOff>
      <xdr:row>24</xdr:row>
      <xdr:rowOff>142875</xdr:rowOff>
    </xdr:to>
    <xdr:pic>
      <xdr:nvPicPr>
        <xdr:cNvPr id="236036" name="Grafik 18">
          <a:extLst>
            <a:ext uri="{FF2B5EF4-FFF2-40B4-BE49-F238E27FC236}">
              <a16:creationId xmlns:a16="http://schemas.microsoft.com/office/drawing/2014/main" id="{00000000-0008-0000-0000-0000049A03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953250" y="5114925"/>
          <a:ext cx="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990600</xdr:colOff>
      <xdr:row>24</xdr:row>
      <xdr:rowOff>9525</xdr:rowOff>
    </xdr:from>
    <xdr:to>
      <xdr:col>1</xdr:col>
      <xdr:colOff>0</xdr:colOff>
      <xdr:row>24</xdr:row>
      <xdr:rowOff>114300</xdr:rowOff>
    </xdr:to>
    <xdr:pic>
      <xdr:nvPicPr>
        <xdr:cNvPr id="236037" name="Grafik 22">
          <a:extLst>
            <a:ext uri="{FF2B5EF4-FFF2-40B4-BE49-F238E27FC236}">
              <a16:creationId xmlns:a16="http://schemas.microsoft.com/office/drawing/2014/main" id="{00000000-0008-0000-0000-0000059A03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90600" y="47148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990600</xdr:colOff>
      <xdr:row>27</xdr:row>
      <xdr:rowOff>9525</xdr:rowOff>
    </xdr:from>
    <xdr:to>
      <xdr:col>1</xdr:col>
      <xdr:colOff>0</xdr:colOff>
      <xdr:row>27</xdr:row>
      <xdr:rowOff>114300</xdr:rowOff>
    </xdr:to>
    <xdr:pic>
      <xdr:nvPicPr>
        <xdr:cNvPr id="236038" name="Grafik 22">
          <a:extLst>
            <a:ext uri="{FF2B5EF4-FFF2-40B4-BE49-F238E27FC236}">
              <a16:creationId xmlns:a16="http://schemas.microsoft.com/office/drawing/2014/main" id="{00000000-0008-0000-0000-0000069A03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90600" y="59912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742950</xdr:colOff>
      <xdr:row>27</xdr:row>
      <xdr:rowOff>9525</xdr:rowOff>
    </xdr:from>
    <xdr:to>
      <xdr:col>2</xdr:col>
      <xdr:colOff>0</xdr:colOff>
      <xdr:row>27</xdr:row>
      <xdr:rowOff>114300</xdr:rowOff>
    </xdr:to>
    <xdr:pic>
      <xdr:nvPicPr>
        <xdr:cNvPr id="236039" name="Grafik 22">
          <a:extLst>
            <a:ext uri="{FF2B5EF4-FFF2-40B4-BE49-F238E27FC236}">
              <a16:creationId xmlns:a16="http://schemas.microsoft.com/office/drawing/2014/main" id="{00000000-0008-0000-0000-0000079A03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704975" y="56197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743338</xdr:colOff>
      <xdr:row>27</xdr:row>
      <xdr:rowOff>9525</xdr:rowOff>
    </xdr:from>
    <xdr:to>
      <xdr:col>4</xdr:col>
      <xdr:colOff>845586</xdr:colOff>
      <xdr:row>27</xdr:row>
      <xdr:rowOff>114300</xdr:rowOff>
    </xdr:to>
    <xdr:pic>
      <xdr:nvPicPr>
        <xdr:cNvPr id="236041" name="Grafik 22">
          <a:extLst>
            <a:ext uri="{FF2B5EF4-FFF2-40B4-BE49-F238E27FC236}">
              <a16:creationId xmlns:a16="http://schemas.microsoft.com/office/drawing/2014/main" id="{00000000-0008-0000-0000-0000099A03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99333" y="6045265"/>
          <a:ext cx="102248"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542925</xdr:colOff>
      <xdr:row>27</xdr:row>
      <xdr:rowOff>9525</xdr:rowOff>
    </xdr:from>
    <xdr:to>
      <xdr:col>8</xdr:col>
      <xdr:colOff>0</xdr:colOff>
      <xdr:row>27</xdr:row>
      <xdr:rowOff>114300</xdr:rowOff>
    </xdr:to>
    <xdr:pic>
      <xdr:nvPicPr>
        <xdr:cNvPr id="236042" name="Grafik 22">
          <a:extLst>
            <a:ext uri="{FF2B5EF4-FFF2-40B4-BE49-F238E27FC236}">
              <a16:creationId xmlns:a16="http://schemas.microsoft.com/office/drawing/2014/main" id="{00000000-0008-0000-0000-00000A9A03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905500" y="58864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742950</xdr:colOff>
      <xdr:row>28</xdr:row>
      <xdr:rowOff>9525</xdr:rowOff>
    </xdr:from>
    <xdr:to>
      <xdr:col>2</xdr:col>
      <xdr:colOff>0</xdr:colOff>
      <xdr:row>28</xdr:row>
      <xdr:rowOff>114300</xdr:rowOff>
    </xdr:to>
    <xdr:pic>
      <xdr:nvPicPr>
        <xdr:cNvPr id="236043" name="Grafik 22">
          <a:extLst>
            <a:ext uri="{FF2B5EF4-FFF2-40B4-BE49-F238E27FC236}">
              <a16:creationId xmlns:a16="http://schemas.microsoft.com/office/drawing/2014/main" id="{00000000-0008-0000-0000-00000B9A03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704975" y="58102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742950</xdr:colOff>
      <xdr:row>29</xdr:row>
      <xdr:rowOff>9525</xdr:rowOff>
    </xdr:from>
    <xdr:to>
      <xdr:col>2</xdr:col>
      <xdr:colOff>0</xdr:colOff>
      <xdr:row>29</xdr:row>
      <xdr:rowOff>114300</xdr:rowOff>
    </xdr:to>
    <xdr:pic>
      <xdr:nvPicPr>
        <xdr:cNvPr id="236044" name="Grafik 22">
          <a:extLst>
            <a:ext uri="{FF2B5EF4-FFF2-40B4-BE49-F238E27FC236}">
              <a16:creationId xmlns:a16="http://schemas.microsoft.com/office/drawing/2014/main" id="{00000000-0008-0000-0000-00000C9A03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704975" y="60007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609600</xdr:colOff>
      <xdr:row>29</xdr:row>
      <xdr:rowOff>9525</xdr:rowOff>
    </xdr:from>
    <xdr:to>
      <xdr:col>3</xdr:col>
      <xdr:colOff>0</xdr:colOff>
      <xdr:row>29</xdr:row>
      <xdr:rowOff>114300</xdr:rowOff>
    </xdr:to>
    <xdr:pic>
      <xdr:nvPicPr>
        <xdr:cNvPr id="236046" name="Grafik 22">
          <a:extLst>
            <a:ext uri="{FF2B5EF4-FFF2-40B4-BE49-F238E27FC236}">
              <a16:creationId xmlns:a16="http://schemas.microsoft.com/office/drawing/2014/main" id="{00000000-0008-0000-0000-00000E9A03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419350" y="62007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542925</xdr:colOff>
      <xdr:row>13</xdr:row>
      <xdr:rowOff>9525</xdr:rowOff>
    </xdr:from>
    <xdr:to>
      <xdr:col>8</xdr:col>
      <xdr:colOff>0</xdr:colOff>
      <xdr:row>13</xdr:row>
      <xdr:rowOff>104775</xdr:rowOff>
    </xdr:to>
    <xdr:pic>
      <xdr:nvPicPr>
        <xdr:cNvPr id="236047" name="Grafik 23">
          <a:extLst>
            <a:ext uri="{FF2B5EF4-FFF2-40B4-BE49-F238E27FC236}">
              <a16:creationId xmlns:a16="http://schemas.microsoft.com/office/drawing/2014/main" id="{00000000-0008-0000-0000-00000F9A03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905500" y="2190750"/>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571500</xdr:colOff>
      <xdr:row>15</xdr:row>
      <xdr:rowOff>9525</xdr:rowOff>
    </xdr:from>
    <xdr:to>
      <xdr:col>4</xdr:col>
      <xdr:colOff>0</xdr:colOff>
      <xdr:row>15</xdr:row>
      <xdr:rowOff>104775</xdr:rowOff>
    </xdr:to>
    <xdr:pic>
      <xdr:nvPicPr>
        <xdr:cNvPr id="236049" name="Grafik 23">
          <a:extLst>
            <a:ext uri="{FF2B5EF4-FFF2-40B4-BE49-F238E27FC236}">
              <a16:creationId xmlns:a16="http://schemas.microsoft.com/office/drawing/2014/main" id="{00000000-0008-0000-0000-0000119A03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19375" y="1914525"/>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571500</xdr:colOff>
      <xdr:row>27</xdr:row>
      <xdr:rowOff>9525</xdr:rowOff>
    </xdr:from>
    <xdr:to>
      <xdr:col>4</xdr:col>
      <xdr:colOff>0</xdr:colOff>
      <xdr:row>27</xdr:row>
      <xdr:rowOff>114300</xdr:rowOff>
    </xdr:to>
    <xdr:pic>
      <xdr:nvPicPr>
        <xdr:cNvPr id="19" name="Grafik 22">
          <a:extLst>
            <a:ext uri="{FF2B5EF4-FFF2-40B4-BE49-F238E27FC236}">
              <a16:creationId xmlns:a16="http://schemas.microsoft.com/office/drawing/2014/main" id="{EB5696B9-2628-45F0-9A9B-7AA1020BC972}"/>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228975" y="56197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609600</xdr:colOff>
      <xdr:row>27</xdr:row>
      <xdr:rowOff>9525</xdr:rowOff>
    </xdr:from>
    <xdr:to>
      <xdr:col>3</xdr:col>
      <xdr:colOff>0</xdr:colOff>
      <xdr:row>27</xdr:row>
      <xdr:rowOff>114300</xdr:rowOff>
    </xdr:to>
    <xdr:pic>
      <xdr:nvPicPr>
        <xdr:cNvPr id="20" name="Grafik 22">
          <a:extLst>
            <a:ext uri="{FF2B5EF4-FFF2-40B4-BE49-F238E27FC236}">
              <a16:creationId xmlns:a16="http://schemas.microsoft.com/office/drawing/2014/main" id="{E9889D04-F7BF-4A07-BB31-51E3661BB71B}"/>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419350" y="58197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571500</xdr:colOff>
      <xdr:row>28</xdr:row>
      <xdr:rowOff>9525</xdr:rowOff>
    </xdr:from>
    <xdr:to>
      <xdr:col>4</xdr:col>
      <xdr:colOff>0</xdr:colOff>
      <xdr:row>28</xdr:row>
      <xdr:rowOff>114300</xdr:rowOff>
    </xdr:to>
    <xdr:pic>
      <xdr:nvPicPr>
        <xdr:cNvPr id="21" name="Grafik 22">
          <a:extLst>
            <a:ext uri="{FF2B5EF4-FFF2-40B4-BE49-F238E27FC236}">
              <a16:creationId xmlns:a16="http://schemas.microsoft.com/office/drawing/2014/main" id="{ADAE1F73-5854-42E5-A253-52A7B1312C8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228975" y="58102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571500</xdr:colOff>
      <xdr:row>29</xdr:row>
      <xdr:rowOff>9525</xdr:rowOff>
    </xdr:from>
    <xdr:to>
      <xdr:col>4</xdr:col>
      <xdr:colOff>0</xdr:colOff>
      <xdr:row>29</xdr:row>
      <xdr:rowOff>114300</xdr:rowOff>
    </xdr:to>
    <xdr:pic>
      <xdr:nvPicPr>
        <xdr:cNvPr id="22" name="Grafik 22">
          <a:extLst>
            <a:ext uri="{FF2B5EF4-FFF2-40B4-BE49-F238E27FC236}">
              <a16:creationId xmlns:a16="http://schemas.microsoft.com/office/drawing/2014/main" id="{1BB23E82-9EB2-4009-9FAD-E71EA5821004}"/>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228975" y="60007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571500</xdr:colOff>
      <xdr:row>13</xdr:row>
      <xdr:rowOff>9525</xdr:rowOff>
    </xdr:from>
    <xdr:to>
      <xdr:col>4</xdr:col>
      <xdr:colOff>0</xdr:colOff>
      <xdr:row>13</xdr:row>
      <xdr:rowOff>104775</xdr:rowOff>
    </xdr:to>
    <xdr:pic>
      <xdr:nvPicPr>
        <xdr:cNvPr id="2" name="Grafik 23">
          <a:extLst>
            <a:ext uri="{FF2B5EF4-FFF2-40B4-BE49-F238E27FC236}">
              <a16:creationId xmlns:a16="http://schemas.microsoft.com/office/drawing/2014/main" id="{FEB32D76-D4B6-48A5-B1B0-A994F6D7586D}"/>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228975" y="2181225"/>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571500</xdr:colOff>
      <xdr:row>11</xdr:row>
      <xdr:rowOff>9525</xdr:rowOff>
    </xdr:from>
    <xdr:to>
      <xdr:col>4</xdr:col>
      <xdr:colOff>0</xdr:colOff>
      <xdr:row>11</xdr:row>
      <xdr:rowOff>104775</xdr:rowOff>
    </xdr:to>
    <xdr:pic>
      <xdr:nvPicPr>
        <xdr:cNvPr id="3" name="Grafik 23">
          <a:extLst>
            <a:ext uri="{FF2B5EF4-FFF2-40B4-BE49-F238E27FC236}">
              <a16:creationId xmlns:a16="http://schemas.microsoft.com/office/drawing/2014/main" id="{26C089E2-57B7-400B-929B-E5E3FE8D338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228975" y="1905000"/>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21</xdr:col>
      <xdr:colOff>180975</xdr:colOff>
      <xdr:row>0</xdr:row>
      <xdr:rowOff>114300</xdr:rowOff>
    </xdr:from>
    <xdr:to>
      <xdr:col>25</xdr:col>
      <xdr:colOff>381000</xdr:colOff>
      <xdr:row>4</xdr:row>
      <xdr:rowOff>28575</xdr:rowOff>
    </xdr:to>
    <xdr:pic>
      <xdr:nvPicPr>
        <xdr:cNvPr id="228930" name="Grafik 1">
          <a:extLst>
            <a:ext uri="{FF2B5EF4-FFF2-40B4-BE49-F238E27FC236}">
              <a16:creationId xmlns:a16="http://schemas.microsoft.com/office/drawing/2014/main" id="{00000000-0008-0000-0F00-0000427E03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286625" y="114300"/>
          <a:ext cx="1438275"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22</xdr:col>
      <xdr:colOff>257175</xdr:colOff>
      <xdr:row>5</xdr:row>
      <xdr:rowOff>9525</xdr:rowOff>
    </xdr:from>
    <xdr:to>
      <xdr:col>23</xdr:col>
      <xdr:colOff>0</xdr:colOff>
      <xdr:row>5</xdr:row>
      <xdr:rowOff>104775</xdr:rowOff>
    </xdr:to>
    <xdr:pic>
      <xdr:nvPicPr>
        <xdr:cNvPr id="228931" name="Grafik 4">
          <a:extLst>
            <a:ext uri="{FF2B5EF4-FFF2-40B4-BE49-F238E27FC236}">
              <a16:creationId xmlns:a16="http://schemas.microsoft.com/office/drawing/2014/main" id="{00000000-0008-0000-0F00-0000437E03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715250" y="876300"/>
          <a:ext cx="9525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22</xdr:col>
      <xdr:colOff>247650</xdr:colOff>
      <xdr:row>7</xdr:row>
      <xdr:rowOff>9525</xdr:rowOff>
    </xdr:from>
    <xdr:to>
      <xdr:col>23</xdr:col>
      <xdr:colOff>0</xdr:colOff>
      <xdr:row>7</xdr:row>
      <xdr:rowOff>114300</xdr:rowOff>
    </xdr:to>
    <xdr:pic>
      <xdr:nvPicPr>
        <xdr:cNvPr id="228932" name="Grafik 5">
          <a:extLst>
            <a:ext uri="{FF2B5EF4-FFF2-40B4-BE49-F238E27FC236}">
              <a16:creationId xmlns:a16="http://schemas.microsoft.com/office/drawing/2014/main" id="{00000000-0008-0000-0F00-0000447E03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705725" y="11525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12</xdr:col>
      <xdr:colOff>428625</xdr:colOff>
      <xdr:row>30</xdr:row>
      <xdr:rowOff>9525</xdr:rowOff>
    </xdr:from>
    <xdr:to>
      <xdr:col>13</xdr:col>
      <xdr:colOff>0</xdr:colOff>
      <xdr:row>30</xdr:row>
      <xdr:rowOff>104775</xdr:rowOff>
    </xdr:to>
    <xdr:pic>
      <xdr:nvPicPr>
        <xdr:cNvPr id="228933" name="Grafik 6">
          <a:extLst>
            <a:ext uri="{FF2B5EF4-FFF2-40B4-BE49-F238E27FC236}">
              <a16:creationId xmlns:a16="http://schemas.microsoft.com/office/drawing/2014/main" id="{00000000-0008-0000-0F00-0000457E03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4848225" y="65341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247650</xdr:colOff>
      <xdr:row>7</xdr:row>
      <xdr:rowOff>9525</xdr:rowOff>
    </xdr:from>
    <xdr:to>
      <xdr:col>10</xdr:col>
      <xdr:colOff>0</xdr:colOff>
      <xdr:row>7</xdr:row>
      <xdr:rowOff>114300</xdr:rowOff>
    </xdr:to>
    <xdr:pic>
      <xdr:nvPicPr>
        <xdr:cNvPr id="228934" name="Grafik 5">
          <a:extLst>
            <a:ext uri="{FF2B5EF4-FFF2-40B4-BE49-F238E27FC236}">
              <a16:creationId xmlns:a16="http://schemas.microsoft.com/office/drawing/2014/main" id="{00000000-0008-0000-0F00-0000467E03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609975" y="11525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5</xdr:col>
      <xdr:colOff>1333500</xdr:colOff>
      <xdr:row>5</xdr:row>
      <xdr:rowOff>9525</xdr:rowOff>
    </xdr:from>
    <xdr:to>
      <xdr:col>6</xdr:col>
      <xdr:colOff>0</xdr:colOff>
      <xdr:row>5</xdr:row>
      <xdr:rowOff>114300</xdr:rowOff>
    </xdr:to>
    <xdr:pic>
      <xdr:nvPicPr>
        <xdr:cNvPr id="234692" name="Grafik 3">
          <a:extLst>
            <a:ext uri="{FF2B5EF4-FFF2-40B4-BE49-F238E27FC236}">
              <a16:creationId xmlns:a16="http://schemas.microsoft.com/office/drawing/2014/main" id="{00000000-0008-0000-1200-0000C494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277225" y="90487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1333500</xdr:colOff>
      <xdr:row>7</xdr:row>
      <xdr:rowOff>9525</xdr:rowOff>
    </xdr:from>
    <xdr:to>
      <xdr:col>6</xdr:col>
      <xdr:colOff>0</xdr:colOff>
      <xdr:row>7</xdr:row>
      <xdr:rowOff>104775</xdr:rowOff>
    </xdr:to>
    <xdr:pic>
      <xdr:nvPicPr>
        <xdr:cNvPr id="234693" name="Grafik 4">
          <a:extLst>
            <a:ext uri="{FF2B5EF4-FFF2-40B4-BE49-F238E27FC236}">
              <a16:creationId xmlns:a16="http://schemas.microsoft.com/office/drawing/2014/main" id="{00000000-0008-0000-1200-0000C594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277225" y="1181100"/>
          <a:ext cx="11430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1285875</xdr:colOff>
      <xdr:row>7</xdr:row>
      <xdr:rowOff>9525</xdr:rowOff>
    </xdr:from>
    <xdr:to>
      <xdr:col>3</xdr:col>
      <xdr:colOff>0</xdr:colOff>
      <xdr:row>7</xdr:row>
      <xdr:rowOff>114300</xdr:rowOff>
    </xdr:to>
    <xdr:pic>
      <xdr:nvPicPr>
        <xdr:cNvPr id="234694" name="Grafik 5">
          <a:extLst>
            <a:ext uri="{FF2B5EF4-FFF2-40B4-BE49-F238E27FC236}">
              <a16:creationId xmlns:a16="http://schemas.microsoft.com/office/drawing/2014/main" id="{00000000-0008-0000-1200-0000C694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52850" y="11811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1428750</xdr:colOff>
      <xdr:row>16</xdr:row>
      <xdr:rowOff>9525</xdr:rowOff>
    </xdr:from>
    <xdr:to>
      <xdr:col>2</xdr:col>
      <xdr:colOff>0</xdr:colOff>
      <xdr:row>16</xdr:row>
      <xdr:rowOff>114300</xdr:rowOff>
    </xdr:to>
    <xdr:pic>
      <xdr:nvPicPr>
        <xdr:cNvPr id="234695" name="Grafik 5">
          <a:extLst>
            <a:ext uri="{FF2B5EF4-FFF2-40B4-BE49-F238E27FC236}">
              <a16:creationId xmlns:a16="http://schemas.microsoft.com/office/drawing/2014/main" id="{00000000-0008-0000-1200-0000C794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71725" y="253365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885825</xdr:colOff>
      <xdr:row>1</xdr:row>
      <xdr:rowOff>28575</xdr:rowOff>
    </xdr:from>
    <xdr:to>
      <xdr:col>6</xdr:col>
      <xdr:colOff>695325</xdr:colOff>
      <xdr:row>2</xdr:row>
      <xdr:rowOff>114300</xdr:rowOff>
    </xdr:to>
    <xdr:pic>
      <xdr:nvPicPr>
        <xdr:cNvPr id="234696" name="Grafik 1">
          <a:extLst>
            <a:ext uri="{FF2B5EF4-FFF2-40B4-BE49-F238E27FC236}">
              <a16:creationId xmlns:a16="http://schemas.microsoft.com/office/drawing/2014/main" id="{00000000-0008-0000-1200-0000C89403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829550" y="152400"/>
          <a:ext cx="12573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142875</xdr:colOff>
      <xdr:row>0</xdr:row>
      <xdr:rowOff>0</xdr:rowOff>
    </xdr:from>
    <xdr:to>
      <xdr:col>5</xdr:col>
      <xdr:colOff>66675</xdr:colOff>
      <xdr:row>3</xdr:row>
      <xdr:rowOff>28575</xdr:rowOff>
    </xdr:to>
    <xdr:pic>
      <xdr:nvPicPr>
        <xdr:cNvPr id="2" name="Grafik 1">
          <a:extLst>
            <a:ext uri="{FF2B5EF4-FFF2-40B4-BE49-F238E27FC236}">
              <a16:creationId xmlns:a16="http://schemas.microsoft.com/office/drawing/2014/main" id="{6C31376E-70F7-435D-BDEB-99D1933D281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724900" y="0"/>
          <a:ext cx="1304925"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1276350</xdr:colOff>
      <xdr:row>4</xdr:row>
      <xdr:rowOff>0</xdr:rowOff>
    </xdr:from>
    <xdr:to>
      <xdr:col>5</xdr:col>
      <xdr:colOff>0</xdr:colOff>
      <xdr:row>4</xdr:row>
      <xdr:rowOff>104775</xdr:rowOff>
    </xdr:to>
    <xdr:pic>
      <xdr:nvPicPr>
        <xdr:cNvPr id="3" name="Grafik 15">
          <a:extLst>
            <a:ext uri="{FF2B5EF4-FFF2-40B4-BE49-F238E27FC236}">
              <a16:creationId xmlns:a16="http://schemas.microsoft.com/office/drawing/2014/main" id="{D519BDD2-9EF8-447D-8086-A1233D4ABB6F}"/>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858375" y="6858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1285875</xdr:colOff>
      <xdr:row>9</xdr:row>
      <xdr:rowOff>9525</xdr:rowOff>
    </xdr:from>
    <xdr:to>
      <xdr:col>4</xdr:col>
      <xdr:colOff>9525</xdr:colOff>
      <xdr:row>9</xdr:row>
      <xdr:rowOff>114300</xdr:rowOff>
    </xdr:to>
    <xdr:pic>
      <xdr:nvPicPr>
        <xdr:cNvPr id="4" name="Grafik 15">
          <a:extLst>
            <a:ext uri="{FF2B5EF4-FFF2-40B4-BE49-F238E27FC236}">
              <a16:creationId xmlns:a16="http://schemas.microsoft.com/office/drawing/2014/main" id="{29BEE86E-1956-4A26-BB87-75DB86771D7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486775" y="19621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1276350</xdr:colOff>
      <xdr:row>9</xdr:row>
      <xdr:rowOff>9525</xdr:rowOff>
    </xdr:from>
    <xdr:to>
      <xdr:col>5</xdr:col>
      <xdr:colOff>0</xdr:colOff>
      <xdr:row>9</xdr:row>
      <xdr:rowOff>114300</xdr:rowOff>
    </xdr:to>
    <xdr:pic>
      <xdr:nvPicPr>
        <xdr:cNvPr id="5" name="Grafik 15">
          <a:extLst>
            <a:ext uri="{FF2B5EF4-FFF2-40B4-BE49-F238E27FC236}">
              <a16:creationId xmlns:a16="http://schemas.microsoft.com/office/drawing/2014/main" id="{85350467-CF7B-479C-B31C-6D55500C7725}"/>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858375" y="19621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3019425</xdr:colOff>
      <xdr:row>8</xdr:row>
      <xdr:rowOff>0</xdr:rowOff>
    </xdr:from>
    <xdr:to>
      <xdr:col>1</xdr:col>
      <xdr:colOff>9525</xdr:colOff>
      <xdr:row>8</xdr:row>
      <xdr:rowOff>104775</xdr:rowOff>
    </xdr:to>
    <xdr:pic>
      <xdr:nvPicPr>
        <xdr:cNvPr id="6" name="Grafik 15">
          <a:extLst>
            <a:ext uri="{FF2B5EF4-FFF2-40B4-BE49-F238E27FC236}">
              <a16:creationId xmlns:a16="http://schemas.microsoft.com/office/drawing/2014/main" id="{90D1C75B-E4FA-4A24-97A2-3A2EE815AE86}"/>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19425" y="17145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7</xdr:col>
      <xdr:colOff>2124075</xdr:colOff>
      <xdr:row>0</xdr:row>
      <xdr:rowOff>9525</xdr:rowOff>
    </xdr:from>
    <xdr:to>
      <xdr:col>8</xdr:col>
      <xdr:colOff>85725</xdr:colOff>
      <xdr:row>3</xdr:row>
      <xdr:rowOff>38100</xdr:rowOff>
    </xdr:to>
    <xdr:pic>
      <xdr:nvPicPr>
        <xdr:cNvPr id="2" name="Grafik 1">
          <a:extLst>
            <a:ext uri="{FF2B5EF4-FFF2-40B4-BE49-F238E27FC236}">
              <a16:creationId xmlns:a16="http://schemas.microsoft.com/office/drawing/2014/main" id="{E803AF65-98E6-4695-B577-C858C4C1A2A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268325" y="9525"/>
          <a:ext cx="1304925"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962025</xdr:colOff>
      <xdr:row>5</xdr:row>
      <xdr:rowOff>9525</xdr:rowOff>
    </xdr:from>
    <xdr:to>
      <xdr:col>2</xdr:col>
      <xdr:colOff>9525</xdr:colOff>
      <xdr:row>5</xdr:row>
      <xdr:rowOff>114300</xdr:rowOff>
    </xdr:to>
    <xdr:pic>
      <xdr:nvPicPr>
        <xdr:cNvPr id="6" name="Grafik 15">
          <a:extLst>
            <a:ext uri="{FF2B5EF4-FFF2-40B4-BE49-F238E27FC236}">
              <a16:creationId xmlns:a16="http://schemas.microsoft.com/office/drawing/2014/main" id="{2862B183-C331-4878-AD9E-C85D049D76F7}"/>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133725" y="8572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3219450</xdr:colOff>
      <xdr:row>5</xdr:row>
      <xdr:rowOff>0</xdr:rowOff>
    </xdr:from>
    <xdr:to>
      <xdr:col>4</xdr:col>
      <xdr:colOff>9525</xdr:colOff>
      <xdr:row>5</xdr:row>
      <xdr:rowOff>104775</xdr:rowOff>
    </xdr:to>
    <xdr:pic>
      <xdr:nvPicPr>
        <xdr:cNvPr id="7" name="Grafik 15">
          <a:extLst>
            <a:ext uri="{FF2B5EF4-FFF2-40B4-BE49-F238E27FC236}">
              <a16:creationId xmlns:a16="http://schemas.microsoft.com/office/drawing/2014/main" id="{853ED7F0-475A-9456-8FCA-E3EA2A31879E}"/>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096250" y="8477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800100</xdr:colOff>
      <xdr:row>5</xdr:row>
      <xdr:rowOff>9525</xdr:rowOff>
    </xdr:from>
    <xdr:to>
      <xdr:col>5</xdr:col>
      <xdr:colOff>9525</xdr:colOff>
      <xdr:row>5</xdr:row>
      <xdr:rowOff>114300</xdr:rowOff>
    </xdr:to>
    <xdr:pic>
      <xdr:nvPicPr>
        <xdr:cNvPr id="8" name="Grafik 15">
          <a:extLst>
            <a:ext uri="{FF2B5EF4-FFF2-40B4-BE49-F238E27FC236}">
              <a16:creationId xmlns:a16="http://schemas.microsoft.com/office/drawing/2014/main" id="{DCCA9A20-BC37-484B-9047-95527170D228}"/>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991600" y="8572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7</xdr:col>
      <xdr:colOff>2124075</xdr:colOff>
      <xdr:row>0</xdr:row>
      <xdr:rowOff>9525</xdr:rowOff>
    </xdr:from>
    <xdr:to>
      <xdr:col>8</xdr:col>
      <xdr:colOff>85725</xdr:colOff>
      <xdr:row>3</xdr:row>
      <xdr:rowOff>38100</xdr:rowOff>
    </xdr:to>
    <xdr:pic>
      <xdr:nvPicPr>
        <xdr:cNvPr id="2" name="Grafik 1">
          <a:extLst>
            <a:ext uri="{FF2B5EF4-FFF2-40B4-BE49-F238E27FC236}">
              <a16:creationId xmlns:a16="http://schemas.microsoft.com/office/drawing/2014/main" id="{8154C32E-54E8-43DD-9884-EFD263D055E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411200" y="9525"/>
          <a:ext cx="1304925"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962025</xdr:colOff>
      <xdr:row>5</xdr:row>
      <xdr:rowOff>9525</xdr:rowOff>
    </xdr:from>
    <xdr:to>
      <xdr:col>2</xdr:col>
      <xdr:colOff>9525</xdr:colOff>
      <xdr:row>5</xdr:row>
      <xdr:rowOff>114300</xdr:rowOff>
    </xdr:to>
    <xdr:pic>
      <xdr:nvPicPr>
        <xdr:cNvPr id="3" name="Grafik 15">
          <a:extLst>
            <a:ext uri="{FF2B5EF4-FFF2-40B4-BE49-F238E27FC236}">
              <a16:creationId xmlns:a16="http://schemas.microsoft.com/office/drawing/2014/main" id="{4CEB7407-8F4C-473E-91E2-F0C1F56468FB}"/>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133725" y="8572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3219450</xdr:colOff>
      <xdr:row>5</xdr:row>
      <xdr:rowOff>0</xdr:rowOff>
    </xdr:from>
    <xdr:to>
      <xdr:col>4</xdr:col>
      <xdr:colOff>9525</xdr:colOff>
      <xdr:row>5</xdr:row>
      <xdr:rowOff>104775</xdr:rowOff>
    </xdr:to>
    <xdr:pic>
      <xdr:nvPicPr>
        <xdr:cNvPr id="4" name="Grafik 15">
          <a:extLst>
            <a:ext uri="{FF2B5EF4-FFF2-40B4-BE49-F238E27FC236}">
              <a16:creationId xmlns:a16="http://schemas.microsoft.com/office/drawing/2014/main" id="{CE460F6E-9CD0-4052-A297-96290A46C35E}"/>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829550" y="8477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800100</xdr:colOff>
      <xdr:row>5</xdr:row>
      <xdr:rowOff>9525</xdr:rowOff>
    </xdr:from>
    <xdr:to>
      <xdr:col>5</xdr:col>
      <xdr:colOff>9525</xdr:colOff>
      <xdr:row>5</xdr:row>
      <xdr:rowOff>114300</xdr:rowOff>
    </xdr:to>
    <xdr:pic>
      <xdr:nvPicPr>
        <xdr:cNvPr id="5" name="Grafik 15">
          <a:extLst>
            <a:ext uri="{FF2B5EF4-FFF2-40B4-BE49-F238E27FC236}">
              <a16:creationId xmlns:a16="http://schemas.microsoft.com/office/drawing/2014/main" id="{7DDE72F3-6AD3-4EE7-AF43-3B9614383DAE}"/>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8572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1276350</xdr:colOff>
      <xdr:row>5</xdr:row>
      <xdr:rowOff>9525</xdr:rowOff>
    </xdr:from>
    <xdr:to>
      <xdr:col>3</xdr:col>
      <xdr:colOff>0</xdr:colOff>
      <xdr:row>5</xdr:row>
      <xdr:rowOff>114300</xdr:rowOff>
    </xdr:to>
    <xdr:pic>
      <xdr:nvPicPr>
        <xdr:cNvPr id="6" name="Grafik 15">
          <a:extLst>
            <a:ext uri="{FF2B5EF4-FFF2-40B4-BE49-F238E27FC236}">
              <a16:creationId xmlns:a16="http://schemas.microsoft.com/office/drawing/2014/main" id="{074B2B6F-B3B4-4D1E-9140-52C1A280C49D}"/>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8572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685800</xdr:colOff>
      <xdr:row>5</xdr:row>
      <xdr:rowOff>9525</xdr:rowOff>
    </xdr:from>
    <xdr:to>
      <xdr:col>6</xdr:col>
      <xdr:colOff>0</xdr:colOff>
      <xdr:row>5</xdr:row>
      <xdr:rowOff>114300</xdr:rowOff>
    </xdr:to>
    <xdr:pic>
      <xdr:nvPicPr>
        <xdr:cNvPr id="7" name="Grafik 15">
          <a:extLst>
            <a:ext uri="{FF2B5EF4-FFF2-40B4-BE49-F238E27FC236}">
              <a16:creationId xmlns:a16="http://schemas.microsoft.com/office/drawing/2014/main" id="{1237B515-2A9C-4937-BB5F-4770C46601B9}"/>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505950" y="8572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695325</xdr:colOff>
      <xdr:row>5</xdr:row>
      <xdr:rowOff>0</xdr:rowOff>
    </xdr:from>
    <xdr:to>
      <xdr:col>7</xdr:col>
      <xdr:colOff>9525</xdr:colOff>
      <xdr:row>5</xdr:row>
      <xdr:rowOff>104775</xdr:rowOff>
    </xdr:to>
    <xdr:pic>
      <xdr:nvPicPr>
        <xdr:cNvPr id="8" name="Grafik 15">
          <a:extLst>
            <a:ext uri="{FF2B5EF4-FFF2-40B4-BE49-F238E27FC236}">
              <a16:creationId xmlns:a16="http://schemas.microsoft.com/office/drawing/2014/main" id="{CDB2D5B7-1E3D-4925-A11C-3B0E175016D9}"/>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0306050" y="8477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685800</xdr:colOff>
      <xdr:row>22</xdr:row>
      <xdr:rowOff>9525</xdr:rowOff>
    </xdr:from>
    <xdr:to>
      <xdr:col>6</xdr:col>
      <xdr:colOff>0</xdr:colOff>
      <xdr:row>22</xdr:row>
      <xdr:rowOff>114300</xdr:rowOff>
    </xdr:to>
    <xdr:pic>
      <xdr:nvPicPr>
        <xdr:cNvPr id="9" name="Grafik 15">
          <a:extLst>
            <a:ext uri="{FF2B5EF4-FFF2-40B4-BE49-F238E27FC236}">
              <a16:creationId xmlns:a16="http://schemas.microsoft.com/office/drawing/2014/main" id="{F3F272EB-C5FE-4350-A79A-87B7514D7EE4}"/>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505950" y="66960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676275</xdr:colOff>
      <xdr:row>22</xdr:row>
      <xdr:rowOff>9525</xdr:rowOff>
    </xdr:from>
    <xdr:to>
      <xdr:col>6</xdr:col>
      <xdr:colOff>781050</xdr:colOff>
      <xdr:row>22</xdr:row>
      <xdr:rowOff>114300</xdr:rowOff>
    </xdr:to>
    <xdr:pic>
      <xdr:nvPicPr>
        <xdr:cNvPr id="10" name="Grafik 15">
          <a:extLst>
            <a:ext uri="{FF2B5EF4-FFF2-40B4-BE49-F238E27FC236}">
              <a16:creationId xmlns:a16="http://schemas.microsoft.com/office/drawing/2014/main" id="{8F2F667D-9DF4-4CE5-B30E-29499E382BBA}"/>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0287000" y="66960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13</xdr:col>
      <xdr:colOff>57150</xdr:colOff>
      <xdr:row>0</xdr:row>
      <xdr:rowOff>9525</xdr:rowOff>
    </xdr:from>
    <xdr:to>
      <xdr:col>16</xdr:col>
      <xdr:colOff>76200</xdr:colOff>
      <xdr:row>3</xdr:row>
      <xdr:rowOff>76200</xdr:rowOff>
    </xdr:to>
    <xdr:pic>
      <xdr:nvPicPr>
        <xdr:cNvPr id="237421" name="Grafik 1">
          <a:extLst>
            <a:ext uri="{FF2B5EF4-FFF2-40B4-BE49-F238E27FC236}">
              <a16:creationId xmlns:a16="http://schemas.microsoft.com/office/drawing/2014/main" id="{00000000-0008-0000-0400-00006D9F03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277225" y="9525"/>
          <a:ext cx="1438275"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352425</xdr:colOff>
      <xdr:row>5</xdr:row>
      <xdr:rowOff>0</xdr:rowOff>
    </xdr:from>
    <xdr:to>
      <xdr:col>1</xdr:col>
      <xdr:colOff>0</xdr:colOff>
      <xdr:row>5</xdr:row>
      <xdr:rowOff>104775</xdr:rowOff>
    </xdr:to>
    <xdr:pic>
      <xdr:nvPicPr>
        <xdr:cNvPr id="237422" name="Grafik 6">
          <a:extLst>
            <a:ext uri="{FF2B5EF4-FFF2-40B4-BE49-F238E27FC236}">
              <a16:creationId xmlns:a16="http://schemas.microsoft.com/office/drawing/2014/main" id="{00000000-0008-0000-0400-00006E9F03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2425" y="446722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3105150</xdr:colOff>
      <xdr:row>6</xdr:row>
      <xdr:rowOff>9525</xdr:rowOff>
    </xdr:from>
    <xdr:to>
      <xdr:col>16</xdr:col>
      <xdr:colOff>3105150</xdr:colOff>
      <xdr:row>6</xdr:row>
      <xdr:rowOff>114300</xdr:rowOff>
    </xdr:to>
    <xdr:pic>
      <xdr:nvPicPr>
        <xdr:cNvPr id="237423" name="Grafik 18">
          <a:extLst>
            <a:ext uri="{FF2B5EF4-FFF2-40B4-BE49-F238E27FC236}">
              <a16:creationId xmlns:a16="http://schemas.microsoft.com/office/drawing/2014/main" id="{00000000-0008-0000-0400-00006F9F03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2954000" y="4219575"/>
          <a:ext cx="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4752975</xdr:colOff>
      <xdr:row>6</xdr:row>
      <xdr:rowOff>9525</xdr:rowOff>
    </xdr:from>
    <xdr:to>
      <xdr:col>16</xdr:col>
      <xdr:colOff>4857750</xdr:colOff>
      <xdr:row>6</xdr:row>
      <xdr:rowOff>114300</xdr:rowOff>
    </xdr:to>
    <xdr:pic>
      <xdr:nvPicPr>
        <xdr:cNvPr id="237424" name="Grafik 18">
          <a:extLst>
            <a:ext uri="{FF2B5EF4-FFF2-40B4-BE49-F238E27FC236}">
              <a16:creationId xmlns:a16="http://schemas.microsoft.com/office/drawing/2014/main" id="{00000000-0008-0000-0400-0000709F03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4601825" y="42195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333375</xdr:colOff>
      <xdr:row>5</xdr:row>
      <xdr:rowOff>9525</xdr:rowOff>
    </xdr:from>
    <xdr:to>
      <xdr:col>14</xdr:col>
      <xdr:colOff>447675</xdr:colOff>
      <xdr:row>5</xdr:row>
      <xdr:rowOff>114300</xdr:rowOff>
    </xdr:to>
    <xdr:pic>
      <xdr:nvPicPr>
        <xdr:cNvPr id="237425" name="Grafik 18">
          <a:extLst>
            <a:ext uri="{FF2B5EF4-FFF2-40B4-BE49-F238E27FC236}">
              <a16:creationId xmlns:a16="http://schemas.microsoft.com/office/drawing/2014/main" id="{00000000-0008-0000-0400-0000719F03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72475" y="448627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733425</xdr:colOff>
      <xdr:row>3</xdr:row>
      <xdr:rowOff>9525</xdr:rowOff>
    </xdr:from>
    <xdr:to>
      <xdr:col>4</xdr:col>
      <xdr:colOff>0</xdr:colOff>
      <xdr:row>3</xdr:row>
      <xdr:rowOff>114300</xdr:rowOff>
    </xdr:to>
    <xdr:pic>
      <xdr:nvPicPr>
        <xdr:cNvPr id="237428" name="Grafik 18">
          <a:extLst>
            <a:ext uri="{FF2B5EF4-FFF2-40B4-BE49-F238E27FC236}">
              <a16:creationId xmlns:a16="http://schemas.microsoft.com/office/drawing/2014/main" id="{00000000-0008-0000-0400-0000749F03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95625" y="1162050"/>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333375</xdr:colOff>
      <xdr:row>17</xdr:row>
      <xdr:rowOff>9525</xdr:rowOff>
    </xdr:from>
    <xdr:to>
      <xdr:col>14</xdr:col>
      <xdr:colOff>447675</xdr:colOff>
      <xdr:row>17</xdr:row>
      <xdr:rowOff>114300</xdr:rowOff>
    </xdr:to>
    <xdr:pic>
      <xdr:nvPicPr>
        <xdr:cNvPr id="237429" name="Grafik 18">
          <a:extLst>
            <a:ext uri="{FF2B5EF4-FFF2-40B4-BE49-F238E27FC236}">
              <a16:creationId xmlns:a16="http://schemas.microsoft.com/office/drawing/2014/main" id="{00000000-0008-0000-0400-0000759F03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72475" y="768667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333375</xdr:colOff>
      <xdr:row>20</xdr:row>
      <xdr:rowOff>9525</xdr:rowOff>
    </xdr:from>
    <xdr:to>
      <xdr:col>14</xdr:col>
      <xdr:colOff>447675</xdr:colOff>
      <xdr:row>20</xdr:row>
      <xdr:rowOff>114300</xdr:rowOff>
    </xdr:to>
    <xdr:pic>
      <xdr:nvPicPr>
        <xdr:cNvPr id="237430" name="Grafik 18">
          <a:extLst>
            <a:ext uri="{FF2B5EF4-FFF2-40B4-BE49-F238E27FC236}">
              <a16:creationId xmlns:a16="http://schemas.microsoft.com/office/drawing/2014/main" id="{00000000-0008-0000-0400-0000769F03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72475" y="882967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333375</xdr:colOff>
      <xdr:row>23</xdr:row>
      <xdr:rowOff>9525</xdr:rowOff>
    </xdr:from>
    <xdr:to>
      <xdr:col>14</xdr:col>
      <xdr:colOff>447675</xdr:colOff>
      <xdr:row>23</xdr:row>
      <xdr:rowOff>114300</xdr:rowOff>
    </xdr:to>
    <xdr:pic>
      <xdr:nvPicPr>
        <xdr:cNvPr id="237431" name="Grafik 18">
          <a:extLst>
            <a:ext uri="{FF2B5EF4-FFF2-40B4-BE49-F238E27FC236}">
              <a16:creationId xmlns:a16="http://schemas.microsoft.com/office/drawing/2014/main" id="{00000000-0008-0000-0400-0000779F03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72475" y="997267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333375</xdr:colOff>
      <xdr:row>26</xdr:row>
      <xdr:rowOff>9525</xdr:rowOff>
    </xdr:from>
    <xdr:to>
      <xdr:col>14</xdr:col>
      <xdr:colOff>447675</xdr:colOff>
      <xdr:row>26</xdr:row>
      <xdr:rowOff>114300</xdr:rowOff>
    </xdr:to>
    <xdr:pic>
      <xdr:nvPicPr>
        <xdr:cNvPr id="237432" name="Grafik 18">
          <a:extLst>
            <a:ext uri="{FF2B5EF4-FFF2-40B4-BE49-F238E27FC236}">
              <a16:creationId xmlns:a16="http://schemas.microsoft.com/office/drawing/2014/main" id="{00000000-0008-0000-0400-0000789F03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72475" y="1111567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333375</xdr:colOff>
      <xdr:row>46</xdr:row>
      <xdr:rowOff>9525</xdr:rowOff>
    </xdr:from>
    <xdr:to>
      <xdr:col>14</xdr:col>
      <xdr:colOff>447675</xdr:colOff>
      <xdr:row>46</xdr:row>
      <xdr:rowOff>114300</xdr:rowOff>
    </xdr:to>
    <xdr:pic>
      <xdr:nvPicPr>
        <xdr:cNvPr id="237435" name="Grafik 18">
          <a:extLst>
            <a:ext uri="{FF2B5EF4-FFF2-40B4-BE49-F238E27FC236}">
              <a16:creationId xmlns:a16="http://schemas.microsoft.com/office/drawing/2014/main" id="{00000000-0008-0000-0400-00007B9F03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72475" y="1884997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333375</xdr:colOff>
      <xdr:row>49</xdr:row>
      <xdr:rowOff>9525</xdr:rowOff>
    </xdr:from>
    <xdr:to>
      <xdr:col>14</xdr:col>
      <xdr:colOff>447675</xdr:colOff>
      <xdr:row>49</xdr:row>
      <xdr:rowOff>114300</xdr:rowOff>
    </xdr:to>
    <xdr:pic>
      <xdr:nvPicPr>
        <xdr:cNvPr id="237436" name="Grafik 18">
          <a:extLst>
            <a:ext uri="{FF2B5EF4-FFF2-40B4-BE49-F238E27FC236}">
              <a16:creationId xmlns:a16="http://schemas.microsoft.com/office/drawing/2014/main" id="{00000000-0008-0000-0400-00007C9F03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72475" y="1999297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333375</xdr:colOff>
      <xdr:row>53</xdr:row>
      <xdr:rowOff>9525</xdr:rowOff>
    </xdr:from>
    <xdr:to>
      <xdr:col>14</xdr:col>
      <xdr:colOff>447675</xdr:colOff>
      <xdr:row>53</xdr:row>
      <xdr:rowOff>114300</xdr:rowOff>
    </xdr:to>
    <xdr:pic>
      <xdr:nvPicPr>
        <xdr:cNvPr id="237437" name="Grafik 19">
          <a:extLst>
            <a:ext uri="{FF2B5EF4-FFF2-40B4-BE49-F238E27FC236}">
              <a16:creationId xmlns:a16="http://schemas.microsoft.com/office/drawing/2014/main" id="{00000000-0008-0000-0400-00007D9F03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72475" y="2151697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333375</xdr:colOff>
      <xdr:row>56</xdr:row>
      <xdr:rowOff>9525</xdr:rowOff>
    </xdr:from>
    <xdr:to>
      <xdr:col>14</xdr:col>
      <xdr:colOff>447675</xdr:colOff>
      <xdr:row>56</xdr:row>
      <xdr:rowOff>114300</xdr:rowOff>
    </xdr:to>
    <xdr:pic>
      <xdr:nvPicPr>
        <xdr:cNvPr id="237438" name="Grafik 20">
          <a:extLst>
            <a:ext uri="{FF2B5EF4-FFF2-40B4-BE49-F238E27FC236}">
              <a16:creationId xmlns:a16="http://schemas.microsoft.com/office/drawing/2014/main" id="{00000000-0008-0000-0400-00007E9F03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72475" y="2265997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333375</xdr:colOff>
      <xdr:row>65</xdr:row>
      <xdr:rowOff>9525</xdr:rowOff>
    </xdr:from>
    <xdr:to>
      <xdr:col>14</xdr:col>
      <xdr:colOff>447675</xdr:colOff>
      <xdr:row>65</xdr:row>
      <xdr:rowOff>114300</xdr:rowOff>
    </xdr:to>
    <xdr:pic>
      <xdr:nvPicPr>
        <xdr:cNvPr id="237439" name="Grafik 22">
          <a:extLst>
            <a:ext uri="{FF2B5EF4-FFF2-40B4-BE49-F238E27FC236}">
              <a16:creationId xmlns:a16="http://schemas.microsoft.com/office/drawing/2014/main" id="{00000000-0008-0000-0400-00007F9F03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72475" y="2723197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352425</xdr:colOff>
      <xdr:row>44</xdr:row>
      <xdr:rowOff>9525</xdr:rowOff>
    </xdr:from>
    <xdr:to>
      <xdr:col>14</xdr:col>
      <xdr:colOff>447675</xdr:colOff>
      <xdr:row>44</xdr:row>
      <xdr:rowOff>114300</xdr:rowOff>
    </xdr:to>
    <xdr:pic>
      <xdr:nvPicPr>
        <xdr:cNvPr id="237446" name="Grafik 29">
          <a:extLst>
            <a:ext uri="{FF2B5EF4-FFF2-40B4-BE49-F238E27FC236}">
              <a16:creationId xmlns:a16="http://schemas.microsoft.com/office/drawing/2014/main" id="{00000000-0008-0000-0400-0000869F03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8391525" y="18087975"/>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171450</xdr:colOff>
      <xdr:row>5</xdr:row>
      <xdr:rowOff>9525</xdr:rowOff>
    </xdr:from>
    <xdr:to>
      <xdr:col>1</xdr:col>
      <xdr:colOff>285750</xdr:colOff>
      <xdr:row>5</xdr:row>
      <xdr:rowOff>114300</xdr:rowOff>
    </xdr:to>
    <xdr:pic>
      <xdr:nvPicPr>
        <xdr:cNvPr id="237447" name="Grafik 6">
          <a:extLst>
            <a:ext uri="{FF2B5EF4-FFF2-40B4-BE49-F238E27FC236}">
              <a16:creationId xmlns:a16="http://schemas.microsoft.com/office/drawing/2014/main" id="{00000000-0008-0000-0400-0000879F03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52450" y="401002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333375</xdr:colOff>
      <xdr:row>29</xdr:row>
      <xdr:rowOff>9525</xdr:rowOff>
    </xdr:from>
    <xdr:to>
      <xdr:col>14</xdr:col>
      <xdr:colOff>447675</xdr:colOff>
      <xdr:row>29</xdr:row>
      <xdr:rowOff>114300</xdr:rowOff>
    </xdr:to>
    <xdr:pic>
      <xdr:nvPicPr>
        <xdr:cNvPr id="237448" name="Grafik 18">
          <a:extLst>
            <a:ext uri="{FF2B5EF4-FFF2-40B4-BE49-F238E27FC236}">
              <a16:creationId xmlns:a16="http://schemas.microsoft.com/office/drawing/2014/main" id="{00000000-0008-0000-0400-0000889F03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72475" y="1229677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352425</xdr:colOff>
      <xdr:row>41</xdr:row>
      <xdr:rowOff>9525</xdr:rowOff>
    </xdr:from>
    <xdr:to>
      <xdr:col>14</xdr:col>
      <xdr:colOff>447675</xdr:colOff>
      <xdr:row>41</xdr:row>
      <xdr:rowOff>114300</xdr:rowOff>
    </xdr:to>
    <xdr:pic>
      <xdr:nvPicPr>
        <xdr:cNvPr id="237449" name="Grafik 29">
          <a:extLst>
            <a:ext uri="{FF2B5EF4-FFF2-40B4-BE49-F238E27FC236}">
              <a16:creationId xmlns:a16="http://schemas.microsoft.com/office/drawing/2014/main" id="{00000000-0008-0000-0400-0000899F03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8391525" y="15801975"/>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352425</xdr:colOff>
      <xdr:row>70</xdr:row>
      <xdr:rowOff>9525</xdr:rowOff>
    </xdr:from>
    <xdr:to>
      <xdr:col>14</xdr:col>
      <xdr:colOff>447675</xdr:colOff>
      <xdr:row>70</xdr:row>
      <xdr:rowOff>114300</xdr:rowOff>
    </xdr:to>
    <xdr:pic>
      <xdr:nvPicPr>
        <xdr:cNvPr id="237451" name="Grafik 33">
          <a:extLst>
            <a:ext uri="{FF2B5EF4-FFF2-40B4-BE49-F238E27FC236}">
              <a16:creationId xmlns:a16="http://schemas.microsoft.com/office/drawing/2014/main" id="{00000000-0008-0000-0400-00008B9F03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8391525" y="30279975"/>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333375</xdr:colOff>
      <xdr:row>68</xdr:row>
      <xdr:rowOff>9525</xdr:rowOff>
    </xdr:from>
    <xdr:to>
      <xdr:col>14</xdr:col>
      <xdr:colOff>447675</xdr:colOff>
      <xdr:row>68</xdr:row>
      <xdr:rowOff>114300</xdr:rowOff>
    </xdr:to>
    <xdr:pic>
      <xdr:nvPicPr>
        <xdr:cNvPr id="237458" name="Grafik 22">
          <a:extLst>
            <a:ext uri="{FF2B5EF4-FFF2-40B4-BE49-F238E27FC236}">
              <a16:creationId xmlns:a16="http://schemas.microsoft.com/office/drawing/2014/main" id="{00000000-0008-0000-0400-0000929F03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72475" y="2951797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352425</xdr:colOff>
      <xdr:row>25</xdr:row>
      <xdr:rowOff>9525</xdr:rowOff>
    </xdr:from>
    <xdr:to>
      <xdr:col>14</xdr:col>
      <xdr:colOff>447675</xdr:colOff>
      <xdr:row>25</xdr:row>
      <xdr:rowOff>114300</xdr:rowOff>
    </xdr:to>
    <xdr:pic>
      <xdr:nvPicPr>
        <xdr:cNvPr id="34" name="Grafik 29">
          <a:extLst>
            <a:ext uri="{FF2B5EF4-FFF2-40B4-BE49-F238E27FC236}">
              <a16:creationId xmlns:a16="http://schemas.microsoft.com/office/drawing/2014/main" id="{00000000-0008-0000-0400-000022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8391525" y="10734675"/>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333375</xdr:colOff>
      <xdr:row>98</xdr:row>
      <xdr:rowOff>9525</xdr:rowOff>
    </xdr:from>
    <xdr:to>
      <xdr:col>14</xdr:col>
      <xdr:colOff>447675</xdr:colOff>
      <xdr:row>98</xdr:row>
      <xdr:rowOff>114300</xdr:rowOff>
    </xdr:to>
    <xdr:pic>
      <xdr:nvPicPr>
        <xdr:cNvPr id="35" name="Grafik 22">
          <a:extLst>
            <a:ext uri="{FF2B5EF4-FFF2-40B4-BE49-F238E27FC236}">
              <a16:creationId xmlns:a16="http://schemas.microsoft.com/office/drawing/2014/main" id="{00000000-0008-0000-0400-000023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72475" y="40500300"/>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333375</xdr:colOff>
      <xdr:row>14</xdr:row>
      <xdr:rowOff>9525</xdr:rowOff>
    </xdr:from>
    <xdr:to>
      <xdr:col>14</xdr:col>
      <xdr:colOff>447675</xdr:colOff>
      <xdr:row>14</xdr:row>
      <xdr:rowOff>114300</xdr:rowOff>
    </xdr:to>
    <xdr:pic>
      <xdr:nvPicPr>
        <xdr:cNvPr id="32" name="Grafik 18">
          <a:extLst>
            <a:ext uri="{FF2B5EF4-FFF2-40B4-BE49-F238E27FC236}">
              <a16:creationId xmlns:a16="http://schemas.microsoft.com/office/drawing/2014/main" id="{837646A4-0819-4382-ACC5-BE3CBCBDBEF3}"/>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72525" y="7277100"/>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333375</xdr:colOff>
      <xdr:row>101</xdr:row>
      <xdr:rowOff>9525</xdr:rowOff>
    </xdr:from>
    <xdr:to>
      <xdr:col>14</xdr:col>
      <xdr:colOff>447675</xdr:colOff>
      <xdr:row>101</xdr:row>
      <xdr:rowOff>114300</xdr:rowOff>
    </xdr:to>
    <xdr:pic>
      <xdr:nvPicPr>
        <xdr:cNvPr id="33" name="Grafik 22">
          <a:extLst>
            <a:ext uri="{FF2B5EF4-FFF2-40B4-BE49-F238E27FC236}">
              <a16:creationId xmlns:a16="http://schemas.microsoft.com/office/drawing/2014/main" id="{F0CEB7EF-8745-4CC5-BD7E-F9F3DF21EFD9}"/>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72525" y="44424600"/>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333375</xdr:colOff>
      <xdr:row>79</xdr:row>
      <xdr:rowOff>9525</xdr:rowOff>
    </xdr:from>
    <xdr:to>
      <xdr:col>14</xdr:col>
      <xdr:colOff>447675</xdr:colOff>
      <xdr:row>79</xdr:row>
      <xdr:rowOff>114300</xdr:rowOff>
    </xdr:to>
    <xdr:pic>
      <xdr:nvPicPr>
        <xdr:cNvPr id="31" name="Grafik 22">
          <a:extLst>
            <a:ext uri="{FF2B5EF4-FFF2-40B4-BE49-F238E27FC236}">
              <a16:creationId xmlns:a16="http://schemas.microsoft.com/office/drawing/2014/main" id="{BEF5F577-17CB-43DC-A8D8-EFC689116ACF}"/>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72525" y="3464242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1238250</xdr:colOff>
      <xdr:row>19</xdr:row>
      <xdr:rowOff>9525</xdr:rowOff>
    </xdr:from>
    <xdr:to>
      <xdr:col>2</xdr:col>
      <xdr:colOff>1352550</xdr:colOff>
      <xdr:row>19</xdr:row>
      <xdr:rowOff>114300</xdr:rowOff>
    </xdr:to>
    <xdr:pic>
      <xdr:nvPicPr>
        <xdr:cNvPr id="2" name="Grafik 18">
          <a:extLst>
            <a:ext uri="{FF2B5EF4-FFF2-40B4-BE49-F238E27FC236}">
              <a16:creationId xmlns:a16="http://schemas.microsoft.com/office/drawing/2014/main" id="{35D0075A-70E7-473F-9E65-9896818B5103}"/>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000250" y="6477000"/>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714375</xdr:colOff>
      <xdr:row>19</xdr:row>
      <xdr:rowOff>9525</xdr:rowOff>
    </xdr:from>
    <xdr:to>
      <xdr:col>7</xdr:col>
      <xdr:colOff>0</xdr:colOff>
      <xdr:row>19</xdr:row>
      <xdr:rowOff>114300</xdr:rowOff>
    </xdr:to>
    <xdr:pic>
      <xdr:nvPicPr>
        <xdr:cNvPr id="3" name="Grafik 18">
          <a:extLst>
            <a:ext uri="{FF2B5EF4-FFF2-40B4-BE49-F238E27FC236}">
              <a16:creationId xmlns:a16="http://schemas.microsoft.com/office/drawing/2014/main" id="{F81DC72F-165B-41B6-ADCD-650A6C9BD5B3}"/>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438775" y="6477000"/>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12</xdr:col>
      <xdr:colOff>257175</xdr:colOff>
      <xdr:row>3</xdr:row>
      <xdr:rowOff>9525</xdr:rowOff>
    </xdr:from>
    <xdr:ext cx="114300" cy="104775"/>
    <xdr:pic>
      <xdr:nvPicPr>
        <xdr:cNvPr id="4" name="Grafik 18">
          <a:extLst>
            <a:ext uri="{FF2B5EF4-FFF2-40B4-BE49-F238E27FC236}">
              <a16:creationId xmlns:a16="http://schemas.microsoft.com/office/drawing/2014/main" id="{CBBA5AA4-50F8-4773-8B54-16FF98B575EA}"/>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105775" y="50482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2</xdr:col>
      <xdr:colOff>1238250</xdr:colOff>
      <xdr:row>5</xdr:row>
      <xdr:rowOff>9525</xdr:rowOff>
    </xdr:from>
    <xdr:to>
      <xdr:col>2</xdr:col>
      <xdr:colOff>1352550</xdr:colOff>
      <xdr:row>5</xdr:row>
      <xdr:rowOff>114300</xdr:rowOff>
    </xdr:to>
    <xdr:pic>
      <xdr:nvPicPr>
        <xdr:cNvPr id="5" name="Grafik 6">
          <a:extLst>
            <a:ext uri="{FF2B5EF4-FFF2-40B4-BE49-F238E27FC236}">
              <a16:creationId xmlns:a16="http://schemas.microsoft.com/office/drawing/2014/main" id="{25CAD4DA-CBCC-4A86-8150-6B530F7F5BEF}"/>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000250" y="838200"/>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704850</xdr:colOff>
      <xdr:row>34</xdr:row>
      <xdr:rowOff>9525</xdr:rowOff>
    </xdr:from>
    <xdr:to>
      <xdr:col>6</xdr:col>
      <xdr:colOff>819150</xdr:colOff>
      <xdr:row>34</xdr:row>
      <xdr:rowOff>114300</xdr:rowOff>
    </xdr:to>
    <xdr:pic>
      <xdr:nvPicPr>
        <xdr:cNvPr id="6" name="Grafik 18">
          <a:extLst>
            <a:ext uri="{FF2B5EF4-FFF2-40B4-BE49-F238E27FC236}">
              <a16:creationId xmlns:a16="http://schemas.microsoft.com/office/drawing/2014/main" id="{7BBBE540-FFEC-4DA6-8651-C65A738F5CD4}"/>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429250" y="1163002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10</xdr:col>
      <xdr:colOff>571500</xdr:colOff>
      <xdr:row>1</xdr:row>
      <xdr:rowOff>123825</xdr:rowOff>
    </xdr:from>
    <xdr:to>
      <xdr:col>10</xdr:col>
      <xdr:colOff>1924050</xdr:colOff>
      <xdr:row>2</xdr:row>
      <xdr:rowOff>123825</xdr:rowOff>
    </xdr:to>
    <xdr:pic>
      <xdr:nvPicPr>
        <xdr:cNvPr id="184272" name="Grafik 1">
          <a:extLst>
            <a:ext uri="{FF2B5EF4-FFF2-40B4-BE49-F238E27FC236}">
              <a16:creationId xmlns:a16="http://schemas.microsoft.com/office/drawing/2014/main" id="{00000000-0008-0000-0800-0000D0CF02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448550" y="123825"/>
          <a:ext cx="135255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1971675</xdr:colOff>
      <xdr:row>5</xdr:row>
      <xdr:rowOff>9525</xdr:rowOff>
    </xdr:from>
    <xdr:to>
      <xdr:col>10</xdr:col>
      <xdr:colOff>0</xdr:colOff>
      <xdr:row>5</xdr:row>
      <xdr:rowOff>114300</xdr:rowOff>
    </xdr:to>
    <xdr:pic>
      <xdr:nvPicPr>
        <xdr:cNvPr id="184273" name="Grafik 18">
          <a:extLst>
            <a:ext uri="{FF2B5EF4-FFF2-40B4-BE49-F238E27FC236}">
              <a16:creationId xmlns:a16="http://schemas.microsoft.com/office/drawing/2014/main" id="{00000000-0008-0000-0800-0000D1CF02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762750" y="781050"/>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342900</xdr:colOff>
      <xdr:row>7</xdr:row>
      <xdr:rowOff>9525</xdr:rowOff>
    </xdr:from>
    <xdr:to>
      <xdr:col>5</xdr:col>
      <xdr:colOff>0</xdr:colOff>
      <xdr:row>7</xdr:row>
      <xdr:rowOff>114300</xdr:rowOff>
    </xdr:to>
    <xdr:pic>
      <xdr:nvPicPr>
        <xdr:cNvPr id="184274" name="Grafik 18">
          <a:extLst>
            <a:ext uri="{FF2B5EF4-FFF2-40B4-BE49-F238E27FC236}">
              <a16:creationId xmlns:a16="http://schemas.microsoft.com/office/drawing/2014/main" id="{00000000-0008-0000-0800-0000D2CF02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95575" y="105727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1971675</xdr:colOff>
      <xdr:row>7</xdr:row>
      <xdr:rowOff>9525</xdr:rowOff>
    </xdr:from>
    <xdr:to>
      <xdr:col>10</xdr:col>
      <xdr:colOff>0</xdr:colOff>
      <xdr:row>7</xdr:row>
      <xdr:rowOff>114300</xdr:rowOff>
    </xdr:to>
    <xdr:pic>
      <xdr:nvPicPr>
        <xdr:cNvPr id="184275" name="Grafik 18">
          <a:extLst>
            <a:ext uri="{FF2B5EF4-FFF2-40B4-BE49-F238E27FC236}">
              <a16:creationId xmlns:a16="http://schemas.microsoft.com/office/drawing/2014/main" id="{00000000-0008-0000-0800-0000D3CF02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762750" y="105727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7</xdr:col>
      <xdr:colOff>352425</xdr:colOff>
      <xdr:row>0</xdr:row>
      <xdr:rowOff>57150</xdr:rowOff>
    </xdr:from>
    <xdr:to>
      <xdr:col>11</xdr:col>
      <xdr:colOff>0</xdr:colOff>
      <xdr:row>3</xdr:row>
      <xdr:rowOff>161925</xdr:rowOff>
    </xdr:to>
    <xdr:pic>
      <xdr:nvPicPr>
        <xdr:cNvPr id="2" name="Grafik 1">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391275" y="57150"/>
          <a:ext cx="1438275"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7</xdr:row>
      <xdr:rowOff>9525</xdr:rowOff>
    </xdr:from>
    <xdr:to>
      <xdr:col>9</xdr:col>
      <xdr:colOff>0</xdr:colOff>
      <xdr:row>7</xdr:row>
      <xdr:rowOff>114300</xdr:rowOff>
    </xdr:to>
    <xdr:pic>
      <xdr:nvPicPr>
        <xdr:cNvPr id="3" name="Grafik 18">
          <a:extLst>
            <a:ext uri="{FF2B5EF4-FFF2-40B4-BE49-F238E27FC236}">
              <a16:creationId xmlns:a16="http://schemas.microsoft.com/office/drawing/2014/main" id="{00000000-0008-0000-0900-000003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943725" y="2105025"/>
          <a:ext cx="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21</xdr:col>
      <xdr:colOff>190500</xdr:colOff>
      <xdr:row>0</xdr:row>
      <xdr:rowOff>114300</xdr:rowOff>
    </xdr:from>
    <xdr:to>
      <xdr:col>25</xdr:col>
      <xdr:colOff>381000</xdr:colOff>
      <xdr:row>4</xdr:row>
      <xdr:rowOff>28575</xdr:rowOff>
    </xdr:to>
    <xdr:pic>
      <xdr:nvPicPr>
        <xdr:cNvPr id="225948" name="Grafik 1">
          <a:extLst>
            <a:ext uri="{FF2B5EF4-FFF2-40B4-BE49-F238E27FC236}">
              <a16:creationId xmlns:a16="http://schemas.microsoft.com/office/drawing/2014/main" id="{00000000-0008-0000-0B00-00009C7203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296150" y="114300"/>
          <a:ext cx="142875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22</xdr:col>
      <xdr:colOff>257175</xdr:colOff>
      <xdr:row>5</xdr:row>
      <xdr:rowOff>9525</xdr:rowOff>
    </xdr:from>
    <xdr:to>
      <xdr:col>23</xdr:col>
      <xdr:colOff>0</xdr:colOff>
      <xdr:row>5</xdr:row>
      <xdr:rowOff>104775</xdr:rowOff>
    </xdr:to>
    <xdr:pic>
      <xdr:nvPicPr>
        <xdr:cNvPr id="225949" name="Grafik 4">
          <a:extLst>
            <a:ext uri="{FF2B5EF4-FFF2-40B4-BE49-F238E27FC236}">
              <a16:creationId xmlns:a16="http://schemas.microsoft.com/office/drawing/2014/main" id="{00000000-0008-0000-0B00-00009D7203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715250" y="876300"/>
          <a:ext cx="9525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22</xdr:col>
      <xdr:colOff>247650</xdr:colOff>
      <xdr:row>7</xdr:row>
      <xdr:rowOff>9525</xdr:rowOff>
    </xdr:from>
    <xdr:to>
      <xdr:col>23</xdr:col>
      <xdr:colOff>0</xdr:colOff>
      <xdr:row>7</xdr:row>
      <xdr:rowOff>114300</xdr:rowOff>
    </xdr:to>
    <xdr:pic>
      <xdr:nvPicPr>
        <xdr:cNvPr id="225950" name="Grafik 5">
          <a:extLst>
            <a:ext uri="{FF2B5EF4-FFF2-40B4-BE49-F238E27FC236}">
              <a16:creationId xmlns:a16="http://schemas.microsoft.com/office/drawing/2014/main" id="{00000000-0008-0000-0B00-00009E7203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705725" y="11525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266700</xdr:colOff>
      <xdr:row>7</xdr:row>
      <xdr:rowOff>9525</xdr:rowOff>
    </xdr:from>
    <xdr:to>
      <xdr:col>10</xdr:col>
      <xdr:colOff>0</xdr:colOff>
      <xdr:row>7</xdr:row>
      <xdr:rowOff>104775</xdr:rowOff>
    </xdr:to>
    <xdr:pic>
      <xdr:nvPicPr>
        <xdr:cNvPr id="225951" name="Grafik 6">
          <a:extLst>
            <a:ext uri="{FF2B5EF4-FFF2-40B4-BE49-F238E27FC236}">
              <a16:creationId xmlns:a16="http://schemas.microsoft.com/office/drawing/2014/main" id="{00000000-0008-0000-0B00-00009F7203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3629025" y="1152525"/>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12</xdr:col>
      <xdr:colOff>428625</xdr:colOff>
      <xdr:row>30</xdr:row>
      <xdr:rowOff>9525</xdr:rowOff>
    </xdr:from>
    <xdr:to>
      <xdr:col>13</xdr:col>
      <xdr:colOff>0</xdr:colOff>
      <xdr:row>30</xdr:row>
      <xdr:rowOff>104775</xdr:rowOff>
    </xdr:to>
    <xdr:pic>
      <xdr:nvPicPr>
        <xdr:cNvPr id="225952" name="Grafik 6">
          <a:extLst>
            <a:ext uri="{FF2B5EF4-FFF2-40B4-BE49-F238E27FC236}">
              <a16:creationId xmlns:a16="http://schemas.microsoft.com/office/drawing/2014/main" id="{00000000-0008-0000-0B00-0000A07203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4848225" y="65341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5</xdr:col>
      <xdr:colOff>1333500</xdr:colOff>
      <xdr:row>5</xdr:row>
      <xdr:rowOff>9525</xdr:rowOff>
    </xdr:from>
    <xdr:to>
      <xdr:col>6</xdr:col>
      <xdr:colOff>0</xdr:colOff>
      <xdr:row>5</xdr:row>
      <xdr:rowOff>114300</xdr:rowOff>
    </xdr:to>
    <xdr:pic>
      <xdr:nvPicPr>
        <xdr:cNvPr id="233668" name="Grafik 3">
          <a:extLst>
            <a:ext uri="{FF2B5EF4-FFF2-40B4-BE49-F238E27FC236}">
              <a16:creationId xmlns:a16="http://schemas.microsoft.com/office/drawing/2014/main" id="{00000000-0008-0000-0E00-0000C490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277225" y="90487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1333500</xdr:colOff>
      <xdr:row>7</xdr:row>
      <xdr:rowOff>9525</xdr:rowOff>
    </xdr:from>
    <xdr:to>
      <xdr:col>6</xdr:col>
      <xdr:colOff>0</xdr:colOff>
      <xdr:row>7</xdr:row>
      <xdr:rowOff>104775</xdr:rowOff>
    </xdr:to>
    <xdr:pic>
      <xdr:nvPicPr>
        <xdr:cNvPr id="233669" name="Grafik 4">
          <a:extLst>
            <a:ext uri="{FF2B5EF4-FFF2-40B4-BE49-F238E27FC236}">
              <a16:creationId xmlns:a16="http://schemas.microsoft.com/office/drawing/2014/main" id="{00000000-0008-0000-0E00-0000C590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277225" y="1181100"/>
          <a:ext cx="11430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1285875</xdr:colOff>
      <xdr:row>7</xdr:row>
      <xdr:rowOff>9525</xdr:rowOff>
    </xdr:from>
    <xdr:to>
      <xdr:col>3</xdr:col>
      <xdr:colOff>0</xdr:colOff>
      <xdr:row>7</xdr:row>
      <xdr:rowOff>114300</xdr:rowOff>
    </xdr:to>
    <xdr:pic>
      <xdr:nvPicPr>
        <xdr:cNvPr id="233670" name="Grafik 5">
          <a:extLst>
            <a:ext uri="{FF2B5EF4-FFF2-40B4-BE49-F238E27FC236}">
              <a16:creationId xmlns:a16="http://schemas.microsoft.com/office/drawing/2014/main" id="{00000000-0008-0000-0E00-0000C690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52850" y="11811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1428750</xdr:colOff>
      <xdr:row>16</xdr:row>
      <xdr:rowOff>9525</xdr:rowOff>
    </xdr:from>
    <xdr:to>
      <xdr:col>2</xdr:col>
      <xdr:colOff>0</xdr:colOff>
      <xdr:row>16</xdr:row>
      <xdr:rowOff>114300</xdr:rowOff>
    </xdr:to>
    <xdr:pic>
      <xdr:nvPicPr>
        <xdr:cNvPr id="233671" name="Grafik 5">
          <a:extLst>
            <a:ext uri="{FF2B5EF4-FFF2-40B4-BE49-F238E27FC236}">
              <a16:creationId xmlns:a16="http://schemas.microsoft.com/office/drawing/2014/main" id="{00000000-0008-0000-0E00-0000C790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71725" y="253365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866775</xdr:colOff>
      <xdr:row>1</xdr:row>
      <xdr:rowOff>38100</xdr:rowOff>
    </xdr:from>
    <xdr:to>
      <xdr:col>6</xdr:col>
      <xdr:colOff>695325</xdr:colOff>
      <xdr:row>2</xdr:row>
      <xdr:rowOff>123825</xdr:rowOff>
    </xdr:to>
    <xdr:pic>
      <xdr:nvPicPr>
        <xdr:cNvPr id="233672" name="Grafik 1">
          <a:extLst>
            <a:ext uri="{FF2B5EF4-FFF2-40B4-BE49-F238E27FC236}">
              <a16:creationId xmlns:a16="http://schemas.microsoft.com/office/drawing/2014/main" id="{00000000-0008-0000-0E00-0000C89003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810500" y="161925"/>
          <a:ext cx="12763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Book1"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erechnung4"/>
      <sheetName val="Book1"/>
      <sheetName val="Kennzahlenbogen_(KB) (2)"/>
      <sheetName val="Kennzahlenbogen_(KB)"/>
      <sheetName val="Sheet1"/>
      <sheetName val="Sheet2"/>
    </sheetNames>
    <definedNames>
      <definedName name="myItemList" refersTo="#REF!"/>
    </definedNames>
    <sheetDataSet>
      <sheetData sheetId="0" refreshError="1"/>
      <sheetData sheetId="1" refreshError="1"/>
      <sheetData sheetId="2"/>
      <sheetData sheetId="3" refreshError="1"/>
      <sheetData sheetId="4" refreshError="1"/>
      <sheetData sheetId="5"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omments" Target="../comments1.xml"/><Relationship Id="rId4" Type="http://schemas.openxmlformats.org/officeDocument/2006/relationships/vmlDrawing" Target="../drawings/vmlDrawing2.v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6.xml"/><Relationship Id="rId1" Type="http://schemas.openxmlformats.org/officeDocument/2006/relationships/printerSettings" Target="../printerSettings/printerSettings12.bin"/><Relationship Id="rId4" Type="http://schemas.openxmlformats.org/officeDocument/2006/relationships/comments" Target="../comments6.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7.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8.xml"/><Relationship Id="rId1" Type="http://schemas.openxmlformats.org/officeDocument/2006/relationships/printerSettings" Target="../printerSettings/printerSettings15.bin"/><Relationship Id="rId4" Type="http://schemas.openxmlformats.org/officeDocument/2006/relationships/comments" Target="../comments7.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9.xml"/><Relationship Id="rId1" Type="http://schemas.openxmlformats.org/officeDocument/2006/relationships/printerSettings" Target="../printerSettings/printerSettings17.bin"/><Relationship Id="rId4" Type="http://schemas.openxmlformats.org/officeDocument/2006/relationships/comments" Target="../comments8.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0.xml"/><Relationship Id="rId1" Type="http://schemas.openxmlformats.org/officeDocument/2006/relationships/printerSettings" Target="../printerSettings/printerSettings18.bin"/><Relationship Id="rId4" Type="http://schemas.openxmlformats.org/officeDocument/2006/relationships/comments" Target="../comments9.xml"/></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4.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11.xml"/><Relationship Id="rId1" Type="http://schemas.openxmlformats.org/officeDocument/2006/relationships/printerSettings" Target="../printerSettings/printerSettings21.bin"/><Relationship Id="rId4" Type="http://schemas.openxmlformats.org/officeDocument/2006/relationships/comments" Target="../comments10.xml"/></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5.bin"/><Relationship Id="rId4" Type="http://schemas.openxmlformats.org/officeDocument/2006/relationships/comments" Target="../comments2.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3.xml"/><Relationship Id="rId1" Type="http://schemas.openxmlformats.org/officeDocument/2006/relationships/printerSettings" Target="../printerSettings/printerSettings6.bin"/><Relationship Id="rId4" Type="http://schemas.openxmlformats.org/officeDocument/2006/relationships/comments" Target="../comments3.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4.xml"/><Relationship Id="rId1" Type="http://schemas.openxmlformats.org/officeDocument/2006/relationships/printerSettings" Target="../printerSettings/printerSettings7.bin"/><Relationship Id="rId4" Type="http://schemas.openxmlformats.org/officeDocument/2006/relationships/comments" Target="../comments4.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5.xml"/><Relationship Id="rId1" Type="http://schemas.openxmlformats.org/officeDocument/2006/relationships/printerSettings" Target="../printerSettings/printerSettings8.bin"/><Relationship Id="rId5" Type="http://schemas.openxmlformats.org/officeDocument/2006/relationships/comments" Target="../comments5.xml"/><Relationship Id="rId4" Type="http://schemas.openxmlformats.org/officeDocument/2006/relationships/vmlDrawing" Target="../drawings/vmlDrawing7.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dimension ref="A1:H55"/>
  <sheetViews>
    <sheetView showGridLines="0" tabSelected="1" showRuler="0" zoomScaleNormal="100" zoomScaleSheetLayoutView="100" workbookViewId="0">
      <selection activeCell="B6" sqref="B6:C6"/>
    </sheetView>
  </sheetViews>
  <sheetFormatPr defaultColWidth="9.140625" defaultRowHeight="12.75" x14ac:dyDescent="0.2"/>
  <cols>
    <col min="1" max="1" width="16.42578125" style="26" customWidth="1"/>
    <col min="2" max="2" width="12.7109375" style="26" customWidth="1"/>
    <col min="3" max="3" width="10.7109375" style="26" customWidth="1"/>
    <col min="4" max="4" width="10.140625" style="26" customWidth="1"/>
    <col min="5" max="5" width="12.7109375" style="26" customWidth="1"/>
    <col min="6" max="6" width="12.28515625" style="26" customWidth="1"/>
    <col min="7" max="7" width="14.7109375" style="26" customWidth="1"/>
    <col min="8" max="8" width="9.7109375" style="26" customWidth="1"/>
    <col min="9" max="16384" width="9.140625" style="26"/>
  </cols>
  <sheetData>
    <row r="1" spans="1:8" ht="9.9499999999999993" customHeight="1" x14ac:dyDescent="0.2"/>
    <row r="2" spans="1:8" ht="12.95" customHeight="1" x14ac:dyDescent="0.2">
      <c r="A2" s="17" t="s">
        <v>1811</v>
      </c>
    </row>
    <row r="3" spans="1:8" ht="15.75" x14ac:dyDescent="0.2">
      <c r="A3" s="383" t="s">
        <v>75</v>
      </c>
    </row>
    <row r="4" spans="1:8" ht="15.75" customHeight="1" x14ac:dyDescent="0.2">
      <c r="A4" s="583" t="s">
        <v>208</v>
      </c>
      <c r="B4" s="584"/>
      <c r="C4" s="584"/>
      <c r="D4" s="584"/>
      <c r="E4" s="584"/>
      <c r="F4" s="584"/>
    </row>
    <row r="5" spans="1:8" ht="30.75" customHeight="1" x14ac:dyDescent="0.2">
      <c r="A5" s="583" t="s">
        <v>259</v>
      </c>
      <c r="B5" s="584"/>
      <c r="C5" s="584"/>
      <c r="D5" s="584"/>
      <c r="E5" s="584"/>
      <c r="F5" s="584"/>
      <c r="G5" s="384"/>
      <c r="H5" s="384"/>
    </row>
    <row r="6" spans="1:8" ht="14.25" x14ac:dyDescent="0.2">
      <c r="A6" s="63" t="s">
        <v>313</v>
      </c>
      <c r="B6" s="580"/>
      <c r="C6" s="585"/>
      <c r="D6" s="427"/>
      <c r="E6" s="385"/>
      <c r="G6" s="589"/>
      <c r="H6" s="589"/>
    </row>
    <row r="7" spans="1:8" ht="6.95" customHeight="1" x14ac:dyDescent="0.2">
      <c r="C7" s="21"/>
      <c r="D7" s="21"/>
      <c r="E7" s="21"/>
      <c r="F7" s="21"/>
      <c r="G7" s="21"/>
      <c r="H7" s="10"/>
    </row>
    <row r="8" spans="1:8" ht="15" customHeight="1" x14ac:dyDescent="0.2">
      <c r="A8" s="63" t="s">
        <v>398</v>
      </c>
      <c r="B8" s="586" t="str">
        <f>IF($B$6="","",Datenquelle!B45)</f>
        <v/>
      </c>
      <c r="C8" s="587"/>
      <c r="D8" s="587"/>
      <c r="E8" s="587"/>
      <c r="F8" s="587"/>
      <c r="G8" s="587"/>
      <c r="H8" s="588"/>
    </row>
    <row r="9" spans="1:8" ht="6.95" customHeight="1" x14ac:dyDescent="0.2">
      <c r="A9" s="21"/>
      <c r="B9" s="21"/>
      <c r="C9" s="21"/>
      <c r="D9" s="21"/>
      <c r="E9" s="21"/>
      <c r="F9" s="21"/>
    </row>
    <row r="10" spans="1:8" ht="15" customHeight="1" x14ac:dyDescent="0.2">
      <c r="A10" s="63" t="s">
        <v>399</v>
      </c>
      <c r="B10" s="586" t="str">
        <f>IF($B$6="","",Datenquelle!C45)</f>
        <v/>
      </c>
      <c r="C10" s="587"/>
      <c r="D10" s="587"/>
      <c r="E10" s="587"/>
      <c r="F10" s="587"/>
      <c r="G10" s="587"/>
      <c r="H10" s="588"/>
    </row>
    <row r="11" spans="1:8" ht="6.95" customHeight="1" x14ac:dyDescent="0.2">
      <c r="A11" s="21"/>
      <c r="B11" s="21"/>
      <c r="C11" s="21"/>
      <c r="D11" s="21"/>
      <c r="E11" s="21"/>
      <c r="F11" s="21"/>
    </row>
    <row r="12" spans="1:8" ht="15" customHeight="1" x14ac:dyDescent="0.2">
      <c r="A12" s="325" t="s">
        <v>1489</v>
      </c>
      <c r="B12" s="580"/>
      <c r="C12" s="581"/>
      <c r="D12" s="582"/>
      <c r="E12" s="386" t="s">
        <v>344</v>
      </c>
      <c r="F12" s="386"/>
      <c r="G12" s="570"/>
      <c r="H12" s="571"/>
    </row>
    <row r="13" spans="1:8" ht="6.95" customHeight="1" x14ac:dyDescent="0.2">
      <c r="C13" s="21"/>
      <c r="D13" s="21"/>
      <c r="E13" s="387"/>
      <c r="F13" s="387"/>
    </row>
    <row r="14" spans="1:8" ht="15" customHeight="1" x14ac:dyDescent="0.2">
      <c r="A14" s="325" t="s">
        <v>1490</v>
      </c>
      <c r="B14" s="580"/>
      <c r="C14" s="581"/>
      <c r="D14" s="582"/>
      <c r="E14" s="386" t="s">
        <v>387</v>
      </c>
      <c r="F14" s="386"/>
      <c r="G14" s="572" t="str">
        <f>IF($B$6="","",Datenquelle!F45)</f>
        <v/>
      </c>
      <c r="H14" s="573"/>
    </row>
    <row r="15" spans="1:8" ht="6.95" customHeight="1" x14ac:dyDescent="0.2">
      <c r="C15" s="21"/>
      <c r="D15" s="21"/>
      <c r="E15" s="387"/>
      <c r="F15" s="387"/>
      <c r="G15" s="21"/>
      <c r="H15" s="10"/>
    </row>
    <row r="16" spans="1:8" ht="15.75" customHeight="1" x14ac:dyDescent="0.2">
      <c r="A16" s="325" t="s">
        <v>209</v>
      </c>
      <c r="B16" s="575"/>
      <c r="C16" s="576"/>
      <c r="D16" s="577"/>
      <c r="E16" s="388" t="s">
        <v>357</v>
      </c>
      <c r="F16" s="388"/>
      <c r="G16" s="574">
        <v>2025</v>
      </c>
      <c r="H16" s="574"/>
    </row>
    <row r="17" spans="1:8" ht="24" customHeight="1" x14ac:dyDescent="0.2">
      <c r="A17" s="21"/>
      <c r="B17" s="21"/>
      <c r="C17" s="21"/>
      <c r="D17" s="21"/>
      <c r="F17" s="21"/>
    </row>
    <row r="18" spans="1:8" ht="18" customHeight="1" x14ac:dyDescent="0.2">
      <c r="A18" s="578" t="s">
        <v>212</v>
      </c>
      <c r="B18" s="578"/>
      <c r="C18" s="579" t="s">
        <v>1426</v>
      </c>
      <c r="D18" s="579"/>
      <c r="E18" s="579"/>
      <c r="F18" s="579"/>
      <c r="G18" s="579"/>
      <c r="H18" s="579"/>
    </row>
    <row r="19" spans="1:8" ht="27" customHeight="1" x14ac:dyDescent="0.2">
      <c r="A19" s="560" t="str">
        <f>IF($B$6="","",Datenquelle!D45)</f>
        <v/>
      </c>
      <c r="B19" s="561"/>
      <c r="C19" s="562"/>
      <c r="D19" s="563"/>
      <c r="E19" s="563"/>
      <c r="F19" s="563"/>
      <c r="G19" s="563"/>
      <c r="H19" s="564"/>
    </row>
    <row r="20" spans="1:8" ht="18" customHeight="1" x14ac:dyDescent="0.2">
      <c r="A20" s="21"/>
      <c r="B20" s="21"/>
      <c r="C20" s="21"/>
      <c r="D20" s="21"/>
      <c r="F20" s="21"/>
    </row>
    <row r="21" spans="1:8" ht="18" customHeight="1" x14ac:dyDescent="0.2">
      <c r="A21" s="565" t="s">
        <v>260</v>
      </c>
      <c r="B21" s="566"/>
      <c r="C21" s="567" t="s">
        <v>316</v>
      </c>
      <c r="D21" s="568"/>
      <c r="E21" s="568"/>
      <c r="F21" s="568"/>
      <c r="G21" s="568"/>
      <c r="H21" s="569"/>
    </row>
    <row r="22" spans="1:8" ht="27" customHeight="1" x14ac:dyDescent="0.2">
      <c r="A22" s="560" t="s">
        <v>341</v>
      </c>
      <c r="B22" s="561"/>
      <c r="C22" s="562"/>
      <c r="D22" s="563"/>
      <c r="E22" s="563"/>
      <c r="F22" s="563"/>
      <c r="G22" s="563"/>
      <c r="H22" s="564"/>
    </row>
    <row r="23" spans="1:8" ht="15" customHeight="1" x14ac:dyDescent="0.2">
      <c r="E23" s="21"/>
      <c r="F23" s="592"/>
      <c r="G23" s="593"/>
      <c r="H23" s="593"/>
    </row>
    <row r="24" spans="1:8" ht="15" customHeight="1" x14ac:dyDescent="0.2">
      <c r="A24" s="602"/>
      <c r="B24" s="602"/>
      <c r="C24" s="602"/>
      <c r="D24" s="602"/>
      <c r="E24" s="602"/>
      <c r="F24" s="602"/>
      <c r="G24" s="602"/>
      <c r="H24" s="602"/>
    </row>
    <row r="25" spans="1:8" ht="23.25" customHeight="1" x14ac:dyDescent="0.2">
      <c r="A25" s="594" t="s">
        <v>761</v>
      </c>
      <c r="B25" s="597" t="s">
        <v>1190</v>
      </c>
      <c r="C25" s="598"/>
      <c r="D25" s="599"/>
      <c r="E25" s="605" t="s">
        <v>1193</v>
      </c>
      <c r="F25" s="600" t="s">
        <v>91</v>
      </c>
      <c r="G25" s="601"/>
      <c r="H25" s="609" t="s">
        <v>312</v>
      </c>
    </row>
    <row r="26" spans="1:8" ht="23.25" customHeight="1" x14ac:dyDescent="0.2">
      <c r="A26" s="595"/>
      <c r="B26" s="603" t="s">
        <v>1191</v>
      </c>
      <c r="C26" s="603"/>
      <c r="D26" s="604" t="s">
        <v>1192</v>
      </c>
      <c r="E26" s="607"/>
      <c r="F26" s="604" t="s">
        <v>1194</v>
      </c>
      <c r="G26" s="605" t="s">
        <v>1195</v>
      </c>
      <c r="H26" s="610"/>
    </row>
    <row r="27" spans="1:8" ht="54" customHeight="1" x14ac:dyDescent="0.2">
      <c r="A27" s="596"/>
      <c r="B27" s="389" t="s">
        <v>1177</v>
      </c>
      <c r="C27" s="453" t="s">
        <v>645</v>
      </c>
      <c r="D27" s="604"/>
      <c r="E27" s="608"/>
      <c r="F27" s="604"/>
      <c r="G27" s="606"/>
      <c r="H27" s="611"/>
    </row>
    <row r="28" spans="1:8" ht="15" customHeight="1" x14ac:dyDescent="0.2">
      <c r="A28" s="390" t="s">
        <v>293</v>
      </c>
      <c r="B28" s="391" t="str">
        <f>IF(AND(B29="",B30=""),"",SUM(B29:B30))</f>
        <v/>
      </c>
      <c r="C28" s="391" t="str">
        <f>IF(AND(C29="",C30=""),"",SUM(C29:C30))</f>
        <v/>
      </c>
      <c r="D28" s="391" t="str">
        <f>IF(AND(D29="",D30=""),"",SUM(D29:D30))</f>
        <v/>
      </c>
      <c r="E28" s="391" t="str">
        <f t="shared" ref="E28:F28" si="0">IF(AND(E29="",E30=""),"",SUM(E29:E30))</f>
        <v/>
      </c>
      <c r="F28" s="391" t="str">
        <f t="shared" si="0"/>
        <v/>
      </c>
      <c r="G28" s="391" t="str">
        <f>IF(AND(G29="",G30=""),"",SUM(G29:G30))</f>
        <v/>
      </c>
      <c r="H28" s="391" t="str">
        <f>IF(AND(H29="",H30=""),"",SUM(H29:H30))</f>
        <v/>
      </c>
    </row>
    <row r="29" spans="1:8" ht="15" customHeight="1" x14ac:dyDescent="0.2">
      <c r="A29" s="392" t="s">
        <v>1196</v>
      </c>
      <c r="B29" s="393"/>
      <c r="C29" s="394"/>
      <c r="D29" s="393"/>
      <c r="E29" s="393"/>
      <c r="F29" s="393"/>
      <c r="G29" s="394"/>
      <c r="H29" s="395" t="str">
        <f>IF(AND(B29="",D29="",E29="",F29="",G29=""),"",SUM(B29:G29))</f>
        <v/>
      </c>
    </row>
    <row r="30" spans="1:8" ht="15" customHeight="1" x14ac:dyDescent="0.2">
      <c r="A30" s="392" t="s">
        <v>1197</v>
      </c>
      <c r="B30" s="393"/>
      <c r="C30" s="393"/>
      <c r="D30" s="393"/>
      <c r="E30" s="393"/>
      <c r="F30" s="393"/>
      <c r="G30" s="393"/>
      <c r="H30" s="395" t="str">
        <f>IF(AND(B30="",C30="",D30="",E30="",F30="",G30=""),"",SUM(B30:G30))</f>
        <v/>
      </c>
    </row>
    <row r="31" spans="1:8" ht="6.75" customHeight="1" x14ac:dyDescent="0.2">
      <c r="E31" s="21"/>
      <c r="F31" s="21"/>
      <c r="G31" s="21"/>
      <c r="H31" s="10"/>
    </row>
    <row r="32" spans="1:8" ht="24.75" customHeight="1" x14ac:dyDescent="0.2">
      <c r="A32" s="590" t="s">
        <v>1812</v>
      </c>
      <c r="B32" s="590"/>
      <c r="C32" s="591"/>
      <c r="D32" s="591"/>
      <c r="E32" s="591"/>
      <c r="F32" s="591"/>
      <c r="G32" s="591"/>
      <c r="H32" s="591"/>
    </row>
    <row r="33" spans="1:8" ht="264.75" customHeight="1" x14ac:dyDescent="0.2">
      <c r="A33" s="590" t="s">
        <v>1528</v>
      </c>
      <c r="B33" s="590"/>
      <c r="C33" s="591"/>
      <c r="D33" s="591"/>
      <c r="E33" s="591"/>
      <c r="F33" s="591"/>
      <c r="G33" s="591"/>
      <c r="H33" s="591"/>
    </row>
    <row r="34" spans="1:8" ht="12.75" customHeight="1" x14ac:dyDescent="0.2">
      <c r="A34" s="396" t="s">
        <v>77</v>
      </c>
      <c r="B34" s="396"/>
      <c r="C34" s="396"/>
      <c r="D34" s="396"/>
      <c r="E34" s="396"/>
      <c r="F34" s="396"/>
      <c r="G34" s="396"/>
      <c r="H34" s="396"/>
    </row>
    <row r="35" spans="1:8" ht="12.75" customHeight="1" x14ac:dyDescent="0.2">
      <c r="A35" s="396" t="s">
        <v>78</v>
      </c>
      <c r="B35" s="396"/>
      <c r="C35" s="396"/>
      <c r="D35" s="396"/>
      <c r="E35" s="396"/>
      <c r="F35" s="396"/>
      <c r="G35" s="396"/>
      <c r="H35" s="396"/>
    </row>
    <row r="36" spans="1:8" x14ac:dyDescent="0.2">
      <c r="A36" s="396"/>
      <c r="B36" s="396"/>
      <c r="C36" s="396"/>
      <c r="D36" s="396"/>
      <c r="E36" s="396"/>
      <c r="F36" s="396"/>
      <c r="G36" s="396"/>
      <c r="H36" s="396"/>
    </row>
    <row r="37" spans="1:8" x14ac:dyDescent="0.2">
      <c r="A37" s="397"/>
      <c r="B37" s="397"/>
      <c r="C37" s="397"/>
      <c r="D37" s="397"/>
      <c r="E37" s="397"/>
      <c r="F37" s="397"/>
      <c r="G37" s="397"/>
      <c r="H37" s="397"/>
    </row>
    <row r="55" ht="12.75" customHeight="1" x14ac:dyDescent="0.2"/>
  </sheetData>
  <sheetProtection algorithmName="SHA-512" hashValue="eFJGxIfoePKqat0lXhoH398oENP2DUH1FNvUaMKKGSVD1SXqwQUxIeTcGR2a/Q3uZ+drIWc8IgcpaQOWNoPQBg==" saltValue="F3G0bZtayxmVTK/40wHE5Q==" spinCount="100000" sheet="1" objects="1" scenarios="1" selectLockedCells="1"/>
  <dataConsolidate/>
  <mergeCells count="33">
    <mergeCell ref="A33:H33"/>
    <mergeCell ref="F23:H23"/>
    <mergeCell ref="A25:A27"/>
    <mergeCell ref="B25:D25"/>
    <mergeCell ref="F25:G25"/>
    <mergeCell ref="A24:H24"/>
    <mergeCell ref="A32:H32"/>
    <mergeCell ref="B26:C26"/>
    <mergeCell ref="D26:D27"/>
    <mergeCell ref="F26:F27"/>
    <mergeCell ref="G26:G27"/>
    <mergeCell ref="E25:E27"/>
    <mergeCell ref="H25:H27"/>
    <mergeCell ref="A4:F4"/>
    <mergeCell ref="A5:F5"/>
    <mergeCell ref="B6:C6"/>
    <mergeCell ref="B8:H8"/>
    <mergeCell ref="B10:H10"/>
    <mergeCell ref="G6:H6"/>
    <mergeCell ref="G12:H12"/>
    <mergeCell ref="G14:H14"/>
    <mergeCell ref="G16:H16"/>
    <mergeCell ref="B16:D16"/>
    <mergeCell ref="A18:B18"/>
    <mergeCell ref="C18:H18"/>
    <mergeCell ref="B14:D14"/>
    <mergeCell ref="B12:D12"/>
    <mergeCell ref="A19:B19"/>
    <mergeCell ref="C19:H19"/>
    <mergeCell ref="A21:B21"/>
    <mergeCell ref="A22:B22"/>
    <mergeCell ref="C21:H21"/>
    <mergeCell ref="C22:H22"/>
  </mergeCells>
  <phoneticPr fontId="81" type="noConversion"/>
  <conditionalFormatting sqref="A22">
    <cfRule type="expression" dxfId="259" priority="10" stopIfTrue="1">
      <formula>LEN(TRIM(A22))=0</formula>
    </cfRule>
  </conditionalFormatting>
  <conditionalFormatting sqref="B6">
    <cfRule type="expression" dxfId="258" priority="22" stopIfTrue="1">
      <formula>LEN(TRIM(B6))=0</formula>
    </cfRule>
  </conditionalFormatting>
  <conditionalFormatting sqref="B12">
    <cfRule type="expression" dxfId="257" priority="3" stopIfTrue="1">
      <formula>LEN(TRIM(B12))=0</formula>
    </cfRule>
  </conditionalFormatting>
  <conditionalFormatting sqref="B14">
    <cfRule type="expression" dxfId="256" priority="4" stopIfTrue="1">
      <formula>LEN(TRIM(B14))=0</formula>
    </cfRule>
  </conditionalFormatting>
  <conditionalFormatting sqref="B16">
    <cfRule type="expression" dxfId="255" priority="43" stopIfTrue="1">
      <formula>LEN(TRIM(B16))=0</formula>
    </cfRule>
  </conditionalFormatting>
  <conditionalFormatting sqref="B29:B30">
    <cfRule type="expression" dxfId="254" priority="20" stopIfTrue="1">
      <formula>LEN(TRIM(B29))=0</formula>
    </cfRule>
  </conditionalFormatting>
  <conditionalFormatting sqref="B12:D12">
    <cfRule type="expression" dxfId="253" priority="2">
      <formula>IF(OR($A$19="Österreich",$A$19="Schweiz",$A$19="Italien",$A$19="Luxemburg",$A$19="Polen",$A$19="Rumänien",$A$19="China",$A$19="Russland"),TRUE,FALSE)</formula>
    </cfRule>
  </conditionalFormatting>
  <conditionalFormatting sqref="B14:D14">
    <cfRule type="expression" dxfId="252" priority="1">
      <formula>IF(OR($A$19="Österreich",$A$19="Schweiz",$A$19="Italien",$A$19="Luxemburg",$A$19="Polen",$A$19="Rumänien",$A$19="China",$A$19="Russland"),TRUE,FALSE)</formula>
    </cfRule>
  </conditionalFormatting>
  <conditionalFormatting sqref="C19">
    <cfRule type="expression" dxfId="251" priority="6" stopIfTrue="1">
      <formula>LEN(TRIM(C19))=0</formula>
    </cfRule>
  </conditionalFormatting>
  <conditionalFormatting sqref="C22">
    <cfRule type="expression" dxfId="250" priority="5" stopIfTrue="1">
      <formula>LEN(TRIM(C22))=0</formula>
    </cfRule>
  </conditionalFormatting>
  <conditionalFormatting sqref="C30:G30">
    <cfRule type="expression" dxfId="249" priority="8" stopIfTrue="1">
      <formula>LEN(TRIM(C30))=0</formula>
    </cfRule>
  </conditionalFormatting>
  <conditionalFormatting sqref="D29:F29">
    <cfRule type="expression" dxfId="248" priority="7" stopIfTrue="1">
      <formula>LEN(TRIM(D29))=0</formula>
    </cfRule>
  </conditionalFormatting>
  <conditionalFormatting sqref="G12">
    <cfRule type="expression" dxfId="247" priority="9" stopIfTrue="1">
      <formula>LEN(TRIM(G12))=0</formula>
    </cfRule>
  </conditionalFormatting>
  <dataValidations count="10">
    <dataValidation allowBlank="1" showInputMessage="1" showErrorMessage="1" errorTitle="Eingabefehler" sqref="G14" xr:uid="{00000000-0002-0000-0000-000000000000}"/>
    <dataValidation type="list" allowBlank="1" showInputMessage="1" showErrorMessage="1" errorTitle="Hinweis" error="Auswahl treffen über Dropdown-Liste." sqref="B6:C6" xr:uid="{00000000-0002-0000-0000-000001000000}">
      <formula1>Zentrum</formula1>
    </dataValidation>
    <dataValidation type="whole" allowBlank="1" showInputMessage="1" showErrorMessage="1" errorTitle="Eingabefehler" error="Ganze Zahl zwischen 0 und 5000 eingeben." sqref="B29:G30" xr:uid="{00000000-0002-0000-0000-000002000000}">
      <formula1>0</formula1>
      <formula2>5000</formula2>
    </dataValidation>
    <dataValidation errorStyle="information" allowBlank="1" showInputMessage="1" showErrorMessage="1" sqref="G16" xr:uid="{00000000-0002-0000-0000-000003000000}"/>
    <dataValidation type="textLength" allowBlank="1" showErrorMessage="1" errorTitle="Eingabefehler" error="Nur Texteingabe bis 100 Zeichen möglich." prompt="Name, Vorname" sqref="B16" xr:uid="{00000000-0002-0000-0000-000004000000}">
      <formula1>0</formula1>
      <formula2>100</formula2>
    </dataValidation>
    <dataValidation type="date" allowBlank="1" showErrorMessage="1" errorTitle="Eingabefehler" error="Format: tt.mm.jjjj_x000a__x000a_Zeitraum zwischen 01.10.2025 - 31.01.2027 angeben." sqref="G12:H12" xr:uid="{00000000-0002-0000-0000-000005000000}">
      <formula1>45931</formula1>
      <formula2>46418</formula2>
    </dataValidation>
    <dataValidation type="list" allowBlank="1" showInputMessage="1" showErrorMessage="1" errorTitle="Hinweis" error="Auswahl treffen über Dropdown-Liste." sqref="C19:H19" xr:uid="{00000000-0002-0000-0000-000006000000}">
      <formula1>KrebsregisterZusammenarbeit</formula1>
    </dataValidation>
    <dataValidation type="list" allowBlank="1" showInputMessage="1" showErrorMessage="1" errorTitle="Hinweis" error="Auswahl treffen über Dropdown-Liste." sqref="C22:H22" xr:uid="{00000000-0002-0000-0000-000007000000}">
      <formula1>Tumordokumentation</formula1>
    </dataValidation>
    <dataValidation type="whole" allowBlank="1" showErrorMessage="1" errorTitle="Eingabefehler" error="Die IK-Nummer muss eine 9-stellige Ziffernfolge sein, welche mit 26 beginnt." prompt="Name, Vorname" sqref="B12:D12" xr:uid="{00000000-0002-0000-0000-000008000000}">
      <formula1>260000000</formula1>
      <formula2>269999999</formula2>
    </dataValidation>
    <dataValidation type="whole" allowBlank="1" showErrorMessage="1" errorTitle="Eingabefehler" error="Die Standort-Nummer muss eine 9-stellige Ziffernfolge sein, welche mit 77 beginnt." prompt="Name, Vorname" sqref="B14:D14" xr:uid="{00000000-0002-0000-0000-000009000000}">
      <formula1>770000000</formula1>
      <formula2>779999999</formula2>
    </dataValidation>
  </dataValidations>
  <pageMargins left="0.59055118110236227" right="3.937007874015748E-2" top="0.39370078740157483" bottom="0.39370078740157483" header="0.11811023622047245" footer="0.11811023622047245"/>
  <pageSetup paperSize="9" scale="96" orientation="portrait" r:id="rId1"/>
  <headerFooter>
    <oddFooter>&amp;L&amp;"Arial,Regular"&amp;7&amp;F&amp;C&amp;"Arial,Regular"&amp;7 © DKG  Alle Rechte vorbehalten&amp;R&amp;"Arial,Regular"&amp;7&amp;P</oddFooter>
  </headerFooter>
  <rowBreaks count="1" manualBreakCount="1">
    <brk id="33" max="7" man="1"/>
  </rowBreaks>
  <drawing r:id="rId2"/>
  <legacyDrawing r:id="rId3"/>
  <legacyDrawingHF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Tabelle5"/>
  <dimension ref="A1:K43"/>
  <sheetViews>
    <sheetView topLeftCell="A4" zoomScaleNormal="100" workbookViewId="0">
      <selection activeCell="D22" sqref="D22"/>
    </sheetView>
  </sheetViews>
  <sheetFormatPr defaultColWidth="9.140625" defaultRowHeight="12.75" x14ac:dyDescent="0.25"/>
  <cols>
    <col min="1" max="1" width="23.7109375" style="176" customWidth="1"/>
    <col min="2" max="4" width="20.7109375" style="176" customWidth="1"/>
    <col min="5" max="5" width="9.7109375" style="176" customWidth="1"/>
    <col min="6" max="6" width="39.140625" style="176" customWidth="1"/>
    <col min="7" max="7" width="46.85546875" style="176" customWidth="1"/>
    <col min="8" max="8" width="12" style="176" customWidth="1"/>
    <col min="9" max="9" width="23" style="176" customWidth="1"/>
    <col min="10" max="10" width="23.140625" style="176" customWidth="1"/>
    <col min="11" max="11" width="25.7109375" style="176" customWidth="1"/>
    <col min="12" max="16384" width="9.140625" style="176"/>
  </cols>
  <sheetData>
    <row r="1" spans="1:11" x14ac:dyDescent="0.25">
      <c r="A1" s="174" t="s">
        <v>337</v>
      </c>
      <c r="B1" s="175">
        <v>244</v>
      </c>
    </row>
    <row r="2" spans="1:11" x14ac:dyDescent="0.25">
      <c r="A2" s="174" t="s">
        <v>313</v>
      </c>
      <c r="B2" s="175" t="str">
        <f>IF(Basisdaten!B6=0,"",Basisdaten!B6)</f>
        <v/>
      </c>
      <c r="I2" s="177"/>
    </row>
    <row r="3" spans="1:11" x14ac:dyDescent="0.25">
      <c r="A3" s="174" t="s">
        <v>344</v>
      </c>
      <c r="B3" s="178" t="str">
        <f>IF(Basisdaten!G12=0,"",Basisdaten!G12)</f>
        <v/>
      </c>
    </row>
    <row r="5" spans="1:11" x14ac:dyDescent="0.25">
      <c r="A5" s="209" t="s">
        <v>239</v>
      </c>
      <c r="B5" s="175"/>
    </row>
    <row r="6" spans="1:11" x14ac:dyDescent="0.25">
      <c r="A6" s="209" t="s">
        <v>240</v>
      </c>
      <c r="B6" s="175"/>
    </row>
    <row r="7" spans="1:11" x14ac:dyDescent="0.25">
      <c r="A7" s="209" t="s">
        <v>241</v>
      </c>
      <c r="B7" s="175"/>
    </row>
    <row r="8" spans="1:11" x14ac:dyDescent="0.25">
      <c r="A8" s="209" t="s">
        <v>242</v>
      </c>
      <c r="B8" s="175"/>
    </row>
    <row r="9" spans="1:11" x14ac:dyDescent="0.25">
      <c r="A9" s="209" t="s">
        <v>243</v>
      </c>
      <c r="B9" s="175"/>
    </row>
    <row r="11" spans="1:11" x14ac:dyDescent="0.25">
      <c r="A11" s="210" t="s">
        <v>185</v>
      </c>
      <c r="B11" s="210" t="s">
        <v>186</v>
      </c>
      <c r="C11" s="210" t="s">
        <v>152</v>
      </c>
      <c r="D11" s="210" t="s">
        <v>187</v>
      </c>
      <c r="E11" s="210" t="s">
        <v>188</v>
      </c>
      <c r="F11" s="210" t="s">
        <v>189</v>
      </c>
      <c r="G11" s="210" t="s">
        <v>190</v>
      </c>
      <c r="H11" s="210" t="s">
        <v>191</v>
      </c>
      <c r="I11" s="229" t="s">
        <v>244</v>
      </c>
      <c r="J11" s="229" t="s">
        <v>245</v>
      </c>
      <c r="K11" s="229" t="s">
        <v>246</v>
      </c>
    </row>
    <row r="12" spans="1:11" x14ac:dyDescent="0.25">
      <c r="A12" s="211">
        <v>1</v>
      </c>
      <c r="B12" s="478" t="str">
        <f>IF('Kennzahlenbogen_(KB)'!O8 = 0, "n.d.", 'Kennzahlenbogen_(KB)'!O8)</f>
        <v>n.d.</v>
      </c>
      <c r="C12" s="428"/>
      <c r="D12" s="431"/>
      <c r="E12" s="208">
        <f>Berechnung1!N25</f>
        <v>1</v>
      </c>
      <c r="F12" s="175" t="str">
        <f>IF('Kennzahlenbogen_(KB)'!Q8= "", "", 'Kennzahlenbogen_(KB)'!Q8)</f>
        <v/>
      </c>
      <c r="G12" s="175" t="str">
        <f>IF('Kennzahlenbogen_(KB)'!R8 = "", "", 'Kennzahlenbogen_(KB)'!R8)</f>
        <v/>
      </c>
      <c r="H12" s="439">
        <f>Berechnung1!O25</f>
        <v>0</v>
      </c>
      <c r="I12" s="175"/>
      <c r="J12" s="175"/>
      <c r="K12" s="175"/>
    </row>
    <row r="13" spans="1:11" x14ac:dyDescent="0.25">
      <c r="A13" s="357" t="s">
        <v>1235</v>
      </c>
      <c r="B13" s="208" t="str">
        <f>IF('Kennzahlenbogen_(KB)'!O11 = "", "",'Kennzahlenbogen_(KB)'!O11)</f>
        <v/>
      </c>
      <c r="C13" s="208" t="str">
        <f>IF('Kennzahlenbogen_(KB)'!O12="","",'Kennzahlenbogen_(KB)'!O12)</f>
        <v/>
      </c>
      <c r="D13" s="311" t="str">
        <f>IF('Kennzahlenbogen_(KB)'!O13="n.d.","n.d.",IF('Kennzahlenbogen_(KB)'!O13="","n.d.",'Kennzahlenbogen_(KB)'!O13*100))</f>
        <v>n.d.</v>
      </c>
      <c r="E13" s="208">
        <f>Berechnung1!N28</f>
        <v>1</v>
      </c>
      <c r="F13" s="175" t="str">
        <f>IF('Kennzahlenbogen_(KB)'!Q11= "", "", 'Kennzahlenbogen_(KB)'!Q11)</f>
        <v/>
      </c>
      <c r="G13" s="175" t="str">
        <f>IF('Kennzahlenbogen_(KB)'!R11 = "", "", 'Kennzahlenbogen_(KB)'!R11)</f>
        <v/>
      </c>
      <c r="H13" s="439">
        <f>Berechnung1!O28</f>
        <v>0</v>
      </c>
      <c r="I13" s="175"/>
      <c r="J13" s="175"/>
      <c r="K13" s="175"/>
    </row>
    <row r="14" spans="1:11" x14ac:dyDescent="0.25">
      <c r="A14" s="357" t="s">
        <v>1236</v>
      </c>
      <c r="B14" s="208" t="str">
        <f>IF('Kennzahlenbogen_(KB)'!O14 = "", "",'Kennzahlenbogen_(KB)'!O14)</f>
        <v/>
      </c>
      <c r="C14" s="208">
        <f>IF('Kennzahlenbogen_(KB)'!O15="","",'Kennzahlenbogen_(KB)'!O15)</f>
        <v>0</v>
      </c>
      <c r="D14" s="446" t="str">
        <f>IF('Kennzahlenbogen_(KB)'!O16="n.d.","n.d.",IF('Kennzahlenbogen_(KB)'!O16="","n.d.",'Kennzahlenbogen_(KB)'!O16*100))</f>
        <v>n.d.</v>
      </c>
      <c r="E14" s="208">
        <f>Berechnung1!N31</f>
        <v>1</v>
      </c>
      <c r="F14" s="175" t="str">
        <f>IF('Kennzahlenbogen_(KB)'!Q14 = "", "",'Kennzahlenbogen_(KB)'!Q14)</f>
        <v/>
      </c>
      <c r="G14" s="175" t="str">
        <f>IF('Kennzahlenbogen_(KB)'!R14 = "", "",'Kennzahlenbogen_(KB)'!R14)</f>
        <v/>
      </c>
      <c r="H14" s="439">
        <f>Berechnung1!O31</f>
        <v>0</v>
      </c>
      <c r="I14" s="175"/>
      <c r="J14" s="175"/>
      <c r="K14" s="175"/>
    </row>
    <row r="15" spans="1:11" x14ac:dyDescent="0.25">
      <c r="A15" s="211">
        <v>3</v>
      </c>
      <c r="B15" s="208" t="str">
        <f>IF('Kennzahlenbogen_(KB)'!O17 = "", "",'Kennzahlenbogen_(KB)'!O17)</f>
        <v/>
      </c>
      <c r="C15" s="208">
        <f>IF('Kennzahlenbogen_(KB)'!O18="","",'Kennzahlenbogen_(KB)'!O18)</f>
        <v>0</v>
      </c>
      <c r="D15" s="311" t="str">
        <f>IF('Kennzahlenbogen_(KB)'!O19="n.d.","n.d.",'Kennzahlenbogen_(KB)'!O19*100)</f>
        <v>n.d.</v>
      </c>
      <c r="E15" s="208">
        <f>Berechnung1!N34</f>
        <v>1</v>
      </c>
      <c r="F15" s="175" t="str">
        <f>IF('Kennzahlenbogen_(KB)'!Q17 = "", "",'Kennzahlenbogen_(KB)'!Q17)</f>
        <v/>
      </c>
      <c r="G15" s="175" t="str">
        <f>IF('Kennzahlenbogen_(KB)'!R17 = "", "",'Kennzahlenbogen_(KB)'!R17)</f>
        <v/>
      </c>
      <c r="H15" s="439">
        <f>Berechnung1!O34</f>
        <v>0</v>
      </c>
      <c r="I15" s="175"/>
      <c r="J15" s="175"/>
      <c r="K15" s="175"/>
    </row>
    <row r="16" spans="1:11" x14ac:dyDescent="0.25">
      <c r="A16" s="211">
        <v>4</v>
      </c>
      <c r="B16" s="208" t="str">
        <f>IF('Kennzahlenbogen_(KB)'!O20 = "", "",'Kennzahlenbogen_(KB)'!O20)</f>
        <v/>
      </c>
      <c r="C16" s="208">
        <f>IF('Kennzahlenbogen_(KB)'!O21="","",'Kennzahlenbogen_(KB)'!O21)</f>
        <v>0</v>
      </c>
      <c r="D16" s="311" t="str">
        <f>IF('Kennzahlenbogen_(KB)'!O22="n.d.","n.d.",'Kennzahlenbogen_(KB)'!O22*100)</f>
        <v>n.d.</v>
      </c>
      <c r="E16" s="208">
        <f>Berechnung1!N37</f>
        <v>1</v>
      </c>
      <c r="F16" s="175" t="str">
        <f>IF('Kennzahlenbogen_(KB)'!Q20 = "", "",'Kennzahlenbogen_(KB)'!Q20)</f>
        <v/>
      </c>
      <c r="G16" s="175" t="str">
        <f>IF('Kennzahlenbogen_(KB)'!R20 = "", "",'Kennzahlenbogen_(KB)'!R20)</f>
        <v/>
      </c>
      <c r="H16" s="439">
        <f>Berechnung1!O37</f>
        <v>0</v>
      </c>
      <c r="I16" s="228"/>
      <c r="J16" s="175"/>
      <c r="K16" s="175"/>
    </row>
    <row r="17" spans="1:11" x14ac:dyDescent="0.25">
      <c r="A17" s="211">
        <v>5</v>
      </c>
      <c r="B17" s="208" t="str">
        <f>IF('Kennzahlenbogen_(KB)'!O23 = "", "",'Kennzahlenbogen_(KB)'!O23)</f>
        <v/>
      </c>
      <c r="C17" s="208">
        <f>IF('Kennzahlenbogen_(KB)'!O24="","",'Kennzahlenbogen_(KB)'!O24)</f>
        <v>0</v>
      </c>
      <c r="D17" s="311" t="str">
        <f>IF('Kennzahlenbogen_(KB)'!O25="n.d.","n.d.",'Kennzahlenbogen_(KB)'!O25*100)</f>
        <v>n.d.</v>
      </c>
      <c r="E17" s="208">
        <f>Berechnung1!N40</f>
        <v>1</v>
      </c>
      <c r="F17" s="175" t="str">
        <f>IF('Kennzahlenbogen_(KB)'!Q23 = "", "",'Kennzahlenbogen_(KB)'!Q23)</f>
        <v/>
      </c>
      <c r="G17" s="175" t="str">
        <f>IF('Kennzahlenbogen_(KB)'!R23 = "", "",'Kennzahlenbogen_(KB)'!R23)</f>
        <v/>
      </c>
      <c r="H17" s="439">
        <f>Berechnung1!O40</f>
        <v>0</v>
      </c>
      <c r="I17" s="228"/>
      <c r="J17" s="175"/>
      <c r="K17" s="175"/>
    </row>
    <row r="18" spans="1:11" x14ac:dyDescent="0.25">
      <c r="A18" s="211">
        <v>6</v>
      </c>
      <c r="B18" s="208">
        <f>IF('Kennzahlenbogen_(KB)'!O26 = "", "",'Kennzahlenbogen_(KB)'!O26)</f>
        <v>0</v>
      </c>
      <c r="C18" s="208">
        <f>IF('Kennzahlenbogen_(KB)'!O27="","",'Kennzahlenbogen_(KB)'!O27)</f>
        <v>0</v>
      </c>
      <c r="D18" s="311" t="str">
        <f>IF('Kennzahlenbogen_(KB)'!O28="n.d.","n.d.",'Kennzahlenbogen_(KB)'!O28*100)</f>
        <v>n.d.</v>
      </c>
      <c r="E18" s="208">
        <f>Berechnung1!N43</f>
        <v>1</v>
      </c>
      <c r="F18" s="175" t="str">
        <f>IF('Kennzahlenbogen_(KB)'!Q26 = "", "",'Kennzahlenbogen_(KB)'!Q26)</f>
        <v/>
      </c>
      <c r="G18" s="175" t="str">
        <f>IF('Kennzahlenbogen_(KB)'!R26 = "", "",'Kennzahlenbogen_(KB)'!R26)</f>
        <v/>
      </c>
      <c r="H18" s="439">
        <f>Berechnung1!O43</f>
        <v>0</v>
      </c>
      <c r="I18" s="228"/>
      <c r="J18" s="175"/>
      <c r="K18" s="175"/>
    </row>
    <row r="19" spans="1:11" x14ac:dyDescent="0.25">
      <c r="A19" s="357">
        <v>7</v>
      </c>
      <c r="B19" s="208" t="str">
        <f>IF('Kennzahlenbogen_(KB)'!O29 = "", "",'Kennzahlenbogen_(KB)'!O29)</f>
        <v/>
      </c>
      <c r="C19" s="208">
        <f>IF('Kennzahlenbogen_(KB)'!O30 = "", "",'Kennzahlenbogen_(KB)'!O30)</f>
        <v>0</v>
      </c>
      <c r="D19" s="311" t="str">
        <f>IF('Kennzahlenbogen_(KB)'!O31="n.d.","n.d.",'Kennzahlenbogen_(KB)'!O31*100)</f>
        <v>n.d.</v>
      </c>
      <c r="E19" s="208">
        <f>Berechnung1!N46</f>
        <v>1</v>
      </c>
      <c r="F19" s="175" t="str">
        <f>IF('Kennzahlenbogen_(KB)'!Q29 = "", "",'Kennzahlenbogen_(KB)'!Q29)</f>
        <v/>
      </c>
      <c r="G19" s="175" t="str">
        <f>IF('Kennzahlenbogen_(KB)'!R29 = "", "",'Kennzahlenbogen_(KB)'!R29)</f>
        <v/>
      </c>
      <c r="H19" s="439">
        <f>Berechnung1!O46</f>
        <v>0</v>
      </c>
      <c r="I19" s="228"/>
      <c r="J19" s="175"/>
      <c r="K19" s="175"/>
    </row>
    <row r="20" spans="1:11" x14ac:dyDescent="0.25">
      <c r="A20" s="357">
        <v>8</v>
      </c>
      <c r="B20" s="208" t="str">
        <f>IF('Kennzahlenbogen_(KB)'!O32 = "", "",'Kennzahlenbogen_(KB)'!O32)</f>
        <v/>
      </c>
      <c r="C20" s="208" t="str">
        <f>IF('Kennzahlenbogen_(KB)'!O33 = "", "",'Kennzahlenbogen_(KB)'!O33)</f>
        <v/>
      </c>
      <c r="D20" s="446" t="str">
        <f>IF('Kennzahlenbogen_(KB)'!O34="n.d.","n.d.",IF('Kennzahlenbogen_(KB)'!O34="","n.d.",'Kennzahlenbogen_(KB)'!O34*100))</f>
        <v>n.d.</v>
      </c>
      <c r="E20" s="208">
        <f>Berechnung1!N49</f>
        <v>1</v>
      </c>
      <c r="F20" s="175" t="str">
        <f>IF('Kennzahlenbogen_(KB)'!Q32 = "", "",'Kennzahlenbogen_(KB)'!Q32)</f>
        <v/>
      </c>
      <c r="G20" s="175" t="str">
        <f>IF('Kennzahlenbogen_(KB)'!R32 = "", "",'Kennzahlenbogen_(KB)'!R32)</f>
        <v/>
      </c>
      <c r="H20" s="439">
        <f>Berechnung1!O49</f>
        <v>0</v>
      </c>
      <c r="I20" s="228"/>
      <c r="J20" s="175"/>
      <c r="K20" s="175"/>
    </row>
    <row r="21" spans="1:11" x14ac:dyDescent="0.25">
      <c r="A21" s="211">
        <v>9</v>
      </c>
      <c r="B21" s="208" t="str">
        <f>IF('Kennzahlenbogen_(KB)'!O35 = "", "",'Kennzahlenbogen_(KB)'!O35)</f>
        <v/>
      </c>
      <c r="C21" s="208" t="str">
        <f>IF('Kennzahlenbogen_(KB)'!O36="","",'Kennzahlenbogen_(KB)'!O36)</f>
        <v/>
      </c>
      <c r="D21" s="311" t="str">
        <f>IF('Kennzahlenbogen_(KB)'!O37="n.d.","n.d.",'Kennzahlenbogen_(KB)'!O37*100)</f>
        <v>n.d.</v>
      </c>
      <c r="E21" s="208">
        <f>Berechnung1!N52</f>
        <v>1</v>
      </c>
      <c r="F21" s="175" t="str">
        <f>IF('Kennzahlenbogen_(KB)'!Q35 = "", "",'Kennzahlenbogen_(KB)'!Q35)</f>
        <v/>
      </c>
      <c r="G21" s="175" t="str">
        <f>IF('Kennzahlenbogen_(KB)'!R35 = "", "",'Kennzahlenbogen_(KB)'!R35)</f>
        <v/>
      </c>
      <c r="H21" s="439">
        <f>Berechnung1!O52</f>
        <v>0</v>
      </c>
      <c r="I21" s="175"/>
      <c r="J21" s="175"/>
      <c r="K21" s="175"/>
    </row>
    <row r="22" spans="1:11" x14ac:dyDescent="0.25">
      <c r="A22" s="211">
        <v>10</v>
      </c>
      <c r="B22" s="208" t="str">
        <f>IF('Kennzahlenbogen_(KB)'!O38 = "", "", 'Kennzahlenbogen_(KB)'!O38)</f>
        <v/>
      </c>
      <c r="C22" s="208" t="str">
        <f>IF('Kennzahlenbogen_(KB)'!O39="","",'Kennzahlenbogen_(KB)'!O39)</f>
        <v/>
      </c>
      <c r="D22" s="446" t="str">
        <f>IF('Kennzahlenbogen_(KB)'!O40="n.d.","n.d.",IF('Kennzahlenbogen_(KB)'!O40="","n.d.",'Kennzahlenbogen_(KB)'!O40*100))</f>
        <v>n.d.</v>
      </c>
      <c r="E22" s="208">
        <f>Berechnung1!N55</f>
        <v>1</v>
      </c>
      <c r="F22" s="175" t="str">
        <f>IF('Kennzahlenbogen_(KB)'!Q38 = "", "", 'Kennzahlenbogen_(KB)'!Q38)</f>
        <v/>
      </c>
      <c r="G22" s="175" t="str">
        <f>IF('Kennzahlenbogen_(KB)'!R38 = "", "", 'Kennzahlenbogen_(KB)'!R38)</f>
        <v/>
      </c>
      <c r="H22" s="439">
        <f>Berechnung1!O55</f>
        <v>0</v>
      </c>
      <c r="I22" s="175"/>
      <c r="J22" s="175"/>
      <c r="K22" s="175"/>
    </row>
    <row r="23" spans="1:11" x14ac:dyDescent="0.25">
      <c r="A23" s="211">
        <v>11</v>
      </c>
      <c r="B23" s="208" t="str">
        <f>IF('Kennzahlenbogen_(KB)'!O41 = "", "", 'Kennzahlenbogen_(KB)'!O41)</f>
        <v/>
      </c>
      <c r="C23" s="208" t="str">
        <f>IF('Kennzahlenbogen_(KB)'!O42="","",'Kennzahlenbogen_(KB)'!O42)</f>
        <v/>
      </c>
      <c r="D23" s="311" t="str">
        <f>IF('Kennzahlenbogen_(KB)'!O43="n.d.","n.d.",'Kennzahlenbogen_(KB)'!O43*100)</f>
        <v>n.d.</v>
      </c>
      <c r="E23" s="208">
        <f>Berechnung1!N58</f>
        <v>1</v>
      </c>
      <c r="F23" s="175" t="str">
        <f>IF('Kennzahlenbogen_(KB)'!Q41 = "", "", 'Kennzahlenbogen_(KB)'!Q41)</f>
        <v/>
      </c>
      <c r="G23" s="175" t="str">
        <f>IF('Kennzahlenbogen_(KB)'!R41 = "", "", 'Kennzahlenbogen_(KB)'!R41)</f>
        <v/>
      </c>
      <c r="H23" s="439">
        <f>Berechnung1!O58</f>
        <v>0</v>
      </c>
      <c r="I23" s="175"/>
      <c r="J23" s="175"/>
      <c r="K23" s="175"/>
    </row>
    <row r="24" spans="1:11" x14ac:dyDescent="0.25">
      <c r="A24" s="211">
        <v>12</v>
      </c>
      <c r="B24" s="208" t="str">
        <f>IF('Kennzahlenbogen_(KB)'!O44 = "", "", 'Kennzahlenbogen_(KB)'!O44)</f>
        <v/>
      </c>
      <c r="C24" s="208" t="str">
        <f>IF('Kennzahlenbogen_(KB)'!O45="","",'Kennzahlenbogen_(KB)'!O45)</f>
        <v/>
      </c>
      <c r="D24" s="446" t="str">
        <f>IF('Kennzahlenbogen_(KB)'!O46="n.d.","n.d.",IF('Kennzahlenbogen_(KB)'!O46="","n.d.",'Kennzahlenbogen_(KB)'!O46*100))</f>
        <v>n.d.</v>
      </c>
      <c r="E24" s="208">
        <f>Berechnung1!N61</f>
        <v>1</v>
      </c>
      <c r="F24" s="175" t="str">
        <f>IF('Kennzahlenbogen_(KB)'!Q44 = 0, "", 'Kennzahlenbogen_(KB)'!Q44)</f>
        <v/>
      </c>
      <c r="G24" s="175" t="str">
        <f>IF('Kennzahlenbogen_(KB)'!R44 = 0, "", 'Kennzahlenbogen_(KB)'!R44)</f>
        <v/>
      </c>
      <c r="H24" s="439">
        <f>Berechnung1!O61</f>
        <v>0</v>
      </c>
      <c r="I24" s="175"/>
      <c r="J24" s="175"/>
      <c r="K24" s="175"/>
    </row>
    <row r="25" spans="1:11" x14ac:dyDescent="0.25">
      <c r="A25" s="211">
        <v>13</v>
      </c>
      <c r="B25" s="208" t="str">
        <f>IF('Kennzahlenbogen_(KB)'!O47 = 0, "n.d.", 'Kennzahlenbogen_(KB)'!O47)</f>
        <v>n.d.</v>
      </c>
      <c r="C25" s="429" t="str">
        <f>IF('Kennzahlenbogen_(KB)'!O51="","",'Kennzahlenbogen_(KB)'!O51)</f>
        <v/>
      </c>
      <c r="D25" s="430"/>
      <c r="E25" s="208">
        <f>Berechnung1!N64</f>
        <v>1</v>
      </c>
      <c r="F25" s="175" t="str">
        <f>IF('Kennzahlenbogen_(KB)'!Q47 = 0, "", 'Kennzahlenbogen_(KB)'!Q47)</f>
        <v/>
      </c>
      <c r="G25" s="175" t="str">
        <f>IF('Kennzahlenbogen_(KB)'!R47 = 0, "", 'Kennzahlenbogen_(KB)'!R47)</f>
        <v/>
      </c>
      <c r="H25" s="439">
        <f>Berechnung1!O64</f>
        <v>0</v>
      </c>
      <c r="I25" s="175"/>
      <c r="J25" s="175"/>
      <c r="K25" s="175"/>
    </row>
    <row r="26" spans="1:11" x14ac:dyDescent="0.25">
      <c r="A26" s="211">
        <v>14</v>
      </c>
      <c r="B26" s="208" t="str">
        <f>IF('Kennzahlenbogen_(KB)'!O50 = 0, "n.d.", 'Kennzahlenbogen_(KB)'!O50)</f>
        <v>n.d.</v>
      </c>
      <c r="C26" s="429"/>
      <c r="D26" s="430"/>
      <c r="E26" s="208">
        <f>Berechnung1!N67</f>
        <v>1</v>
      </c>
      <c r="F26" s="175" t="str">
        <f>IF('Kennzahlenbogen_(KB)'!Q50 = "", "", 'Kennzahlenbogen_(KB)'!Q50)</f>
        <v/>
      </c>
      <c r="G26" s="175" t="str">
        <f>IF('Kennzahlenbogen_(KB)'!R50 = "", "", 'Kennzahlenbogen_(KB)'!R50)</f>
        <v/>
      </c>
      <c r="H26" s="439">
        <f>Berechnung1!O67</f>
        <v>0</v>
      </c>
      <c r="I26" s="175"/>
      <c r="J26" s="175"/>
      <c r="K26" s="175"/>
    </row>
    <row r="27" spans="1:11" x14ac:dyDescent="0.25">
      <c r="A27" s="211">
        <v>15</v>
      </c>
      <c r="B27" s="208" t="str">
        <f>IF('Kennzahlenbogen_(KB)'!O53 = "", "", 'Kennzahlenbogen_(KB)'!O53)</f>
        <v/>
      </c>
      <c r="C27" s="208">
        <f>IF('Kennzahlenbogen_(KB)'!O54="","",'Kennzahlenbogen_(KB)'!O54)</f>
        <v>0</v>
      </c>
      <c r="D27" s="311" t="str">
        <f>IF('Kennzahlenbogen_(KB)'!O55="n.d.","n.d.",'Kennzahlenbogen_(KB)'!O55*100)</f>
        <v>n.d.</v>
      </c>
      <c r="E27" s="208">
        <f>Berechnung1!N70</f>
        <v>1</v>
      </c>
      <c r="F27" s="175" t="str">
        <f>IF('Kennzahlenbogen_(KB)'!Q53 = "", "", 'Kennzahlenbogen_(KB)'!Q53)</f>
        <v/>
      </c>
      <c r="G27" s="175" t="str">
        <f>IF('Kennzahlenbogen_(KB)'!R53 = "", "", 'Kennzahlenbogen_(KB)'!R53)</f>
        <v/>
      </c>
      <c r="H27" s="439">
        <f>Berechnung1!O70</f>
        <v>0</v>
      </c>
      <c r="I27" s="175"/>
      <c r="J27" s="175"/>
      <c r="K27" s="175"/>
    </row>
    <row r="28" spans="1:11" x14ac:dyDescent="0.25">
      <c r="A28" s="211">
        <v>16</v>
      </c>
      <c r="B28" s="208" t="str">
        <f>IF('Kennzahlenbogen_(KB)'!O56 = "", "", 'Kennzahlenbogen_(KB)'!O56)</f>
        <v/>
      </c>
      <c r="C28" s="208">
        <f>IF('Kennzahlenbogen_(KB)'!O57="","",'Kennzahlenbogen_(KB)'!O57)</f>
        <v>0</v>
      </c>
      <c r="D28" s="311" t="str">
        <f>IF('Kennzahlenbogen_(KB)'!O58="n.d.","n.d.",'Kennzahlenbogen_(KB)'!O58*100)</f>
        <v>n.d.</v>
      </c>
      <c r="E28" s="208">
        <f>Berechnung1!N73</f>
        <v>1</v>
      </c>
      <c r="F28" s="175" t="str">
        <f>IF('Kennzahlenbogen_(KB)'!Q56 = "", "", 'Kennzahlenbogen_(KB)'!Q56)</f>
        <v/>
      </c>
      <c r="G28" s="175" t="str">
        <f>IF('Kennzahlenbogen_(KB)'!R56 = "", "", 'Kennzahlenbogen_(KB)'!R56)</f>
        <v/>
      </c>
      <c r="H28" s="439">
        <f>Berechnung1!O73</f>
        <v>0</v>
      </c>
      <c r="I28" s="175"/>
      <c r="J28" s="175"/>
      <c r="K28" s="175"/>
    </row>
    <row r="29" spans="1:11" x14ac:dyDescent="0.25">
      <c r="A29" s="211">
        <v>17</v>
      </c>
      <c r="B29" s="208" t="str">
        <f>IF('Kennzahlenbogen_(KB)'!O59 = "", "", 'Kennzahlenbogen_(KB)'!O59)</f>
        <v/>
      </c>
      <c r="C29" s="208" t="str">
        <f>IF('Kennzahlenbogen_(KB)'!O60="","",'Kennzahlenbogen_(KB)'!O60)</f>
        <v/>
      </c>
      <c r="D29" s="311" t="str">
        <f>IF('Kennzahlenbogen_(KB)'!O61="n.d.","n.d.",'Kennzahlenbogen_(KB)'!O61*100)</f>
        <v>n.d.</v>
      </c>
      <c r="E29" s="208">
        <f>Berechnung1!N76</f>
        <v>1</v>
      </c>
      <c r="F29" s="175" t="str">
        <f>IF('Kennzahlenbogen_(KB)'!Q59 = "", "", 'Kennzahlenbogen_(KB)'!Q59)</f>
        <v/>
      </c>
      <c r="G29" s="175" t="str">
        <f>IF('Kennzahlenbogen_(KB)'!R59 = "", "", 'Kennzahlenbogen_(KB)'!R59)</f>
        <v/>
      </c>
      <c r="H29" s="439">
        <f>Berechnung1!O76</f>
        <v>0</v>
      </c>
      <c r="I29" s="175"/>
      <c r="J29" s="175"/>
      <c r="K29" s="175"/>
    </row>
    <row r="30" spans="1:11" x14ac:dyDescent="0.25">
      <c r="A30" s="211">
        <v>18</v>
      </c>
      <c r="B30" s="208" t="str">
        <f>IF('Kennzahlenbogen_(KB)'!O62 = "", "", 'Kennzahlenbogen_(KB)'!O62)</f>
        <v/>
      </c>
      <c r="C30" s="208" t="str">
        <f>IF('Kennzahlenbogen_(KB)'!O63="","",'Kennzahlenbogen_(KB)'!O63)</f>
        <v/>
      </c>
      <c r="D30" s="311" t="str">
        <f>IF('Kennzahlenbogen_(KB)'!O64="n.d.","n.d.",'Kennzahlenbogen_(KB)'!O64*100)</f>
        <v>n.d.</v>
      </c>
      <c r="E30" s="208">
        <f>Berechnung1!N79</f>
        <v>1</v>
      </c>
      <c r="F30" s="175" t="str">
        <f>IF('Kennzahlenbogen_(KB)'!Q62 = "", "", 'Kennzahlenbogen_(KB)'!Q62)</f>
        <v/>
      </c>
      <c r="G30" s="175" t="str">
        <f>IF('Kennzahlenbogen_(KB)'!R62 = "", "", 'Kennzahlenbogen_(KB)'!R62)</f>
        <v/>
      </c>
      <c r="H30" s="439">
        <f>Berechnung1!O79</f>
        <v>0</v>
      </c>
      <c r="I30" s="175"/>
      <c r="J30" s="175"/>
      <c r="K30" s="175"/>
    </row>
    <row r="31" spans="1:11" x14ac:dyDescent="0.25">
      <c r="A31" s="211">
        <v>19</v>
      </c>
      <c r="B31" s="208" t="str">
        <f>IF('Kennzahlenbogen_(KB)'!O65 = "", "", 'Kennzahlenbogen_(KB)'!O65)</f>
        <v/>
      </c>
      <c r="C31" s="208">
        <f>IF('Kennzahlenbogen_(KB)'!O66="","",'Kennzahlenbogen_(KB)'!O66)</f>
        <v>0</v>
      </c>
      <c r="D31" s="311" t="str">
        <f>IF('Kennzahlenbogen_(KB)'!O67="n.d.","n.d.",'Kennzahlenbogen_(KB)'!O67*100)</f>
        <v>n.d.</v>
      </c>
      <c r="E31" s="208">
        <f>Berechnung1!N82</f>
        <v>1</v>
      </c>
      <c r="F31" s="175" t="str">
        <f>IF('Kennzahlenbogen_(KB)'!Q65 = "", "", 'Kennzahlenbogen_(KB)'!Q65)</f>
        <v/>
      </c>
      <c r="G31" s="175" t="str">
        <f>IF('Kennzahlenbogen_(KB)'!R65 = "", "", 'Kennzahlenbogen_(KB)'!R65)</f>
        <v/>
      </c>
      <c r="H31" s="439">
        <f>Berechnung1!O82</f>
        <v>0</v>
      </c>
      <c r="I31" s="175"/>
      <c r="J31" s="175"/>
      <c r="K31" s="175"/>
    </row>
    <row r="32" spans="1:11" x14ac:dyDescent="0.25">
      <c r="A32" s="211">
        <v>20</v>
      </c>
      <c r="B32" s="208" t="str">
        <f>IF('Kennzahlenbogen_(KB)'!O68 = "", "", 'Kennzahlenbogen_(KB)'!O68)</f>
        <v/>
      </c>
      <c r="C32" s="208">
        <f>IF('Kennzahlenbogen_(KB)'!O69="","",'Kennzahlenbogen_(KB)'!O69)</f>
        <v>0</v>
      </c>
      <c r="D32" s="311" t="str">
        <f>IF('Kennzahlenbogen_(KB)'!O70="n.d.","n.d.",'Kennzahlenbogen_(KB)'!O70*100)</f>
        <v>n.d.</v>
      </c>
      <c r="E32" s="208">
        <f>Berechnung1!N85</f>
        <v>1</v>
      </c>
      <c r="F32" s="175" t="str">
        <f>IF('Kennzahlenbogen_(KB)'!Q68 = "", "", 'Kennzahlenbogen_(KB)'!Q68)</f>
        <v/>
      </c>
      <c r="G32" s="175" t="str">
        <f>IF('Kennzahlenbogen_(KB)'!R68 = "", "", 'Kennzahlenbogen_(KB)'!R68)</f>
        <v/>
      </c>
      <c r="H32" s="439">
        <f>Berechnung1!O85</f>
        <v>0</v>
      </c>
      <c r="I32" s="175"/>
      <c r="J32" s="175"/>
      <c r="K32" s="175"/>
    </row>
    <row r="33" spans="1:11" x14ac:dyDescent="0.25">
      <c r="A33" s="211">
        <v>21</v>
      </c>
      <c r="B33" s="208" t="str">
        <f>IF('Kennzahlenbogen_(KB)'!O71 = "", "", 'Kennzahlenbogen_(KB)'!O71)</f>
        <v/>
      </c>
      <c r="C33" s="208" t="str">
        <f>IF('Kennzahlenbogen_(KB)'!O72="","",'Kennzahlenbogen_(KB)'!O72)</f>
        <v/>
      </c>
      <c r="D33" s="311" t="str">
        <f>IF('Kennzahlenbogen_(KB)'!O73="n.d.","n.d.",'Kennzahlenbogen_(KB)'!O73*100)</f>
        <v>n.d.</v>
      </c>
      <c r="E33" s="208">
        <f>Berechnung1!N88</f>
        <v>1</v>
      </c>
      <c r="F33" s="175" t="str">
        <f>IF('Kennzahlenbogen_(KB)'!Q71 = "", "", 'Kennzahlenbogen_(KB)'!Q71)</f>
        <v/>
      </c>
      <c r="G33" s="175" t="str">
        <f>IF('Kennzahlenbogen_(KB)'!R71 = "", "", 'Kennzahlenbogen_(KB)'!R71)</f>
        <v/>
      </c>
      <c r="H33" s="439">
        <f>Berechnung1!O88</f>
        <v>0</v>
      </c>
      <c r="I33" s="175"/>
      <c r="J33" s="175"/>
      <c r="K33" s="175"/>
    </row>
    <row r="34" spans="1:11" x14ac:dyDescent="0.25">
      <c r="A34" s="357" t="s">
        <v>1383</v>
      </c>
      <c r="B34" s="208" t="str">
        <f>IF('Kennzahlenbogen_(KB)'!O74 = "", "", 'Kennzahlenbogen_(KB)'!O74)</f>
        <v/>
      </c>
      <c r="C34" s="208" t="str">
        <f>IF('Kennzahlenbogen_(KB)'!O75="","",'Kennzahlenbogen_(KB)'!O75)</f>
        <v/>
      </c>
      <c r="D34" s="446" t="str">
        <f>IF('Kennzahlenbogen_(KB)'!O76="n.d.","n.d.",IF('Kennzahlenbogen_(KB)'!O76="","n.d.",'Kennzahlenbogen_(KB)'!O76*100))</f>
        <v>n.d.</v>
      </c>
      <c r="E34" s="208">
        <f>Berechnung1!N91</f>
        <v>1</v>
      </c>
      <c r="F34" s="175" t="str">
        <f>IF('Kennzahlenbogen_(KB)'!Q74 = "", "", 'Kennzahlenbogen_(KB)'!Q74)</f>
        <v/>
      </c>
      <c r="G34" s="175" t="str">
        <f>IF('Kennzahlenbogen_(KB)'!R74 = "", "", 'Kennzahlenbogen_(KB)'!R74)</f>
        <v/>
      </c>
      <c r="H34" s="439">
        <f>Berechnung1!O91</f>
        <v>0</v>
      </c>
      <c r="I34" s="175"/>
      <c r="J34" s="175"/>
      <c r="K34" s="175"/>
    </row>
    <row r="35" spans="1:11" x14ac:dyDescent="0.25">
      <c r="A35" s="357" t="s">
        <v>1384</v>
      </c>
      <c r="B35" s="208" t="str">
        <f>IF('Kennzahlenbogen_(KB)'!O77 = "", "n.d.", 'Kennzahlenbogen_(KB)'!O77)</f>
        <v>n.d.</v>
      </c>
      <c r="C35" s="428" t="str">
        <f>IF('Kennzahlenbogen_(KB)'!O78="","",'Kennzahlenbogen_(KB)'!O78)</f>
        <v/>
      </c>
      <c r="D35" s="431"/>
      <c r="E35" s="208">
        <f>Berechnung1!N94</f>
        <v>1</v>
      </c>
      <c r="F35" s="175" t="str">
        <f>IF('Kennzahlenbogen_(KB)'!Q77 = "", "", 'Kennzahlenbogen_(KB)'!Q77)</f>
        <v/>
      </c>
      <c r="G35" s="175" t="str">
        <f>IF('Kennzahlenbogen_(KB)'!R77 = "", "", 'Kennzahlenbogen_(KB)'!R77)</f>
        <v/>
      </c>
      <c r="H35" s="439">
        <f>Berechnung1!O94</f>
        <v>0</v>
      </c>
      <c r="I35" s="175"/>
      <c r="J35" s="175"/>
      <c r="K35" s="175"/>
    </row>
    <row r="36" spans="1:11" x14ac:dyDescent="0.25">
      <c r="A36" s="357" t="s">
        <v>1385</v>
      </c>
      <c r="B36" s="208" t="str">
        <f>IF(E36=1, "n.d.", 'Kennzahlenbogen_(KB)'!O80)</f>
        <v>n.d.</v>
      </c>
      <c r="C36" s="428" t="str">
        <f>IF('Kennzahlenbogen_(KB)'!O81="","",'Kennzahlenbogen_(KB)'!O81)</f>
        <v/>
      </c>
      <c r="D36" s="431"/>
      <c r="E36" s="208">
        <f>Berechnung1!N97</f>
        <v>1</v>
      </c>
      <c r="F36" s="175" t="str">
        <f>IF('Kennzahlenbogen_(KB)'!Q80 = "", "", 'Kennzahlenbogen_(KB)'!Q80)</f>
        <v/>
      </c>
      <c r="G36" s="175" t="str">
        <f>IF('Kennzahlenbogen_(KB)'!R80 = "", "", 'Kennzahlenbogen_(KB)'!R80)</f>
        <v/>
      </c>
      <c r="H36" s="439">
        <f>Berechnung1!O97</f>
        <v>0</v>
      </c>
      <c r="I36" s="175"/>
      <c r="J36" s="175"/>
      <c r="K36" s="175"/>
    </row>
    <row r="37" spans="1:11" x14ac:dyDescent="0.25">
      <c r="A37" s="211">
        <v>23</v>
      </c>
      <c r="B37" s="208" t="str">
        <f>IF('Kennzahlenbogen_(KB)'!O83 = "", "", 'Kennzahlenbogen_(KB)'!O83)</f>
        <v/>
      </c>
      <c r="C37" s="208" t="str">
        <f>IF('Kennzahlenbogen_(KB)'!O84="","",'Kennzahlenbogen_(KB)'!O84)</f>
        <v/>
      </c>
      <c r="D37" s="446" t="str">
        <f>IF('Kennzahlenbogen_(KB)'!O85="n.d.","n.d.",IF('Kennzahlenbogen_(KB)'!O85="","n.d.",'Kennzahlenbogen_(KB)'!O85*100))</f>
        <v>n.d.</v>
      </c>
      <c r="E37" s="208">
        <f>Berechnung1!N100</f>
        <v>1</v>
      </c>
      <c r="F37" s="175" t="str">
        <f>IF('Kennzahlenbogen_(KB)'!Q83 = "", "", 'Kennzahlenbogen_(KB)'!Q83)</f>
        <v/>
      </c>
      <c r="G37" s="175" t="str">
        <f>IF('Kennzahlenbogen_(KB)'!R83 = "", "", 'Kennzahlenbogen_(KB)'!R83)</f>
        <v/>
      </c>
      <c r="H37" s="439">
        <f>Berechnung1!O100</f>
        <v>0</v>
      </c>
      <c r="I37" s="175"/>
      <c r="J37" s="175"/>
      <c r="K37" s="175"/>
    </row>
    <row r="38" spans="1:11" x14ac:dyDescent="0.25">
      <c r="A38" s="211">
        <v>24</v>
      </c>
      <c r="B38" s="208" t="str">
        <f>IF('Kennzahlenbogen_(KB)'!O86 = "", "", 'Kennzahlenbogen_(KB)'!O86)</f>
        <v/>
      </c>
      <c r="C38" s="208" t="str">
        <f>IF('Kennzahlenbogen_(KB)'!O87="","",'Kennzahlenbogen_(KB)'!O87)</f>
        <v/>
      </c>
      <c r="D38" s="446" t="str">
        <f>IF('Kennzahlenbogen_(KB)'!O88="n.d.","n.d.",IF('Kennzahlenbogen_(KB)'!O88="","n.d.",'Kennzahlenbogen_(KB)'!O88*100))</f>
        <v>n.d.</v>
      </c>
      <c r="E38" s="208">
        <f>Berechnung1!N103</f>
        <v>1</v>
      </c>
      <c r="F38" s="175" t="str">
        <f>IF('Kennzahlenbogen_(KB)'!Q86 = "", "", 'Kennzahlenbogen_(KB)'!Q86)</f>
        <v/>
      </c>
      <c r="G38" s="175" t="str">
        <f>IF('Kennzahlenbogen_(KB)'!R86 = "", "", 'Kennzahlenbogen_(KB)'!R86)</f>
        <v/>
      </c>
      <c r="H38" s="439">
        <f>Berechnung1!O103</f>
        <v>0</v>
      </c>
      <c r="I38" s="175"/>
      <c r="J38" s="175"/>
      <c r="K38" s="175"/>
    </row>
    <row r="39" spans="1:11" x14ac:dyDescent="0.25">
      <c r="A39" s="211">
        <v>25</v>
      </c>
      <c r="B39" s="208" t="str">
        <f>IF('Kennzahlenbogen_(KB)'!O89 = "", "", 'Kennzahlenbogen_(KB)'!O89)</f>
        <v/>
      </c>
      <c r="C39" s="208" t="str">
        <f>IF('Kennzahlenbogen_(KB)'!O90="","",'Kennzahlenbogen_(KB)'!O90)</f>
        <v/>
      </c>
      <c r="D39" s="311" t="str">
        <f>IF('Kennzahlenbogen_(KB)'!O91="n.d.","n.d.",'Kennzahlenbogen_(KB)'!O91*100)</f>
        <v>n.d.</v>
      </c>
      <c r="E39" s="208">
        <f>Berechnung1!N106</f>
        <v>1</v>
      </c>
      <c r="F39" s="175" t="str">
        <f>IF('Kennzahlenbogen_(KB)'!Q89 = "", "", 'Kennzahlenbogen_(KB)'!Q89)</f>
        <v/>
      </c>
      <c r="G39" s="438" t="str">
        <f>IF('Kennzahlenbogen_(KB)'!R89 = "", "", 'Kennzahlenbogen_(KB)'!R89)</f>
        <v/>
      </c>
      <c r="H39" s="439">
        <f>Berechnung1!O106</f>
        <v>0</v>
      </c>
      <c r="I39" s="438"/>
      <c r="J39" s="438"/>
      <c r="K39" s="438"/>
    </row>
    <row r="40" spans="1:11" x14ac:dyDescent="0.25">
      <c r="A40" s="211">
        <v>26</v>
      </c>
      <c r="B40" s="208" t="str">
        <f>IF('Kennzahlenbogen_(KB)'!O92 = "", "", 'Kennzahlenbogen_(KB)'!O92)</f>
        <v/>
      </c>
      <c r="C40" s="208" t="str">
        <f>IF('Kennzahlenbogen_(KB)'!O93="","",'Kennzahlenbogen_(KB)'!O93)</f>
        <v/>
      </c>
      <c r="D40" s="311" t="str">
        <f>IF('Kennzahlenbogen_(KB)'!O94="n.d.","n.d.",'Kennzahlenbogen_(KB)'!O94*100)</f>
        <v>n.d.</v>
      </c>
      <c r="E40" s="208">
        <f>Berechnung1!N109</f>
        <v>1</v>
      </c>
      <c r="F40" s="175" t="str">
        <f>IF('Kennzahlenbogen_(KB)'!Q92 = "", "", 'Kennzahlenbogen_(KB)'!Q92)</f>
        <v/>
      </c>
      <c r="G40" s="438" t="str">
        <f>IF('Kennzahlenbogen_(KB)'!R92 = "", "", 'Kennzahlenbogen_(KB)'!R92)</f>
        <v/>
      </c>
      <c r="H40" s="439">
        <f>Berechnung1!O109</f>
        <v>0</v>
      </c>
      <c r="I40" s="438"/>
      <c r="J40" s="438"/>
      <c r="K40" s="438"/>
    </row>
    <row r="41" spans="1:11" x14ac:dyDescent="0.25">
      <c r="A41" s="211">
        <v>27</v>
      </c>
      <c r="B41" s="208" t="str">
        <f>IF('Kennzahlenbogen_(KB)'!O95 = "", "", 'Kennzahlenbogen_(KB)'!O95)</f>
        <v/>
      </c>
      <c r="C41" s="208" t="str">
        <f>IF('Kennzahlenbogen_(KB)'!O96="","",'Kennzahlenbogen_(KB)'!O96)</f>
        <v/>
      </c>
      <c r="D41" s="311" t="str">
        <f>IF('Kennzahlenbogen_(KB)'!O97="n.d.","n.d.",'Kennzahlenbogen_(KB)'!O97*100)</f>
        <v>n.d.</v>
      </c>
      <c r="E41" s="208">
        <f>Berechnung1!N112</f>
        <v>1</v>
      </c>
      <c r="F41" s="175" t="str">
        <f>IF('Kennzahlenbogen_(KB)'!Q95 = "", "", 'Kennzahlenbogen_(KB)'!Q95)</f>
        <v/>
      </c>
      <c r="G41" s="438" t="str">
        <f>IF('Kennzahlenbogen_(KB)'!R95 = "", "", 'Kennzahlenbogen_(KB)'!R95)</f>
        <v/>
      </c>
      <c r="H41" s="439">
        <f>Berechnung1!O112</f>
        <v>0</v>
      </c>
      <c r="I41" s="438"/>
      <c r="J41" s="438"/>
      <c r="K41" s="438"/>
    </row>
    <row r="42" spans="1:11" x14ac:dyDescent="0.25">
      <c r="A42" s="211">
        <v>28</v>
      </c>
      <c r="B42" s="208" t="str">
        <f>IF('Kennzahlenbogen_(KB)'!O98 = "", "", 'Kennzahlenbogen_(KB)'!O98)</f>
        <v/>
      </c>
      <c r="C42" s="208">
        <f>IF('Kennzahlenbogen_(KB)'!O99="","",'Kennzahlenbogen_(KB)'!O99)</f>
        <v>0</v>
      </c>
      <c r="D42" s="446" t="str">
        <f>IF('Kennzahlenbogen_(KB)'!O100="n.d.","n.d.",IF('Kennzahlenbogen_(KB)'!O100="","n.d.",'Kennzahlenbogen_(KB)'!O100*100))</f>
        <v>n.d.</v>
      </c>
      <c r="E42" s="208">
        <f>Berechnung1!N115</f>
        <v>1</v>
      </c>
      <c r="F42" s="175" t="str">
        <f>IF('Kennzahlenbogen_(KB)'!Q98 = "", "", 'Kennzahlenbogen_(KB)'!Q98)</f>
        <v/>
      </c>
      <c r="G42" s="438" t="str">
        <f>IF('Kennzahlenbogen_(KB)'!R98 = "", "", 'Kennzahlenbogen_(KB)'!R98)</f>
        <v/>
      </c>
      <c r="H42" s="439">
        <f>Berechnung1!O115</f>
        <v>0</v>
      </c>
      <c r="I42" s="438"/>
      <c r="J42" s="438"/>
      <c r="K42" s="438"/>
    </row>
    <row r="43" spans="1:11" x14ac:dyDescent="0.25">
      <c r="A43" s="211">
        <v>29</v>
      </c>
      <c r="B43" s="208" t="str">
        <f>IF('Kennzahlenbogen_(KB)'!O101 = "", "", 'Kennzahlenbogen_(KB)'!O101)</f>
        <v/>
      </c>
      <c r="C43" s="208">
        <f>IF('Kennzahlenbogen_(KB)'!O102="","",'Kennzahlenbogen_(KB)'!O102)</f>
        <v>0</v>
      </c>
      <c r="D43" s="311" t="str">
        <f>IF('Kennzahlenbogen_(KB)'!O103="n.d.","n.d.",IF('Kennzahlenbogen_(KB)'!O103="","n.d.",'Kennzahlenbogen_(KB)'!O103*100))</f>
        <v>n.d.</v>
      </c>
      <c r="E43" s="208">
        <f>Berechnung1!N118</f>
        <v>1</v>
      </c>
      <c r="F43" s="175" t="str">
        <f>IF('Kennzahlenbogen_(KB)'!Q101 = "", "", 'Kennzahlenbogen_(KB)'!Q101)</f>
        <v/>
      </c>
      <c r="G43" s="438" t="str">
        <f>IF('Kennzahlenbogen_(KB)'!R101 = "", "", 'Kennzahlenbogen_(KB)'!R101)</f>
        <v/>
      </c>
      <c r="H43" s="439">
        <f>Berechnung1!O118</f>
        <v>0</v>
      </c>
      <c r="I43" s="438"/>
      <c r="J43" s="438"/>
      <c r="K43" s="438"/>
    </row>
  </sheetData>
  <phoneticPr fontId="81" type="noConversion"/>
  <pageMargins left="0.7" right="0.7" top="0.78740157499999996" bottom="0.78740157499999996" header="0.3" footer="0.3"/>
  <pageSetup paperSize="9"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Tabelle4"/>
  <dimension ref="A3:U120"/>
  <sheetViews>
    <sheetView topLeftCell="A30" zoomScaleNormal="100" workbookViewId="0">
      <selection activeCell="B52" sqref="B52"/>
    </sheetView>
  </sheetViews>
  <sheetFormatPr defaultColWidth="9.140625" defaultRowHeight="14.25" x14ac:dyDescent="0.25"/>
  <cols>
    <col min="1" max="1" width="9.140625" style="342" customWidth="1"/>
    <col min="2" max="2" width="14.85546875" style="342" customWidth="1"/>
    <col min="3" max="3" width="9.140625" style="342" customWidth="1"/>
    <col min="4" max="4" width="13.7109375" style="342" customWidth="1"/>
    <col min="5" max="5" width="18.42578125" style="342" customWidth="1"/>
    <col min="6" max="6" width="15.42578125" style="342" customWidth="1"/>
    <col min="7" max="7" width="21.140625" style="342" customWidth="1"/>
    <col min="8" max="9" width="20.28515625" style="342" customWidth="1"/>
    <col min="10" max="10" width="14.5703125" style="342" customWidth="1"/>
    <col min="11" max="11" width="15.42578125" style="342" customWidth="1"/>
    <col min="12" max="12" width="16.28515625" style="342" customWidth="1"/>
    <col min="13" max="18" width="9.140625" style="342" customWidth="1"/>
    <col min="19" max="19" width="20.7109375" style="342" customWidth="1"/>
    <col min="20" max="20" width="24.140625" style="342" customWidth="1"/>
    <col min="21" max="21" width="20.7109375" style="342" customWidth="1"/>
    <col min="22" max="16384" width="9.140625" style="342"/>
  </cols>
  <sheetData>
    <row r="3" spans="2:15" s="328" customFormat="1" ht="15" x14ac:dyDescent="0.25">
      <c r="C3" s="327" t="s">
        <v>130</v>
      </c>
      <c r="M3" s="329"/>
      <c r="N3" s="329"/>
      <c r="O3" s="329"/>
    </row>
    <row r="4" spans="2:15" s="328" customFormat="1" ht="27" customHeight="1" x14ac:dyDescent="0.25">
      <c r="D4" s="268" t="s">
        <v>345</v>
      </c>
      <c r="I4" s="268"/>
      <c r="M4" s="329"/>
      <c r="N4" s="329"/>
      <c r="O4" s="329"/>
    </row>
    <row r="5" spans="2:15" s="328" customFormat="1" ht="22.5" x14ac:dyDescent="0.25">
      <c r="C5" s="268" t="s">
        <v>351</v>
      </c>
      <c r="D5" s="268" t="s">
        <v>131</v>
      </c>
      <c r="E5" s="268" t="s">
        <v>294</v>
      </c>
      <c r="F5" s="268" t="s">
        <v>354</v>
      </c>
      <c r="G5" s="268" t="s">
        <v>353</v>
      </c>
      <c r="H5" s="268" t="s">
        <v>1105</v>
      </c>
      <c r="I5" s="268" t="s">
        <v>132</v>
      </c>
      <c r="K5" s="268" t="s">
        <v>1163</v>
      </c>
      <c r="M5" s="329"/>
      <c r="N5" s="329"/>
      <c r="O5" s="329"/>
    </row>
    <row r="6" spans="2:15" s="328" customFormat="1" x14ac:dyDescent="0.25">
      <c r="C6" s="268">
        <f>COUNTIF('Kennzahlenbogen_(KB)'!$P$8:$P$101,C5)</f>
        <v>0</v>
      </c>
      <c r="D6" s="268">
        <f>COUNTIF('Kennzahlenbogen_(KB)'!$P$8:$P$101,D5)</f>
        <v>0</v>
      </c>
      <c r="E6" s="268">
        <f>COUNTIF('Kennzahlenbogen_(KB)'!$P$8:$P$101,E5)</f>
        <v>0</v>
      </c>
      <c r="F6" s="268">
        <f>COUNTIF('Kennzahlenbogen_(KB)'!$P$8:$P$101,F5)</f>
        <v>32</v>
      </c>
      <c r="G6" s="268">
        <f>COUNTIF('Kennzahlenbogen_(KB)'!$P$8:$P$101,G5)</f>
        <v>0</v>
      </c>
      <c r="H6" s="268">
        <f>COUNTIF('Kennzahlenbogen_(KB)'!$P$8:$P$101,H5)</f>
        <v>0</v>
      </c>
      <c r="I6" s="268">
        <f>SUM(D6:H6)</f>
        <v>32</v>
      </c>
      <c r="K6" s="268">
        <f>D6+H6</f>
        <v>0</v>
      </c>
      <c r="M6" s="329"/>
      <c r="N6" s="329"/>
      <c r="O6" s="329"/>
    </row>
    <row r="7" spans="2:15" s="328" customFormat="1" x14ac:dyDescent="0.25">
      <c r="C7" s="268"/>
      <c r="D7" s="268">
        <f>C6+D6+H6</f>
        <v>0</v>
      </c>
      <c r="E7" s="268">
        <f>E6</f>
        <v>0</v>
      </c>
      <c r="F7" s="268"/>
      <c r="G7" s="268">
        <f>F6+G6</f>
        <v>32</v>
      </c>
      <c r="H7" s="268">
        <f>H6+D6+C6</f>
        <v>0</v>
      </c>
      <c r="I7" s="268">
        <f>SUM(D7:H7)</f>
        <v>32</v>
      </c>
      <c r="K7" s="268"/>
      <c r="M7" s="329"/>
      <c r="N7" s="329"/>
      <c r="O7" s="329"/>
    </row>
    <row r="8" spans="2:15" s="328" customFormat="1" x14ac:dyDescent="0.25">
      <c r="B8" s="328" t="s">
        <v>540</v>
      </c>
      <c r="C8" s="268"/>
      <c r="D8" s="268"/>
      <c r="E8" s="268">
        <f>D7+E7</f>
        <v>0</v>
      </c>
      <c r="F8" s="268"/>
      <c r="G8" s="268">
        <f>G7</f>
        <v>32</v>
      </c>
      <c r="H8" s="268"/>
      <c r="I8" s="268">
        <f>SUM(D8:H8)</f>
        <v>32</v>
      </c>
      <c r="K8" s="268"/>
      <c r="M8" s="329"/>
      <c r="N8" s="329"/>
      <c r="O8" s="329"/>
    </row>
    <row r="9" spans="2:15" s="328" customFormat="1" x14ac:dyDescent="0.25">
      <c r="B9" s="408">
        <v>32</v>
      </c>
      <c r="C9" s="331">
        <f>ROUND(C6/$B$9,4)</f>
        <v>0</v>
      </c>
      <c r="D9" s="331">
        <f>ROUND(D6/$B$9,4)</f>
        <v>0</v>
      </c>
      <c r="E9" s="331">
        <f t="shared" ref="E9:H9" si="0">ROUND(E6/$B$9,4)</f>
        <v>0</v>
      </c>
      <c r="F9" s="331">
        <f t="shared" si="0"/>
        <v>1</v>
      </c>
      <c r="G9" s="331">
        <f t="shared" si="0"/>
        <v>0</v>
      </c>
      <c r="H9" s="331">
        <f t="shared" si="0"/>
        <v>0</v>
      </c>
      <c r="I9" s="331">
        <f>SUM(C9:H9)</f>
        <v>1</v>
      </c>
      <c r="K9" s="331">
        <f>D9+H9</f>
        <v>0</v>
      </c>
      <c r="M9" s="329"/>
      <c r="N9" s="329"/>
      <c r="O9" s="329"/>
    </row>
    <row r="10" spans="2:15" s="328" customFormat="1" x14ac:dyDescent="0.25">
      <c r="C10" s="330"/>
      <c r="D10" s="331">
        <f>ROUND((C6+D6+H6)/$B$9,4)</f>
        <v>0</v>
      </c>
      <c r="E10" s="331">
        <f>ROUND(E6/$B$9,4)</f>
        <v>0</v>
      </c>
      <c r="F10" s="331"/>
      <c r="G10" s="331">
        <f>ROUND((F6+G6)/$B$9,4)</f>
        <v>1</v>
      </c>
      <c r="H10" s="331">
        <f>ROUND((H6+D6+C6)/$B$9,4)</f>
        <v>0</v>
      </c>
      <c r="I10" s="331">
        <f>SUM(D10:G10)</f>
        <v>1</v>
      </c>
      <c r="K10" s="331"/>
      <c r="M10" s="329"/>
      <c r="N10" s="329"/>
      <c r="O10" s="329"/>
    </row>
    <row r="11" spans="2:15" s="328" customFormat="1" x14ac:dyDescent="0.25">
      <c r="D11" s="332"/>
      <c r="E11" s="331">
        <f>ROUND((C6+D6+E6+H6)/$B$9,4)</f>
        <v>0</v>
      </c>
      <c r="F11" s="332"/>
      <c r="G11" s="331">
        <f>G10</f>
        <v>1</v>
      </c>
      <c r="H11" s="331"/>
      <c r="I11" s="331">
        <f>SUM(D11:H11)</f>
        <v>1</v>
      </c>
      <c r="M11" s="329"/>
      <c r="N11" s="329"/>
      <c r="O11" s="329"/>
    </row>
    <row r="12" spans="2:15" s="328" customFormat="1" x14ac:dyDescent="0.25">
      <c r="E12" s="330"/>
      <c r="G12" s="330"/>
      <c r="H12" s="330"/>
      <c r="I12" s="330"/>
      <c r="M12" s="329"/>
      <c r="N12" s="329"/>
      <c r="O12" s="329"/>
    </row>
    <row r="13" spans="2:15" s="328" customFormat="1" x14ac:dyDescent="0.25">
      <c r="M13" s="329"/>
      <c r="N13" s="329"/>
      <c r="O13" s="329"/>
    </row>
    <row r="14" spans="2:15" s="328" customFormat="1" x14ac:dyDescent="0.25">
      <c r="M14" s="329"/>
      <c r="N14" s="329"/>
      <c r="O14" s="329"/>
    </row>
    <row r="15" spans="2:15" s="328" customFormat="1" x14ac:dyDescent="0.25">
      <c r="M15" s="329"/>
      <c r="N15" s="329"/>
      <c r="O15" s="329"/>
    </row>
    <row r="16" spans="2:15" s="328" customFormat="1" ht="15" x14ac:dyDescent="0.25">
      <c r="C16" s="447" t="s">
        <v>133</v>
      </c>
      <c r="D16" s="448"/>
      <c r="E16" s="448"/>
      <c r="F16" s="448"/>
      <c r="G16" s="448"/>
      <c r="H16" s="448"/>
      <c r="M16" s="329"/>
      <c r="N16" s="329"/>
      <c r="O16" s="329"/>
    </row>
    <row r="17" spans="1:15" s="328" customFormat="1" ht="33.75" x14ac:dyDescent="0.25">
      <c r="C17" s="449" t="s">
        <v>134</v>
      </c>
      <c r="D17" s="449" t="s">
        <v>135</v>
      </c>
      <c r="E17" s="449" t="s">
        <v>136</v>
      </c>
      <c r="F17" s="449" t="s">
        <v>137</v>
      </c>
      <c r="G17" s="449" t="s">
        <v>138</v>
      </c>
      <c r="H17" s="449" t="s">
        <v>1106</v>
      </c>
      <c r="M17" s="329"/>
      <c r="N17" s="329"/>
      <c r="O17" s="329"/>
    </row>
    <row r="18" spans="1:15" s="328" customFormat="1" x14ac:dyDescent="0.25">
      <c r="C18" s="333"/>
      <c r="D18" s="333"/>
      <c r="E18" s="333"/>
      <c r="F18" s="333"/>
      <c r="G18" s="333"/>
      <c r="M18" s="329"/>
      <c r="N18" s="329"/>
      <c r="O18" s="329"/>
    </row>
    <row r="19" spans="1:15" s="328" customFormat="1" x14ac:dyDescent="0.25">
      <c r="C19" s="333"/>
      <c r="D19" s="333"/>
      <c r="E19" s="333"/>
      <c r="F19" s="333"/>
      <c r="G19" s="333"/>
      <c r="M19" s="329"/>
      <c r="N19" s="329"/>
      <c r="O19" s="329"/>
    </row>
    <row r="20" spans="1:15" s="328" customFormat="1" x14ac:dyDescent="0.25">
      <c r="C20" s="333"/>
      <c r="D20" s="333"/>
      <c r="E20" s="333"/>
      <c r="F20" s="333"/>
      <c r="G20" s="333"/>
      <c r="M20" s="329"/>
      <c r="N20" s="329"/>
      <c r="O20" s="329"/>
    </row>
    <row r="21" spans="1:15" s="328" customFormat="1" x14ac:dyDescent="0.25">
      <c r="B21" s="333"/>
      <c r="C21" s="333"/>
      <c r="D21" s="333"/>
      <c r="E21" s="333"/>
      <c r="F21" s="333"/>
      <c r="M21" s="329"/>
      <c r="N21" s="329"/>
      <c r="O21" s="329"/>
    </row>
    <row r="22" spans="1:15" s="328" customFormat="1" ht="15.75" x14ac:dyDescent="0.25">
      <c r="B22" s="333"/>
      <c r="C22" s="334" t="s">
        <v>139</v>
      </c>
      <c r="D22" s="333"/>
      <c r="E22" s="333"/>
      <c r="F22" s="333"/>
      <c r="M22" s="329"/>
      <c r="N22" s="329"/>
      <c r="O22" s="329"/>
    </row>
    <row r="23" spans="1:15" s="328" customFormat="1" x14ac:dyDescent="0.25">
      <c r="M23" s="329"/>
      <c r="N23" s="329"/>
      <c r="O23" s="329"/>
    </row>
    <row r="24" spans="1:15" s="328" customFormat="1" x14ac:dyDescent="0.25">
      <c r="C24" s="122" t="s">
        <v>140</v>
      </c>
      <c r="D24" s="122" t="s">
        <v>141</v>
      </c>
      <c r="E24" s="122" t="s">
        <v>360</v>
      </c>
      <c r="F24" s="122" t="s">
        <v>359</v>
      </c>
      <c r="G24" s="122" t="s">
        <v>142</v>
      </c>
      <c r="H24" s="122" t="s">
        <v>143</v>
      </c>
      <c r="I24" s="122"/>
      <c r="J24" s="122" t="s">
        <v>144</v>
      </c>
      <c r="K24" s="122" t="s">
        <v>145</v>
      </c>
      <c r="L24" s="122" t="s">
        <v>146</v>
      </c>
      <c r="M24" s="122" t="s">
        <v>147</v>
      </c>
      <c r="N24" s="122" t="s">
        <v>148</v>
      </c>
      <c r="O24" s="122" t="s">
        <v>149</v>
      </c>
    </row>
    <row r="25" spans="1:15" s="328" customFormat="1" x14ac:dyDescent="0.25">
      <c r="B25" s="35" t="s">
        <v>1104</v>
      </c>
      <c r="C25" s="441" t="s">
        <v>1245</v>
      </c>
      <c r="D25" s="442" t="s">
        <v>150</v>
      </c>
      <c r="E25" s="444">
        <v>0</v>
      </c>
      <c r="F25" s="444">
        <v>100000000</v>
      </c>
      <c r="G25" s="444">
        <v>-100000000</v>
      </c>
      <c r="H25" s="444">
        <v>100000000</v>
      </c>
      <c r="I25" s="443"/>
      <c r="J25" s="444">
        <v>-100000000</v>
      </c>
      <c r="K25" s="444">
        <v>1000000</v>
      </c>
      <c r="L25" s="445">
        <f>'Kennzahlenbogen_(KB)'!O8</f>
        <v>0</v>
      </c>
      <c r="M25" s="444">
        <f>IF('Kennzahlenbogen_(KB)'!P8=Berechnung1!$H$5,5,IF('Kennzahlenbogen_(KB)'!P8=Berechnung1!$G$5,1,IF('Kennzahlenbogen_(KB)'!P8=Berechnung1!$F$5,1,IF('Kennzahlenbogen_(KB)'!P8=Berechnung1!$E$5,2,IF('Kennzahlenbogen_(KB)'!P8=Berechnung1!$D$5,3,IF('Kennzahlenbogen_(KB)'!P8=Berechnung1!$C$5,4,""))))))</f>
        <v>1</v>
      </c>
      <c r="N25" s="444">
        <f t="shared" ref="N25" si="1">IF(M25&gt;1,M25+3,M25)</f>
        <v>1</v>
      </c>
      <c r="O25" s="444">
        <f>IF('Kennzahlenbogen_(KB)'!R8="",0,1)</f>
        <v>0</v>
      </c>
    </row>
    <row r="26" spans="1:15" s="328" customFormat="1" x14ac:dyDescent="0.25">
      <c r="A26" s="16"/>
      <c r="C26" s="147"/>
      <c r="D26" s="94"/>
      <c r="E26" s="473"/>
      <c r="F26" s="473"/>
      <c r="G26" s="473"/>
      <c r="H26" s="473"/>
      <c r="I26" s="473"/>
      <c r="J26" s="473"/>
      <c r="K26" s="473"/>
      <c r="L26" s="473"/>
      <c r="M26" s="338"/>
      <c r="N26" s="338"/>
      <c r="O26" s="338"/>
    </row>
    <row r="27" spans="1:15" s="328" customFormat="1" x14ac:dyDescent="0.25">
      <c r="A27" s="16"/>
      <c r="C27" s="147"/>
      <c r="D27" s="94"/>
      <c r="E27" s="473"/>
      <c r="F27" s="473"/>
      <c r="G27" s="473"/>
      <c r="H27" s="473"/>
      <c r="I27" s="473"/>
      <c r="J27" s="473"/>
      <c r="K27" s="473"/>
      <c r="L27" s="473"/>
      <c r="M27" s="338"/>
      <c r="N27" s="338"/>
      <c r="O27" s="338"/>
    </row>
    <row r="28" spans="1:15" s="328" customFormat="1" x14ac:dyDescent="0.25">
      <c r="A28" s="16"/>
      <c r="C28" s="432" t="s">
        <v>1235</v>
      </c>
      <c r="D28" s="433" t="s">
        <v>150</v>
      </c>
      <c r="E28" s="434">
        <v>0</v>
      </c>
      <c r="F28" s="434">
        <v>1</v>
      </c>
      <c r="G28" s="434">
        <v>0.95</v>
      </c>
      <c r="H28" s="434">
        <v>10000</v>
      </c>
      <c r="I28" s="434"/>
      <c r="J28" s="434">
        <v>-10000</v>
      </c>
      <c r="K28" s="434">
        <v>10000</v>
      </c>
      <c r="L28" s="434" t="str">
        <f>'Kennzahlenbogen_(KB)'!O13</f>
        <v>n.d.</v>
      </c>
      <c r="M28" s="435">
        <f>IF('Kennzahlenbogen_(KB)'!P11=Berechnung1!$G$5,1,IF('Kennzahlenbogen_(KB)'!P11=Berechnung1!$F$5,1,IF('Kennzahlenbogen_(KB)'!P11=Berechnung1!$E$5,2,IF('Kennzahlenbogen_(KB)'!P11=Berechnung1!$D$5,3,IF('Kennzahlenbogen_(KB)'!P11=Berechnung1!$C$5,4,"")))))</f>
        <v>1</v>
      </c>
      <c r="N28" s="435">
        <f>IF(M28&gt;1,M28+3,M28)</f>
        <v>1</v>
      </c>
      <c r="O28" s="435">
        <f>IF('Kennzahlenbogen_(KB)'!R11="",0,1)</f>
        <v>0</v>
      </c>
    </row>
    <row r="29" spans="1:15" s="328" customFormat="1" x14ac:dyDescent="0.25">
      <c r="A29" s="16"/>
      <c r="C29" s="147"/>
      <c r="D29" s="94"/>
      <c r="E29" s="335"/>
      <c r="F29" s="335"/>
      <c r="G29" s="335"/>
      <c r="H29" s="335"/>
      <c r="I29" s="335"/>
      <c r="J29" s="335"/>
      <c r="K29" s="335"/>
      <c r="L29" s="335"/>
      <c r="M29" s="335"/>
      <c r="N29" s="335"/>
      <c r="O29" s="336"/>
    </row>
    <row r="30" spans="1:15" s="328" customFormat="1" x14ac:dyDescent="0.25">
      <c r="A30" s="16"/>
      <c r="C30" s="147"/>
      <c r="D30" s="94"/>
      <c r="E30" s="335"/>
      <c r="F30" s="335"/>
      <c r="G30" s="335"/>
      <c r="H30" s="335"/>
      <c r="I30" s="335"/>
      <c r="J30" s="335"/>
      <c r="K30" s="335"/>
      <c r="L30" s="335"/>
      <c r="M30" s="335"/>
      <c r="N30" s="335"/>
      <c r="O30" s="336"/>
    </row>
    <row r="31" spans="1:15" s="328" customFormat="1" x14ac:dyDescent="0.25">
      <c r="A31" s="16"/>
      <c r="B31" s="35" t="s">
        <v>1104</v>
      </c>
      <c r="C31" s="441" t="s">
        <v>1236</v>
      </c>
      <c r="D31" s="442" t="s">
        <v>150</v>
      </c>
      <c r="E31" s="443">
        <v>0</v>
      </c>
      <c r="F31" s="443">
        <v>1</v>
      </c>
      <c r="G31" s="443">
        <v>0.95</v>
      </c>
      <c r="H31" s="443">
        <v>10000</v>
      </c>
      <c r="I31" s="443"/>
      <c r="J31" s="443">
        <v>-10000</v>
      </c>
      <c r="K31" s="443">
        <v>10000</v>
      </c>
      <c r="L31" s="443" t="str">
        <f>'Kennzahlenbogen_(KB)'!O16</f>
        <v>n.d.</v>
      </c>
      <c r="M31" s="444">
        <f>IF('Kennzahlenbogen_(KB)'!P14=Berechnung1!$H$5,5,IF('Kennzahlenbogen_(KB)'!P14=Berechnung1!$G$5,1,IF('Kennzahlenbogen_(KB)'!P14=Berechnung1!$F$5,1,IF('Kennzahlenbogen_(KB)'!P14=Berechnung1!$E$5,2,IF('Kennzahlenbogen_(KB)'!P14=Berechnung1!$D$5,3,IF('Kennzahlenbogen_(KB)'!P14=Berechnung1!$C$5,4,""))))))</f>
        <v>1</v>
      </c>
      <c r="N31" s="444">
        <f t="shared" ref="N31:N85" si="2">IF(M31&gt;1,M31+3,M31)</f>
        <v>1</v>
      </c>
      <c r="O31" s="444">
        <f>IF('Kennzahlenbogen_(KB)'!R14="",0,1)</f>
        <v>0</v>
      </c>
    </row>
    <row r="32" spans="1:15" s="328" customFormat="1" x14ac:dyDescent="0.25">
      <c r="A32" s="16"/>
      <c r="C32" s="337"/>
      <c r="D32" s="337"/>
      <c r="E32" s="337"/>
      <c r="F32" s="337"/>
      <c r="G32" s="337"/>
      <c r="H32" s="337"/>
      <c r="I32" s="337"/>
      <c r="J32" s="337"/>
      <c r="K32" s="337"/>
      <c r="L32" s="337"/>
      <c r="M32" s="337"/>
      <c r="N32" s="337"/>
      <c r="O32" s="337"/>
    </row>
    <row r="33" spans="1:15" s="328" customFormat="1" x14ac:dyDescent="0.25">
      <c r="A33" s="16"/>
      <c r="C33" s="147"/>
      <c r="D33" s="94"/>
      <c r="E33" s="335"/>
      <c r="F33" s="335"/>
      <c r="G33" s="335"/>
      <c r="H33" s="335"/>
      <c r="I33" s="335"/>
      <c r="J33" s="335"/>
      <c r="K33" s="335"/>
      <c r="L33" s="335"/>
      <c r="M33" s="335"/>
      <c r="N33" s="335"/>
      <c r="O33" s="336"/>
    </row>
    <row r="34" spans="1:15" s="328" customFormat="1" x14ac:dyDescent="0.25">
      <c r="A34" s="16"/>
      <c r="C34" s="432">
        <v>3</v>
      </c>
      <c r="D34" s="433" t="s">
        <v>150</v>
      </c>
      <c r="E34" s="434">
        <v>0</v>
      </c>
      <c r="F34" s="434">
        <v>1</v>
      </c>
      <c r="G34" s="434">
        <v>0.95</v>
      </c>
      <c r="H34" s="434">
        <v>10000</v>
      </c>
      <c r="I34" s="434"/>
      <c r="J34" s="434">
        <v>-10000</v>
      </c>
      <c r="K34" s="434">
        <v>10000</v>
      </c>
      <c r="L34" s="434" t="str">
        <f>'Kennzahlenbogen_(KB)'!O19</f>
        <v>n.d.</v>
      </c>
      <c r="M34" s="435">
        <f>IF('Kennzahlenbogen_(KB)'!P17=Berechnung1!$G$5,1,IF('Kennzahlenbogen_(KB)'!P17=Berechnung1!$F$5,1,IF('Kennzahlenbogen_(KB)'!P17=Berechnung1!$E$5,2,IF('Kennzahlenbogen_(KB)'!P17=Berechnung1!$D$5,3,IF('Kennzahlenbogen_(KB)'!P17=Berechnung1!$C$5,4,"")))))</f>
        <v>1</v>
      </c>
      <c r="N34" s="435">
        <f t="shared" si="2"/>
        <v>1</v>
      </c>
      <c r="O34" s="435">
        <f>IF('Kennzahlenbogen_(KB)'!R17="",0,1)</f>
        <v>0</v>
      </c>
    </row>
    <row r="35" spans="1:15" s="328" customFormat="1" x14ac:dyDescent="0.25">
      <c r="A35" s="16"/>
      <c r="C35" s="147"/>
      <c r="D35" s="94"/>
      <c r="E35" s="335"/>
      <c r="F35" s="335"/>
      <c r="G35" s="335"/>
      <c r="H35" s="335"/>
      <c r="I35" s="335"/>
      <c r="J35" s="335"/>
      <c r="K35" s="335"/>
      <c r="L35" s="335"/>
      <c r="M35" s="335"/>
      <c r="N35" s="335"/>
      <c r="O35" s="336"/>
    </row>
    <row r="36" spans="1:15" s="328" customFormat="1" x14ac:dyDescent="0.25">
      <c r="A36" s="16"/>
      <c r="C36" s="147"/>
      <c r="D36" s="94"/>
      <c r="E36" s="335"/>
      <c r="F36" s="335"/>
      <c r="G36" s="335"/>
      <c r="H36" s="335"/>
      <c r="I36" s="335"/>
      <c r="J36" s="335"/>
      <c r="K36" s="335"/>
      <c r="L36" s="335"/>
      <c r="M36" s="335"/>
      <c r="N36" s="335"/>
      <c r="O36" s="336"/>
    </row>
    <row r="37" spans="1:15" s="328" customFormat="1" x14ac:dyDescent="0.25">
      <c r="A37" s="16"/>
      <c r="B37" s="35"/>
      <c r="C37" s="433">
        <v>4</v>
      </c>
      <c r="D37" s="433" t="s">
        <v>150</v>
      </c>
      <c r="E37" s="434">
        <v>0</v>
      </c>
      <c r="F37" s="434">
        <v>1</v>
      </c>
      <c r="G37" s="434">
        <v>0.65</v>
      </c>
      <c r="H37" s="434">
        <v>10000</v>
      </c>
      <c r="I37" s="434"/>
      <c r="J37" s="434">
        <v>-10000</v>
      </c>
      <c r="K37" s="434">
        <v>10000</v>
      </c>
      <c r="L37" s="434" t="str">
        <f>'Kennzahlenbogen_(KB)'!O22</f>
        <v>n.d.</v>
      </c>
      <c r="M37" s="435">
        <f>IF('Kennzahlenbogen_(KB)'!P20=Berechnung1!$G$5,1,IF('Kennzahlenbogen_(KB)'!P20=Berechnung1!$F$5,1,IF('Kennzahlenbogen_(KB)'!P20=Berechnung1!$E$5,2,IF('Kennzahlenbogen_(KB)'!P20=Berechnung1!$D$5,3,IF('Kennzahlenbogen_(KB)'!P20=Berechnung1!$C$5,4,"")))))</f>
        <v>1</v>
      </c>
      <c r="N37" s="435">
        <f t="shared" si="2"/>
        <v>1</v>
      </c>
      <c r="O37" s="435">
        <f>IF('Kennzahlenbogen_(KB)'!R20="",0,1)</f>
        <v>0</v>
      </c>
    </row>
    <row r="38" spans="1:15" s="328" customFormat="1" x14ac:dyDescent="0.25">
      <c r="A38" s="16"/>
      <c r="C38" s="147"/>
      <c r="D38" s="94"/>
      <c r="E38" s="335"/>
      <c r="F38" s="335"/>
      <c r="G38" s="335"/>
      <c r="H38" s="335"/>
      <c r="I38" s="335"/>
      <c r="J38" s="335"/>
      <c r="K38" s="335"/>
      <c r="L38" s="335"/>
      <c r="M38" s="335"/>
      <c r="N38" s="335"/>
      <c r="O38" s="336"/>
    </row>
    <row r="39" spans="1:15" s="328" customFormat="1" x14ac:dyDescent="0.25">
      <c r="A39" s="16"/>
      <c r="C39" s="147"/>
      <c r="D39" s="94"/>
      <c r="E39" s="335"/>
      <c r="F39" s="335"/>
      <c r="G39" s="335"/>
      <c r="H39" s="335"/>
      <c r="I39" s="335"/>
      <c r="J39" s="335"/>
      <c r="K39" s="335"/>
      <c r="L39" s="335"/>
      <c r="M39" s="335"/>
      <c r="N39" s="335"/>
      <c r="O39" s="336"/>
    </row>
    <row r="40" spans="1:15" s="328" customFormat="1" x14ac:dyDescent="0.25">
      <c r="A40" s="16"/>
      <c r="C40" s="433">
        <v>5</v>
      </c>
      <c r="D40" s="433" t="s">
        <v>150</v>
      </c>
      <c r="E40" s="434">
        <v>0</v>
      </c>
      <c r="F40" s="434">
        <v>1</v>
      </c>
      <c r="G40" s="434">
        <v>-10000</v>
      </c>
      <c r="H40" s="434">
        <v>10000</v>
      </c>
      <c r="I40" s="434"/>
      <c r="J40" s="434">
        <v>0.5</v>
      </c>
      <c r="K40" s="434">
        <v>10000</v>
      </c>
      <c r="L40" s="434" t="str">
        <f>'Kennzahlenbogen_(KB)'!O25</f>
        <v>n.d.</v>
      </c>
      <c r="M40" s="435">
        <f>IF('Kennzahlenbogen_(KB)'!P23=Berechnung1!$G$5,1,IF('Kennzahlenbogen_(KB)'!P23=Berechnung1!$F$5,1,IF('Kennzahlenbogen_(KB)'!P23=Berechnung1!$E$5,2,IF('Kennzahlenbogen_(KB)'!P23=Berechnung1!$D$5,3,IF('Kennzahlenbogen_(KB)'!P23=Berechnung1!$C$5,4,"")))))</f>
        <v>1</v>
      </c>
      <c r="N40" s="435">
        <f t="shared" si="2"/>
        <v>1</v>
      </c>
      <c r="O40" s="435">
        <f>IF('Kennzahlenbogen_(KB)'!R23="",0,1)</f>
        <v>0</v>
      </c>
    </row>
    <row r="41" spans="1:15" s="328" customFormat="1" x14ac:dyDescent="0.25">
      <c r="A41" s="16"/>
      <c r="C41" s="147"/>
      <c r="D41" s="94"/>
      <c r="E41" s="335"/>
      <c r="F41" s="335"/>
      <c r="G41" s="335"/>
      <c r="H41" s="335"/>
      <c r="I41" s="335"/>
      <c r="J41" s="335"/>
      <c r="K41" s="335"/>
      <c r="L41" s="335"/>
      <c r="M41" s="335"/>
      <c r="N41" s="335"/>
      <c r="O41" s="336"/>
    </row>
    <row r="42" spans="1:15" s="328" customFormat="1" x14ac:dyDescent="0.25">
      <c r="A42" s="16"/>
      <c r="C42" s="147"/>
      <c r="D42" s="94"/>
      <c r="E42" s="335"/>
      <c r="F42" s="335"/>
      <c r="G42" s="335"/>
      <c r="H42" s="335"/>
      <c r="I42" s="335"/>
      <c r="J42" s="335"/>
      <c r="K42" s="335"/>
      <c r="L42" s="335"/>
      <c r="M42" s="335"/>
      <c r="N42" s="335"/>
      <c r="O42" s="336"/>
    </row>
    <row r="43" spans="1:15" s="328" customFormat="1" x14ac:dyDescent="0.25">
      <c r="A43" s="16"/>
      <c r="C43" s="433">
        <v>6</v>
      </c>
      <c r="D43" s="433" t="s">
        <v>150</v>
      </c>
      <c r="E43" s="434">
        <v>0</v>
      </c>
      <c r="F43" s="434">
        <v>100000000</v>
      </c>
      <c r="G43" s="434">
        <v>0.05</v>
      </c>
      <c r="H43" s="434">
        <v>10000</v>
      </c>
      <c r="I43" s="434"/>
      <c r="J43" s="434">
        <v>-10000</v>
      </c>
      <c r="K43" s="434">
        <v>10000</v>
      </c>
      <c r="L43" s="434" t="str">
        <f>'Kennzahlenbogen_(KB)'!O28</f>
        <v>n.d.</v>
      </c>
      <c r="M43" s="435">
        <f>IF('Kennzahlenbogen_(KB)'!P26=Berechnung1!$G$5,1,IF('Kennzahlenbogen_(KB)'!P26=Berechnung1!$F$5,1,IF('Kennzahlenbogen_(KB)'!P26=Berechnung1!$E$5,2,IF('Kennzahlenbogen_(KB)'!P26=Berechnung1!$D$5,3,IF('Kennzahlenbogen_(KB)'!P26=Berechnung1!$C$5,4,"")))))</f>
        <v>1</v>
      </c>
      <c r="N43" s="435">
        <f t="shared" si="2"/>
        <v>1</v>
      </c>
      <c r="O43" s="435">
        <f>IF('Kennzahlenbogen_(KB)'!R26="",0,1)</f>
        <v>0</v>
      </c>
    </row>
    <row r="44" spans="1:15" s="328" customFormat="1" x14ac:dyDescent="0.25">
      <c r="A44" s="16"/>
      <c r="C44" s="147"/>
      <c r="D44" s="94"/>
      <c r="E44" s="335"/>
      <c r="F44" s="335"/>
      <c r="G44" s="335"/>
      <c r="H44" s="335"/>
      <c r="I44" s="335"/>
      <c r="J44" s="335"/>
      <c r="K44" s="335"/>
      <c r="L44" s="335"/>
      <c r="M44" s="335"/>
      <c r="N44" s="335"/>
      <c r="O44" s="336"/>
    </row>
    <row r="45" spans="1:15" s="328" customFormat="1" x14ac:dyDescent="0.25">
      <c r="A45" s="16"/>
      <c r="C45" s="147"/>
      <c r="D45" s="94"/>
      <c r="E45" s="335"/>
      <c r="F45" s="335"/>
      <c r="G45" s="335"/>
      <c r="H45" s="335"/>
      <c r="I45" s="335"/>
      <c r="J45" s="335"/>
      <c r="K45" s="335"/>
      <c r="L45" s="335"/>
      <c r="M45" s="335"/>
      <c r="N45" s="335"/>
      <c r="O45" s="336"/>
    </row>
    <row r="46" spans="1:15" s="328" customFormat="1" x14ac:dyDescent="0.25">
      <c r="A46" s="16"/>
      <c r="C46" s="433">
        <v>7</v>
      </c>
      <c r="D46" s="433" t="s">
        <v>150</v>
      </c>
      <c r="E46" s="434">
        <v>0</v>
      </c>
      <c r="F46" s="434">
        <v>1</v>
      </c>
      <c r="G46" s="434">
        <v>0.9</v>
      </c>
      <c r="H46" s="434">
        <v>10000</v>
      </c>
      <c r="I46" s="434"/>
      <c r="J46" s="434">
        <v>-10000</v>
      </c>
      <c r="K46" s="434">
        <v>10000</v>
      </c>
      <c r="L46" s="434" t="str">
        <f>'Kennzahlenbogen_(KB)'!O31</f>
        <v>n.d.</v>
      </c>
      <c r="M46" s="436">
        <f>IF('Kennzahlenbogen_(KB)'!P29=Berechnung1!$G$5,1,IF('Kennzahlenbogen_(KB)'!P29=Berechnung1!$F$5,1,IF('Kennzahlenbogen_(KB)'!P29=Berechnung1!$E$5,2,IF('Kennzahlenbogen_(KB)'!P29=Berechnung1!$D$5,3,IF('Kennzahlenbogen_(KB)'!P29=Berechnung1!$C$5,4,"")))))</f>
        <v>1</v>
      </c>
      <c r="N46" s="435">
        <f t="shared" si="2"/>
        <v>1</v>
      </c>
      <c r="O46" s="435">
        <f>IF('Kennzahlenbogen_(KB)'!R29="",0,1)</f>
        <v>0</v>
      </c>
    </row>
    <row r="47" spans="1:15" s="328" customFormat="1" x14ac:dyDescent="0.25">
      <c r="A47" s="16"/>
      <c r="C47" s="147"/>
      <c r="D47" s="94"/>
      <c r="E47" s="335"/>
      <c r="F47" s="335"/>
      <c r="G47" s="335"/>
      <c r="H47" s="335"/>
      <c r="I47" s="335"/>
      <c r="J47" s="335"/>
      <c r="K47" s="335"/>
      <c r="L47" s="335"/>
      <c r="M47" s="335"/>
      <c r="N47" s="338"/>
      <c r="O47" s="338"/>
    </row>
    <row r="48" spans="1:15" s="328" customFormat="1" x14ac:dyDescent="0.25">
      <c r="A48" s="16"/>
      <c r="C48" s="147"/>
      <c r="D48" s="94"/>
      <c r="E48" s="335"/>
      <c r="F48" s="335"/>
      <c r="G48" s="335"/>
      <c r="H48" s="335"/>
      <c r="I48" s="335"/>
      <c r="J48" s="335"/>
      <c r="K48" s="335"/>
      <c r="L48" s="335"/>
      <c r="M48" s="335"/>
      <c r="N48" s="338"/>
      <c r="O48" s="338"/>
    </row>
    <row r="49" spans="1:21" s="328" customFormat="1" x14ac:dyDescent="0.25">
      <c r="A49" s="16"/>
      <c r="B49" s="35" t="s">
        <v>1104</v>
      </c>
      <c r="C49" s="442">
        <v>8</v>
      </c>
      <c r="D49" s="442" t="s">
        <v>150</v>
      </c>
      <c r="E49" s="443">
        <v>0</v>
      </c>
      <c r="F49" s="443">
        <v>1</v>
      </c>
      <c r="G49" s="443">
        <v>0.9</v>
      </c>
      <c r="H49" s="443">
        <v>10000</v>
      </c>
      <c r="I49" s="443"/>
      <c r="J49" s="443">
        <v>-10000</v>
      </c>
      <c r="K49" s="443">
        <v>10000</v>
      </c>
      <c r="L49" s="443" t="str">
        <f>'Kennzahlenbogen_(KB)'!O34</f>
        <v>n.d.</v>
      </c>
      <c r="M49" s="445">
        <f>IF('Kennzahlenbogen_(KB)'!P32=Berechnung1!$H$5,5,IF('Kennzahlenbogen_(KB)'!P32=Berechnung1!$G$5,1,IF('Kennzahlenbogen_(KB)'!P32=Berechnung1!$F$5,1,IF('Kennzahlenbogen_(KB)'!P32=Berechnung1!$E$5,2,IF('Kennzahlenbogen_(KB)'!P32=Berechnung1!$D$5,3,IF('Kennzahlenbogen_(KB)'!P32=Berechnung1!$C$5,4,""))))))</f>
        <v>1</v>
      </c>
      <c r="N49" s="444">
        <f t="shared" si="2"/>
        <v>1</v>
      </c>
      <c r="O49" s="444">
        <f>IF('Kennzahlenbogen_(KB)'!R32="",0,1)</f>
        <v>0</v>
      </c>
      <c r="U49" s="339"/>
    </row>
    <row r="50" spans="1:21" s="328" customFormat="1" x14ac:dyDescent="0.25">
      <c r="A50" s="16"/>
      <c r="C50" s="147"/>
      <c r="D50" s="94"/>
      <c r="E50" s="335"/>
      <c r="F50" s="335"/>
      <c r="G50" s="335"/>
      <c r="H50" s="335"/>
      <c r="I50" s="335"/>
      <c r="J50" s="335"/>
      <c r="K50" s="335"/>
      <c r="L50" s="335"/>
      <c r="M50" s="335"/>
      <c r="N50" s="335"/>
      <c r="O50" s="336"/>
      <c r="U50" s="339"/>
    </row>
    <row r="51" spans="1:21" s="328" customFormat="1" x14ac:dyDescent="0.25">
      <c r="A51" s="16"/>
      <c r="C51" s="147"/>
      <c r="D51" s="94"/>
      <c r="E51" s="335"/>
      <c r="F51" s="335"/>
      <c r="G51" s="335"/>
      <c r="H51" s="335"/>
      <c r="I51" s="335"/>
      <c r="J51" s="335"/>
      <c r="K51" s="335"/>
      <c r="L51" s="335"/>
      <c r="M51" s="335"/>
      <c r="N51" s="335"/>
      <c r="O51" s="336"/>
      <c r="U51" s="339"/>
    </row>
    <row r="52" spans="1:21" s="328" customFormat="1" x14ac:dyDescent="0.25">
      <c r="A52" s="16"/>
      <c r="B52" s="35"/>
      <c r="C52" s="433">
        <v>9</v>
      </c>
      <c r="D52" s="433" t="s">
        <v>150</v>
      </c>
      <c r="E52" s="434">
        <v>0</v>
      </c>
      <c r="F52" s="434">
        <v>1</v>
      </c>
      <c r="G52" s="434">
        <v>0.9</v>
      </c>
      <c r="H52" s="434">
        <v>10000</v>
      </c>
      <c r="I52" s="434"/>
      <c r="J52" s="434">
        <v>-10000</v>
      </c>
      <c r="K52" s="434">
        <v>10000</v>
      </c>
      <c r="L52" s="434" t="str">
        <f>'Kennzahlenbogen_(KB)'!O37</f>
        <v>n.d.</v>
      </c>
      <c r="M52" s="435">
        <f>IF('Kennzahlenbogen_(KB)'!P35=Berechnung1!$G$5,1,IF('Kennzahlenbogen_(KB)'!P35=Berechnung1!$F$5,1,IF('Kennzahlenbogen_(KB)'!P35=Berechnung1!$E$5,2,IF('Kennzahlenbogen_(KB)'!P35=Berechnung1!$D$5,3,IF('Kennzahlenbogen_(KB)'!P35=Berechnung1!$C$5,4,"")))))</f>
        <v>1</v>
      </c>
      <c r="N52" s="435">
        <f t="shared" si="2"/>
        <v>1</v>
      </c>
      <c r="O52" s="435">
        <f>IF('Kennzahlenbogen_(KB)'!R35="",0,1)</f>
        <v>0</v>
      </c>
      <c r="U52" s="339"/>
    </row>
    <row r="53" spans="1:21" s="328" customFormat="1" x14ac:dyDescent="0.25">
      <c r="A53" s="16"/>
      <c r="C53" s="147"/>
      <c r="D53" s="94"/>
      <c r="E53" s="335"/>
      <c r="F53" s="335"/>
      <c r="G53" s="335"/>
      <c r="H53" s="335"/>
      <c r="I53" s="335"/>
      <c r="J53" s="335"/>
      <c r="K53" s="335"/>
      <c r="L53" s="335"/>
      <c r="M53" s="335"/>
      <c r="N53" s="335"/>
      <c r="O53" s="336"/>
      <c r="U53" s="339"/>
    </row>
    <row r="54" spans="1:21" s="328" customFormat="1" x14ac:dyDescent="0.25">
      <c r="A54" s="16"/>
      <c r="C54" s="147"/>
      <c r="D54" s="94"/>
      <c r="E54" s="335"/>
      <c r="F54" s="335"/>
      <c r="G54" s="335"/>
      <c r="H54" s="335"/>
      <c r="I54" s="335"/>
      <c r="J54" s="335"/>
      <c r="K54" s="335"/>
      <c r="L54" s="335"/>
      <c r="M54" s="335"/>
      <c r="N54" s="335"/>
      <c r="O54" s="336"/>
      <c r="U54" s="339"/>
    </row>
    <row r="55" spans="1:21" s="328" customFormat="1" x14ac:dyDescent="0.25">
      <c r="A55" s="16"/>
      <c r="B55" s="35" t="s">
        <v>1104</v>
      </c>
      <c r="C55" s="441" t="s">
        <v>1102</v>
      </c>
      <c r="D55" s="442" t="s">
        <v>150</v>
      </c>
      <c r="E55" s="443">
        <v>0</v>
      </c>
      <c r="F55" s="443">
        <v>1</v>
      </c>
      <c r="G55" s="443">
        <v>0.5</v>
      </c>
      <c r="H55" s="443">
        <v>10000</v>
      </c>
      <c r="I55" s="443"/>
      <c r="J55" s="443">
        <v>-10000</v>
      </c>
      <c r="K55" s="443">
        <v>10000</v>
      </c>
      <c r="L55" s="443" t="str">
        <f>'Kennzahlenbogen_(KB)'!O40</f>
        <v>n.d.</v>
      </c>
      <c r="M55" s="444">
        <f>IF('Kennzahlenbogen_(KB)'!P38=Berechnung1!$H$5,5,IF('Kennzahlenbogen_(KB)'!P38=Berechnung1!$G$5,1,IF('Kennzahlenbogen_(KB)'!P38=Berechnung1!$F$5,1,IF('Kennzahlenbogen_(KB)'!P38=Berechnung1!$E$5,2,IF('Kennzahlenbogen_(KB)'!P38=Berechnung1!$D$5,3,IF('Kennzahlenbogen_(KB)'!P38=Berechnung1!$C$5,4,""))))))</f>
        <v>1</v>
      </c>
      <c r="N55" s="444">
        <f t="shared" si="2"/>
        <v>1</v>
      </c>
      <c r="O55" s="444">
        <f>IF('Kennzahlenbogen_(KB)'!R38="",0,1)</f>
        <v>0</v>
      </c>
      <c r="U55" s="339"/>
    </row>
    <row r="56" spans="1:21" s="328" customFormat="1" x14ac:dyDescent="0.25">
      <c r="A56" s="16"/>
      <c r="C56" s="147"/>
      <c r="D56" s="94"/>
      <c r="E56" s="335"/>
      <c r="F56" s="335"/>
      <c r="G56" s="335"/>
      <c r="H56" s="335"/>
      <c r="I56" s="335"/>
      <c r="J56" s="335"/>
      <c r="K56" s="335"/>
      <c r="L56" s="335"/>
      <c r="M56" s="335"/>
      <c r="N56" s="335"/>
      <c r="O56" s="336"/>
      <c r="U56" s="339"/>
    </row>
    <row r="57" spans="1:21" s="328" customFormat="1" x14ac:dyDescent="0.25">
      <c r="A57" s="16"/>
      <c r="C57" s="147"/>
      <c r="D57" s="94"/>
      <c r="E57" s="335"/>
      <c r="F57" s="335"/>
      <c r="G57" s="335"/>
      <c r="H57" s="335"/>
      <c r="I57" s="335"/>
      <c r="J57" s="335"/>
      <c r="K57" s="335"/>
      <c r="L57" s="335"/>
      <c r="M57" s="335"/>
      <c r="N57" s="335"/>
      <c r="O57" s="336"/>
      <c r="U57" s="339"/>
    </row>
    <row r="58" spans="1:21" s="328" customFormat="1" x14ac:dyDescent="0.25">
      <c r="A58" s="16"/>
      <c r="B58" s="35"/>
      <c r="C58" s="433">
        <v>11</v>
      </c>
      <c r="D58" s="433" t="s">
        <v>150</v>
      </c>
      <c r="E58" s="434">
        <v>0</v>
      </c>
      <c r="F58" s="434">
        <v>1</v>
      </c>
      <c r="G58" s="434">
        <v>-10000</v>
      </c>
      <c r="H58" s="434">
        <v>0.01</v>
      </c>
      <c r="I58" s="434"/>
      <c r="J58" s="437">
        <v>1E-4</v>
      </c>
      <c r="K58" s="434">
        <v>10000</v>
      </c>
      <c r="L58" s="434" t="str">
        <f>'Kennzahlenbogen_(KB)'!O43</f>
        <v>n.d.</v>
      </c>
      <c r="M58" s="435">
        <f>IF('Kennzahlenbogen_(KB)'!P41=Berechnung1!$G$5,1,IF('Kennzahlenbogen_(KB)'!P41=Berechnung1!$F$5,1,IF('Kennzahlenbogen_(KB)'!P41=Berechnung1!$E$5,2,IF('Kennzahlenbogen_(KB)'!P41=Berechnung1!$D$5,3,IF('Kennzahlenbogen_(KB)'!P41=Berechnung1!$C$5,4,"")))))</f>
        <v>1</v>
      </c>
      <c r="N58" s="435">
        <f t="shared" si="2"/>
        <v>1</v>
      </c>
      <c r="O58" s="435">
        <f>IF('Kennzahlenbogen_(KB)'!R41="",0,1)</f>
        <v>0</v>
      </c>
    </row>
    <row r="59" spans="1:21" s="328" customFormat="1" x14ac:dyDescent="0.25">
      <c r="A59" s="16"/>
      <c r="C59" s="147"/>
      <c r="D59" s="94"/>
      <c r="E59" s="335"/>
      <c r="F59" s="335"/>
      <c r="G59" s="335"/>
      <c r="H59" s="335"/>
      <c r="I59" s="335"/>
      <c r="J59" s="335"/>
      <c r="K59" s="335"/>
      <c r="L59" s="335"/>
      <c r="M59" s="335"/>
      <c r="N59" s="335"/>
      <c r="O59" s="336"/>
    </row>
    <row r="60" spans="1:21" s="328" customFormat="1" x14ac:dyDescent="0.25">
      <c r="A60" s="16"/>
      <c r="C60" s="147"/>
      <c r="D60" s="94"/>
      <c r="E60" s="335"/>
      <c r="F60" s="335"/>
      <c r="G60" s="335"/>
      <c r="H60" s="335"/>
      <c r="I60" s="335"/>
      <c r="J60" s="335"/>
      <c r="K60" s="335"/>
      <c r="L60" s="335"/>
      <c r="M60" s="335"/>
      <c r="N60" s="335"/>
      <c r="O60" s="336"/>
    </row>
    <row r="61" spans="1:21" s="328" customFormat="1" x14ac:dyDescent="0.25">
      <c r="A61" s="16"/>
      <c r="B61" s="35" t="s">
        <v>1104</v>
      </c>
      <c r="C61" s="442">
        <v>12</v>
      </c>
      <c r="D61" s="442" t="s">
        <v>150</v>
      </c>
      <c r="E61" s="443">
        <v>0</v>
      </c>
      <c r="F61" s="443">
        <v>1</v>
      </c>
      <c r="G61" s="443">
        <v>0.9</v>
      </c>
      <c r="H61" s="443">
        <v>10000</v>
      </c>
      <c r="I61" s="443"/>
      <c r="J61" s="443">
        <v>-10000</v>
      </c>
      <c r="K61" s="443">
        <v>10000</v>
      </c>
      <c r="L61" s="443" t="str">
        <f>'Kennzahlenbogen_(KB)'!O46</f>
        <v>n.d.</v>
      </c>
      <c r="M61" s="444">
        <f>IF('Kennzahlenbogen_(KB)'!P44=Berechnung1!$H$5,5,IF('Kennzahlenbogen_(KB)'!P44=Berechnung1!$G$5,1,IF('Kennzahlenbogen_(KB)'!P44=Berechnung1!$F$5,1,IF('Kennzahlenbogen_(KB)'!P44=Berechnung1!$E$5,2,IF('Kennzahlenbogen_(KB)'!P44=Berechnung1!$D$5,3,IF('Kennzahlenbogen_(KB)'!P44=Berechnung1!$C$5,4,""))))))</f>
        <v>1</v>
      </c>
      <c r="N61" s="444">
        <f t="shared" si="2"/>
        <v>1</v>
      </c>
      <c r="O61" s="444">
        <f>IF('Kennzahlenbogen_(KB)'!R44="",0,1)</f>
        <v>0</v>
      </c>
    </row>
    <row r="62" spans="1:21" s="328" customFormat="1" x14ac:dyDescent="0.25">
      <c r="A62" s="16"/>
      <c r="C62" s="147"/>
      <c r="D62" s="94"/>
      <c r="E62" s="335"/>
      <c r="F62" s="335"/>
      <c r="G62" s="335"/>
      <c r="H62" s="335"/>
      <c r="I62" s="335"/>
      <c r="J62" s="335"/>
      <c r="K62" s="335"/>
      <c r="L62" s="335"/>
      <c r="M62" s="335"/>
      <c r="N62" s="335"/>
      <c r="O62" s="336"/>
    </row>
    <row r="63" spans="1:21" s="328" customFormat="1" x14ac:dyDescent="0.25">
      <c r="A63" s="16"/>
      <c r="C63" s="147"/>
      <c r="D63" s="94"/>
      <c r="E63" s="335"/>
      <c r="F63" s="335"/>
      <c r="G63" s="335"/>
      <c r="H63" s="335"/>
      <c r="I63" s="335"/>
      <c r="J63" s="335"/>
      <c r="K63" s="335"/>
      <c r="L63" s="335"/>
      <c r="M63" s="335"/>
      <c r="N63" s="335"/>
      <c r="O63" s="336"/>
    </row>
    <row r="64" spans="1:21" s="328" customFormat="1" x14ac:dyDescent="0.25">
      <c r="A64" s="16"/>
      <c r="C64" s="433">
        <v>13</v>
      </c>
      <c r="D64" s="433">
        <v>0</v>
      </c>
      <c r="E64" s="434">
        <v>0</v>
      </c>
      <c r="F64" s="434">
        <v>1000000000000</v>
      </c>
      <c r="G64" s="436">
        <v>30</v>
      </c>
      <c r="H64" s="434">
        <v>1000000000000000</v>
      </c>
      <c r="I64" s="434"/>
      <c r="J64" s="434">
        <v>-10000</v>
      </c>
      <c r="K64" s="434">
        <v>1000000000000</v>
      </c>
      <c r="L64" s="435">
        <f>'Kennzahlenbogen_(KB)'!O47</f>
        <v>0</v>
      </c>
      <c r="M64" s="435">
        <f>IF('Kennzahlenbogen_(KB)'!P47=Berechnung1!$G$5,1,IF('Kennzahlenbogen_(KB)'!P47=Berechnung1!$F$5,1,IF('Kennzahlenbogen_(KB)'!P47=Berechnung1!$E$5,2,IF('Kennzahlenbogen_(KB)'!P47=Berechnung1!$D$5,3,IF('Kennzahlenbogen_(KB)'!P47=Berechnung1!$C$5,4,"")))))</f>
        <v>1</v>
      </c>
      <c r="N64" s="435">
        <f t="shared" si="2"/>
        <v>1</v>
      </c>
      <c r="O64" s="435">
        <f>IF('Kennzahlenbogen_(KB)'!R47="",0,1)</f>
        <v>0</v>
      </c>
    </row>
    <row r="65" spans="1:15" s="328" customFormat="1" x14ac:dyDescent="0.25">
      <c r="A65" s="16"/>
      <c r="C65" s="147"/>
      <c r="D65" s="94"/>
      <c r="E65" s="335"/>
      <c r="F65" s="335"/>
      <c r="G65" s="335"/>
      <c r="H65" s="335"/>
      <c r="I65" s="335"/>
      <c r="J65" s="335"/>
      <c r="K65" s="335"/>
      <c r="L65" s="335"/>
      <c r="M65" s="335"/>
      <c r="N65" s="335"/>
      <c r="O65" s="336"/>
    </row>
    <row r="66" spans="1:15" s="328" customFormat="1" x14ac:dyDescent="0.25">
      <c r="A66" s="16"/>
      <c r="C66" s="147"/>
      <c r="D66" s="94"/>
      <c r="E66" s="335"/>
      <c r="F66" s="335"/>
      <c r="G66" s="335"/>
      <c r="H66" s="335"/>
      <c r="I66" s="335"/>
      <c r="J66" s="335"/>
      <c r="K66" s="335"/>
      <c r="L66" s="335"/>
      <c r="M66" s="335"/>
      <c r="N66" s="335"/>
      <c r="O66" s="336"/>
    </row>
    <row r="67" spans="1:15" s="328" customFormat="1" x14ac:dyDescent="0.25">
      <c r="A67" s="16"/>
      <c r="C67" s="433">
        <v>14</v>
      </c>
      <c r="D67" s="433">
        <v>0</v>
      </c>
      <c r="E67" s="434">
        <v>0</v>
      </c>
      <c r="F67" s="434">
        <v>1000000000000</v>
      </c>
      <c r="G67" s="436">
        <v>20</v>
      </c>
      <c r="H67" s="434">
        <v>1000000000000</v>
      </c>
      <c r="I67" s="434"/>
      <c r="J67" s="434">
        <v>-10000</v>
      </c>
      <c r="K67" s="434">
        <v>1000000000000</v>
      </c>
      <c r="L67" s="435">
        <f>'Kennzahlenbogen_(KB)'!O50</f>
        <v>0</v>
      </c>
      <c r="M67" s="435">
        <f>IF('Kennzahlenbogen_(KB)'!P50=Berechnung1!$G$5,1,IF('Kennzahlenbogen_(KB)'!P50=Berechnung1!$F$5,1,IF('Kennzahlenbogen_(KB)'!P50=Berechnung1!$E$5,2,IF('Kennzahlenbogen_(KB)'!P50=Berechnung1!$D$5,3,IF('Kennzahlenbogen_(KB)'!P50=Berechnung1!$C$5,4,"")))))</f>
        <v>1</v>
      </c>
      <c r="N67" s="435">
        <f t="shared" si="2"/>
        <v>1</v>
      </c>
      <c r="O67" s="435">
        <f>IF('Kennzahlenbogen_(KB)'!R50="",0,1)</f>
        <v>0</v>
      </c>
    </row>
    <row r="68" spans="1:15" s="328" customFormat="1" x14ac:dyDescent="0.25">
      <c r="A68" s="16"/>
      <c r="C68" s="147"/>
      <c r="D68" s="94"/>
      <c r="E68" s="335"/>
      <c r="F68" s="335"/>
      <c r="G68" s="335"/>
      <c r="H68" s="335"/>
      <c r="I68" s="335"/>
      <c r="J68" s="335"/>
      <c r="K68" s="335"/>
      <c r="L68" s="335"/>
      <c r="M68" s="335"/>
      <c r="N68" s="335"/>
      <c r="O68" s="336"/>
    </row>
    <row r="69" spans="1:15" s="328" customFormat="1" x14ac:dyDescent="0.25">
      <c r="A69" s="16"/>
      <c r="C69" s="147"/>
      <c r="D69" s="94"/>
      <c r="E69" s="335"/>
      <c r="F69" s="335"/>
      <c r="G69" s="335"/>
      <c r="H69" s="335"/>
      <c r="I69" s="335"/>
      <c r="J69" s="335"/>
      <c r="K69" s="335"/>
      <c r="L69" s="335"/>
      <c r="M69" s="335"/>
      <c r="N69" s="335"/>
      <c r="O69" s="336"/>
    </row>
    <row r="70" spans="1:15" s="328" customFormat="1" x14ac:dyDescent="0.25">
      <c r="A70" s="16"/>
      <c r="C70" s="433">
        <v>15</v>
      </c>
      <c r="D70" s="433" t="s">
        <v>150</v>
      </c>
      <c r="E70" s="434">
        <v>0</v>
      </c>
      <c r="F70" s="434">
        <v>1</v>
      </c>
      <c r="G70" s="434">
        <v>-10000</v>
      </c>
      <c r="H70" s="434">
        <v>0.15</v>
      </c>
      <c r="I70" s="434"/>
      <c r="J70" s="437">
        <v>1E-4</v>
      </c>
      <c r="K70" s="434">
        <v>0.1</v>
      </c>
      <c r="L70" s="434" t="str">
        <f>'Kennzahlenbogen_(KB)'!O55</f>
        <v>n.d.</v>
      </c>
      <c r="M70" s="435">
        <f>IF('Kennzahlenbogen_(KB)'!P53=Berechnung1!$G$5,1,IF('Kennzahlenbogen_(KB)'!P53=Berechnung1!$F$5,1,IF('Kennzahlenbogen_(KB)'!P53=Berechnung1!$E$5,2,IF('Kennzahlenbogen_(KB)'!P53=Berechnung1!$D$5,3,IF('Kennzahlenbogen_(KB)'!P53=Berechnung1!$C$5,4,"")))))</f>
        <v>1</v>
      </c>
      <c r="N70" s="435">
        <f t="shared" si="2"/>
        <v>1</v>
      </c>
      <c r="O70" s="435">
        <f>IF('Kennzahlenbogen_(KB)'!R53="",0,1)</f>
        <v>0</v>
      </c>
    </row>
    <row r="71" spans="1:15" s="328" customFormat="1" x14ac:dyDescent="0.25">
      <c r="A71" s="16"/>
      <c r="C71" s="337"/>
      <c r="D71" s="94"/>
      <c r="E71" s="335"/>
      <c r="F71" s="335"/>
      <c r="G71" s="335"/>
      <c r="H71" s="335"/>
      <c r="I71" s="335"/>
      <c r="J71" s="335"/>
      <c r="K71" s="335"/>
      <c r="L71" s="335"/>
      <c r="M71" s="335"/>
      <c r="N71" s="335"/>
      <c r="O71" s="336"/>
    </row>
    <row r="72" spans="1:15" s="328" customFormat="1" x14ac:dyDescent="0.25">
      <c r="A72" s="16"/>
      <c r="C72" s="147"/>
      <c r="D72" s="94"/>
      <c r="E72" s="335"/>
      <c r="F72" s="335"/>
      <c r="G72" s="335"/>
      <c r="H72" s="335"/>
      <c r="I72" s="335"/>
      <c r="J72" s="335"/>
      <c r="K72" s="335"/>
      <c r="L72" s="335"/>
      <c r="M72" s="335"/>
      <c r="N72" s="335"/>
      <c r="O72" s="336"/>
    </row>
    <row r="73" spans="1:15" s="328" customFormat="1" x14ac:dyDescent="0.25">
      <c r="A73" s="16"/>
      <c r="C73" s="433">
        <v>16</v>
      </c>
      <c r="D73" s="433" t="s">
        <v>150</v>
      </c>
      <c r="E73" s="434">
        <v>0</v>
      </c>
      <c r="F73" s="434">
        <v>1</v>
      </c>
      <c r="G73" s="434">
        <v>-10000</v>
      </c>
      <c r="H73" s="434">
        <v>0.15</v>
      </c>
      <c r="I73" s="434"/>
      <c r="J73" s="437">
        <v>1E-4</v>
      </c>
      <c r="K73" s="434">
        <v>0.1</v>
      </c>
      <c r="L73" s="434" t="str">
        <f>'Kennzahlenbogen_(KB)'!O58</f>
        <v>n.d.</v>
      </c>
      <c r="M73" s="435">
        <f>IF('Kennzahlenbogen_(KB)'!P56=Berechnung1!$G$5,1,IF('Kennzahlenbogen_(KB)'!P56=Berechnung1!$F$5,1,IF('Kennzahlenbogen_(KB)'!P56=Berechnung1!$E$5,2,IF('Kennzahlenbogen_(KB)'!P56=Berechnung1!$D$5,3,IF('Kennzahlenbogen_(KB)'!P56=Berechnung1!$C$5,4,"")))))</f>
        <v>1</v>
      </c>
      <c r="N73" s="435">
        <f t="shared" si="2"/>
        <v>1</v>
      </c>
      <c r="O73" s="435">
        <f>IF('Kennzahlenbogen_(KB)'!R56="",0,1)</f>
        <v>0</v>
      </c>
    </row>
    <row r="74" spans="1:15" s="328" customFormat="1" x14ac:dyDescent="0.25">
      <c r="A74" s="16"/>
      <c r="C74" s="147"/>
      <c r="D74" s="94"/>
      <c r="E74" s="335"/>
      <c r="F74" s="335"/>
      <c r="G74" s="335"/>
      <c r="H74" s="335"/>
      <c r="I74" s="335"/>
      <c r="J74" s="335"/>
      <c r="K74" s="335"/>
      <c r="L74" s="335"/>
      <c r="M74" s="335"/>
      <c r="N74" s="335"/>
      <c r="O74" s="336"/>
    </row>
    <row r="75" spans="1:15" s="328" customFormat="1" x14ac:dyDescent="0.25">
      <c r="A75" s="16"/>
      <c r="C75" s="147"/>
      <c r="D75" s="94"/>
      <c r="E75" s="335"/>
      <c r="F75" s="335"/>
      <c r="G75" s="335"/>
      <c r="H75" s="335"/>
      <c r="I75" s="335"/>
      <c r="J75" s="335"/>
      <c r="K75" s="335"/>
      <c r="L75" s="335"/>
      <c r="M75" s="335"/>
      <c r="N75" s="335"/>
      <c r="O75" s="336"/>
    </row>
    <row r="76" spans="1:15" s="328" customFormat="1" x14ac:dyDescent="0.25">
      <c r="A76" s="16"/>
      <c r="C76" s="433">
        <v>17</v>
      </c>
      <c r="D76" s="433" t="s">
        <v>150</v>
      </c>
      <c r="E76" s="434">
        <v>0</v>
      </c>
      <c r="F76" s="434">
        <v>1</v>
      </c>
      <c r="G76" s="434">
        <v>-10000</v>
      </c>
      <c r="H76" s="434">
        <v>0.06</v>
      </c>
      <c r="I76" s="434"/>
      <c r="J76" s="437">
        <v>1E-4</v>
      </c>
      <c r="K76" s="434">
        <v>10000</v>
      </c>
      <c r="L76" s="434" t="str">
        <f>'Kennzahlenbogen_(KB)'!O61</f>
        <v>n.d.</v>
      </c>
      <c r="M76" s="435">
        <f>IF('Kennzahlenbogen_(KB)'!P59=Berechnung1!$G$5,1,IF('Kennzahlenbogen_(KB)'!P59=Berechnung1!$F$5,1,IF('Kennzahlenbogen_(KB)'!P59=Berechnung1!$E$5,2,IF('Kennzahlenbogen_(KB)'!P59=Berechnung1!$D$5,3,IF('Kennzahlenbogen_(KB)'!P59=Berechnung1!$C$5,4,"")))))</f>
        <v>1</v>
      </c>
      <c r="N76" s="435">
        <f t="shared" si="2"/>
        <v>1</v>
      </c>
      <c r="O76" s="435">
        <f>IF('Kennzahlenbogen_(KB)'!R59="",0,1)</f>
        <v>0</v>
      </c>
    </row>
    <row r="77" spans="1:15" s="328" customFormat="1" x14ac:dyDescent="0.25">
      <c r="A77" s="16"/>
      <c r="C77" s="147"/>
      <c r="D77" s="94"/>
      <c r="E77" s="335"/>
      <c r="F77" s="335"/>
      <c r="G77" s="335"/>
      <c r="H77" s="335"/>
      <c r="I77" s="335"/>
      <c r="J77" s="335"/>
      <c r="K77" s="335"/>
      <c r="L77" s="335"/>
      <c r="M77" s="335"/>
      <c r="N77" s="335"/>
      <c r="O77" s="336"/>
    </row>
    <row r="78" spans="1:15" s="328" customFormat="1" x14ac:dyDescent="0.25">
      <c r="A78" s="16"/>
      <c r="C78" s="147"/>
      <c r="D78" s="94"/>
      <c r="E78" s="335"/>
      <c r="F78" s="335"/>
      <c r="G78" s="335"/>
      <c r="H78" s="335"/>
      <c r="I78" s="335"/>
      <c r="J78" s="335"/>
      <c r="K78" s="335"/>
      <c r="L78" s="335"/>
      <c r="M78" s="335"/>
      <c r="N78" s="335"/>
      <c r="O78" s="336"/>
    </row>
    <row r="79" spans="1:15" s="328" customFormat="1" x14ac:dyDescent="0.25">
      <c r="A79" s="16"/>
      <c r="C79" s="433">
        <v>18</v>
      </c>
      <c r="D79" s="433" t="s">
        <v>150</v>
      </c>
      <c r="E79" s="434">
        <v>0</v>
      </c>
      <c r="F79" s="434">
        <v>1</v>
      </c>
      <c r="G79" s="434">
        <v>-10000</v>
      </c>
      <c r="H79" s="434">
        <v>0.15</v>
      </c>
      <c r="I79" s="434"/>
      <c r="J79" s="437">
        <v>1E-4</v>
      </c>
      <c r="K79" s="434">
        <v>10000</v>
      </c>
      <c r="L79" s="434" t="str">
        <f>'Kennzahlenbogen_(KB)'!O64</f>
        <v>n.d.</v>
      </c>
      <c r="M79" s="435">
        <f>IF('Kennzahlenbogen_(KB)'!P62=Berechnung1!$G$5,1,IF('Kennzahlenbogen_(KB)'!P62=Berechnung1!$F$5,1,IF('Kennzahlenbogen_(KB)'!P62=Berechnung1!$E$5,2,IF('Kennzahlenbogen_(KB)'!P62=Berechnung1!$D$5,3,IF('Kennzahlenbogen_(KB)'!P62=Berechnung1!$C$5,4,"")))))</f>
        <v>1</v>
      </c>
      <c r="N79" s="435">
        <f t="shared" si="2"/>
        <v>1</v>
      </c>
      <c r="O79" s="435">
        <f>IF('Kennzahlenbogen_(KB)'!R62="",0,1)</f>
        <v>0</v>
      </c>
    </row>
    <row r="80" spans="1:15" s="328" customFormat="1" x14ac:dyDescent="0.25">
      <c r="A80" s="16"/>
      <c r="C80" s="147"/>
      <c r="D80" s="94"/>
      <c r="E80" s="335"/>
      <c r="F80" s="335"/>
      <c r="G80" s="335"/>
      <c r="H80" s="335"/>
      <c r="I80" s="335"/>
      <c r="J80" s="335"/>
      <c r="K80" s="335"/>
      <c r="L80" s="335"/>
      <c r="M80" s="335"/>
      <c r="N80" s="335"/>
      <c r="O80" s="336"/>
    </row>
    <row r="81" spans="1:15" s="328" customFormat="1" x14ac:dyDescent="0.25">
      <c r="A81" s="16"/>
      <c r="C81" s="147"/>
      <c r="D81" s="94"/>
      <c r="E81" s="335"/>
      <c r="F81" s="335"/>
      <c r="G81" s="335"/>
      <c r="H81" s="335"/>
      <c r="I81" s="335"/>
      <c r="J81" s="335"/>
      <c r="K81" s="335"/>
      <c r="L81" s="335"/>
      <c r="M81" s="335"/>
      <c r="N81" s="335"/>
      <c r="O81" s="336"/>
    </row>
    <row r="82" spans="1:15" s="328" customFormat="1" x14ac:dyDescent="0.25">
      <c r="A82" s="16"/>
      <c r="C82" s="433">
        <v>19</v>
      </c>
      <c r="D82" s="433" t="s">
        <v>150</v>
      </c>
      <c r="E82" s="434">
        <v>0</v>
      </c>
      <c r="F82" s="434">
        <v>1</v>
      </c>
      <c r="G82" s="434">
        <v>-10000</v>
      </c>
      <c r="H82" s="434">
        <v>0.05</v>
      </c>
      <c r="I82" s="434"/>
      <c r="J82" s="437">
        <v>1E-4</v>
      </c>
      <c r="K82" s="434">
        <v>10000</v>
      </c>
      <c r="L82" s="434" t="str">
        <f>'Kennzahlenbogen_(KB)'!O67</f>
        <v>n.d.</v>
      </c>
      <c r="M82" s="435">
        <f>IF('Kennzahlenbogen_(KB)'!P65=Berechnung1!$G$5,1,IF('Kennzahlenbogen_(KB)'!P65=Berechnung1!$F$5,1,IF('Kennzahlenbogen_(KB)'!P65=Berechnung1!$E$5,2,IF('Kennzahlenbogen_(KB)'!P65=Berechnung1!$D$5,3,IF('Kennzahlenbogen_(KB)'!P65=Berechnung1!$C$5,4,"")))))</f>
        <v>1</v>
      </c>
      <c r="N82" s="435">
        <f t="shared" si="2"/>
        <v>1</v>
      </c>
      <c r="O82" s="435">
        <f>IF('Kennzahlenbogen_(KB)'!R65="",0,1)</f>
        <v>0</v>
      </c>
    </row>
    <row r="83" spans="1:15" s="328" customFormat="1" x14ac:dyDescent="0.25">
      <c r="A83" s="16"/>
      <c r="C83" s="147"/>
      <c r="D83" s="94"/>
      <c r="E83" s="335"/>
      <c r="F83" s="335"/>
      <c r="G83" s="335"/>
      <c r="H83" s="335"/>
      <c r="I83" s="335"/>
      <c r="J83" s="335"/>
      <c r="K83" s="335"/>
      <c r="L83" s="335"/>
      <c r="M83" s="335"/>
      <c r="N83" s="335"/>
      <c r="O83" s="336"/>
    </row>
    <row r="84" spans="1:15" s="328" customFormat="1" x14ac:dyDescent="0.25">
      <c r="A84" s="16"/>
      <c r="C84" s="147"/>
      <c r="D84" s="94"/>
      <c r="E84" s="335"/>
      <c r="F84" s="335"/>
      <c r="G84" s="335"/>
      <c r="H84" s="335"/>
      <c r="I84" s="335"/>
      <c r="J84" s="335"/>
      <c r="K84" s="335"/>
      <c r="L84" s="335"/>
      <c r="M84" s="335"/>
      <c r="N84" s="335"/>
      <c r="O84" s="336"/>
    </row>
    <row r="85" spans="1:15" s="328" customFormat="1" x14ac:dyDescent="0.25">
      <c r="A85" s="16"/>
      <c r="C85" s="433">
        <v>20</v>
      </c>
      <c r="D85" s="433" t="s">
        <v>150</v>
      </c>
      <c r="E85" s="434">
        <v>0</v>
      </c>
      <c r="F85" s="434">
        <v>1</v>
      </c>
      <c r="G85" s="434">
        <v>0.9</v>
      </c>
      <c r="H85" s="434">
        <v>10000</v>
      </c>
      <c r="I85" s="434"/>
      <c r="J85" s="434">
        <v>-10000</v>
      </c>
      <c r="K85" s="434">
        <v>10000</v>
      </c>
      <c r="L85" s="434" t="str">
        <f>'Kennzahlenbogen_(KB)'!O70</f>
        <v>n.d.</v>
      </c>
      <c r="M85" s="435">
        <f>IF('Kennzahlenbogen_(KB)'!P68=Berechnung1!$G$5,1,IF('Kennzahlenbogen_(KB)'!P68=Berechnung1!$F$5,1,IF('Kennzahlenbogen_(KB)'!P68=Berechnung1!$E$5,2,IF('Kennzahlenbogen_(KB)'!P68=Berechnung1!$D$5,3,IF('Kennzahlenbogen_(KB)'!P68=Berechnung1!$C$5,4,"")))))</f>
        <v>1</v>
      </c>
      <c r="N85" s="435">
        <f t="shared" si="2"/>
        <v>1</v>
      </c>
      <c r="O85" s="435">
        <f>IF('Kennzahlenbogen_(KB)'!R68="",0,1)</f>
        <v>0</v>
      </c>
    </row>
    <row r="86" spans="1:15" s="328" customFormat="1" x14ac:dyDescent="0.25">
      <c r="A86" s="16"/>
      <c r="C86" s="147"/>
      <c r="D86" s="337"/>
      <c r="E86" s="337"/>
      <c r="F86" s="337"/>
      <c r="G86" s="337"/>
      <c r="H86" s="337"/>
      <c r="I86" s="337"/>
      <c r="J86" s="337"/>
      <c r="K86" s="337"/>
      <c r="L86" s="337"/>
      <c r="M86" s="337"/>
      <c r="N86" s="337"/>
      <c r="O86" s="337"/>
    </row>
    <row r="87" spans="1:15" s="328" customFormat="1" x14ac:dyDescent="0.25">
      <c r="A87" s="16"/>
      <c r="C87" s="147"/>
      <c r="D87" s="94"/>
      <c r="E87" s="335"/>
      <c r="F87" s="335"/>
      <c r="G87" s="335"/>
      <c r="H87" s="335"/>
      <c r="I87" s="335"/>
      <c r="J87" s="335"/>
      <c r="K87" s="335"/>
      <c r="L87" s="335"/>
      <c r="M87" s="335"/>
      <c r="N87" s="335"/>
      <c r="O87" s="336"/>
    </row>
    <row r="88" spans="1:15" s="328" customFormat="1" x14ac:dyDescent="0.25">
      <c r="A88" s="16"/>
      <c r="C88" s="433">
        <v>21</v>
      </c>
      <c r="D88" s="433" t="s">
        <v>150</v>
      </c>
      <c r="E88" s="434">
        <v>0</v>
      </c>
      <c r="F88" s="434">
        <v>1</v>
      </c>
      <c r="G88" s="434">
        <v>0.9</v>
      </c>
      <c r="H88" s="434">
        <v>10000</v>
      </c>
      <c r="I88" s="434"/>
      <c r="J88" s="434">
        <v>-10000</v>
      </c>
      <c r="K88" s="434">
        <v>10000</v>
      </c>
      <c r="L88" s="434" t="str">
        <f>'Kennzahlenbogen_(KB)'!O73</f>
        <v>n.d.</v>
      </c>
      <c r="M88" s="435">
        <f>IF('Kennzahlenbogen_(KB)'!P71=Berechnung1!$G$5,1,IF('Kennzahlenbogen_(KB)'!P71=Berechnung1!$F$5,1,IF('Kennzahlenbogen_(KB)'!P71=Berechnung1!$E$5,2,IF('Kennzahlenbogen_(KB)'!P71=Berechnung1!$D$5,3,IF('Kennzahlenbogen_(KB)'!P71=Berechnung1!$C$5,4,"")))))</f>
        <v>1</v>
      </c>
      <c r="N88" s="435">
        <f t="shared" ref="N88:N115" si="3">IF(M88&gt;1,M88+3,M88)</f>
        <v>1</v>
      </c>
      <c r="O88" s="435">
        <f>IF('Kennzahlenbogen_(KB)'!R71="",0,1)</f>
        <v>0</v>
      </c>
    </row>
    <row r="89" spans="1:15" s="328" customFormat="1" x14ac:dyDescent="0.25">
      <c r="A89" s="16"/>
      <c r="C89" s="147"/>
      <c r="D89" s="94"/>
      <c r="E89" s="335"/>
      <c r="F89" s="335"/>
      <c r="G89" s="335"/>
      <c r="H89" s="335"/>
      <c r="I89" s="335"/>
      <c r="J89" s="335"/>
      <c r="K89" s="335"/>
      <c r="L89" s="335"/>
      <c r="M89" s="335"/>
      <c r="N89" s="335"/>
      <c r="O89" s="336"/>
    </row>
    <row r="90" spans="1:15" s="328" customFormat="1" x14ac:dyDescent="0.25">
      <c r="A90" s="16"/>
      <c r="C90" s="147"/>
      <c r="D90" s="94"/>
      <c r="E90" s="335"/>
      <c r="F90" s="335"/>
      <c r="G90" s="335"/>
      <c r="H90" s="335"/>
      <c r="I90" s="335"/>
      <c r="J90" s="335"/>
      <c r="K90" s="335"/>
      <c r="L90" s="335"/>
      <c r="M90" s="335"/>
      <c r="N90" s="335"/>
      <c r="O90" s="336"/>
    </row>
    <row r="91" spans="1:15" s="328" customFormat="1" x14ac:dyDescent="0.25">
      <c r="A91" s="16"/>
      <c r="B91" s="35" t="s">
        <v>1104</v>
      </c>
      <c r="C91" s="442" t="s">
        <v>1383</v>
      </c>
      <c r="D91" s="442" t="s">
        <v>150</v>
      </c>
      <c r="E91" s="443">
        <v>0</v>
      </c>
      <c r="F91" s="443">
        <v>1</v>
      </c>
      <c r="G91" s="443">
        <v>-10000</v>
      </c>
      <c r="H91" s="443">
        <v>10000</v>
      </c>
      <c r="I91" s="443"/>
      <c r="J91" s="443">
        <v>0.2</v>
      </c>
      <c r="K91" s="443">
        <v>10000</v>
      </c>
      <c r="L91" s="443" t="str">
        <f>'Kennzahlenbogen_(KB)'!O76</f>
        <v>n.d.</v>
      </c>
      <c r="M91" s="444">
        <f>IF('Kennzahlenbogen_(KB)'!P74=Berechnung1!$H$5,5,IF('Kennzahlenbogen_(KB)'!P74=Berechnung1!$G$5,1,IF('Kennzahlenbogen_(KB)'!P74=Berechnung1!$F$5,1,IF('Kennzahlenbogen_(KB)'!P74=Berechnung1!$E$5,2,IF('Kennzahlenbogen_(KB)'!P74=Berechnung1!$D$5,3,IF('Kennzahlenbogen_(KB)'!P74=Berechnung1!$C$5,4,""))))))</f>
        <v>1</v>
      </c>
      <c r="N91" s="444">
        <f t="shared" si="3"/>
        <v>1</v>
      </c>
      <c r="O91" s="444">
        <f>IF('Kennzahlenbogen_(KB)'!R74="",0,1)</f>
        <v>0</v>
      </c>
    </row>
    <row r="92" spans="1:15" s="328" customFormat="1" x14ac:dyDescent="0.25">
      <c r="A92" s="16"/>
      <c r="C92" s="147"/>
      <c r="D92" s="94"/>
      <c r="E92" s="335"/>
      <c r="F92" s="335"/>
      <c r="G92" s="335"/>
      <c r="H92" s="335"/>
      <c r="I92" s="335"/>
      <c r="J92" s="335"/>
      <c r="K92" s="340"/>
      <c r="L92" s="335"/>
      <c r="M92" s="335"/>
      <c r="N92" s="335"/>
      <c r="O92" s="336"/>
    </row>
    <row r="93" spans="1:15" s="328" customFormat="1" x14ac:dyDescent="0.25">
      <c r="A93" s="16"/>
      <c r="C93" s="147"/>
      <c r="D93" s="94"/>
      <c r="E93" s="335"/>
      <c r="F93" s="335"/>
      <c r="G93" s="335"/>
      <c r="H93" s="335"/>
      <c r="I93" s="335"/>
      <c r="J93" s="335"/>
      <c r="K93" s="340"/>
      <c r="L93" s="335"/>
      <c r="M93" s="335"/>
      <c r="N93" s="335"/>
      <c r="O93" s="336"/>
    </row>
    <row r="94" spans="1:15" s="328" customFormat="1" x14ac:dyDescent="0.25">
      <c r="A94" s="16"/>
      <c r="B94" s="35"/>
      <c r="C94" s="432" t="s">
        <v>1384</v>
      </c>
      <c r="D94" s="433" t="s">
        <v>150</v>
      </c>
      <c r="E94" s="435">
        <v>0</v>
      </c>
      <c r="F94" s="435">
        <v>100000000</v>
      </c>
      <c r="G94" s="435">
        <v>-100000000</v>
      </c>
      <c r="H94" s="435">
        <v>100000000</v>
      </c>
      <c r="I94" s="434"/>
      <c r="J94" s="435">
        <v>-100000000</v>
      </c>
      <c r="K94" s="435">
        <v>1000000</v>
      </c>
      <c r="L94" s="435">
        <f>'Kennzahlenbogen_(KB)'!O77</f>
        <v>0</v>
      </c>
      <c r="M94" s="435">
        <f>IF('Kennzahlenbogen_(KB)'!P77=Berechnung1!$G$5,1,IF('Kennzahlenbogen_(KB)'!P77=Berechnung1!$F$5,1,IF('Kennzahlenbogen_(KB)'!P77=Berechnung1!$E$5,2,IF('Kennzahlenbogen_(KB)'!P77=Berechnung1!$D$5,3,IF('Kennzahlenbogen_(KB)'!P77=Berechnung1!$C$5,4,"")))))</f>
        <v>1</v>
      </c>
      <c r="N94" s="435">
        <f>IF(M94&gt;1,M94+3,M94)</f>
        <v>1</v>
      </c>
      <c r="O94" s="435">
        <f>IF('Kennzahlenbogen_(KB)'!R77="",0,1)</f>
        <v>0</v>
      </c>
    </row>
    <row r="95" spans="1:15" s="328" customFormat="1" x14ac:dyDescent="0.25">
      <c r="A95" s="16"/>
      <c r="B95" s="35"/>
      <c r="C95" s="147"/>
      <c r="D95" s="94"/>
      <c r="E95" s="335"/>
      <c r="F95" s="335"/>
      <c r="G95" s="335"/>
      <c r="H95" s="335"/>
      <c r="I95" s="335"/>
      <c r="J95" s="335"/>
      <c r="K95" s="340"/>
      <c r="L95" s="335"/>
      <c r="M95" s="335"/>
      <c r="N95" s="335"/>
      <c r="O95" s="336"/>
    </row>
    <row r="96" spans="1:15" s="328" customFormat="1" x14ac:dyDescent="0.25">
      <c r="A96" s="16"/>
      <c r="B96" s="35"/>
      <c r="C96" s="147"/>
      <c r="D96" s="94"/>
      <c r="E96" s="335"/>
      <c r="F96" s="335"/>
      <c r="G96" s="335"/>
      <c r="H96" s="335"/>
      <c r="I96" s="335"/>
      <c r="J96" s="335"/>
      <c r="K96" s="340"/>
      <c r="L96" s="335"/>
      <c r="M96" s="335"/>
      <c r="N96" s="335"/>
      <c r="O96" s="336"/>
    </row>
    <row r="97" spans="1:15" s="328" customFormat="1" x14ac:dyDescent="0.25">
      <c r="A97" s="16"/>
      <c r="B97" s="35"/>
      <c r="C97" s="432" t="s">
        <v>1385</v>
      </c>
      <c r="D97" s="433">
        <v>0</v>
      </c>
      <c r="E97" s="435">
        <v>0</v>
      </c>
      <c r="F97" s="435">
        <v>100000000</v>
      </c>
      <c r="G97" s="435">
        <v>-100000000</v>
      </c>
      <c r="H97" s="435">
        <v>100000000</v>
      </c>
      <c r="I97" s="435"/>
      <c r="J97" s="435">
        <v>-100000000</v>
      </c>
      <c r="K97" s="435">
        <v>1000000</v>
      </c>
      <c r="L97" s="435">
        <f>'Kennzahlenbogen_(KB)'!O80</f>
        <v>0</v>
      </c>
      <c r="M97" s="435">
        <f>IF('Kennzahlenbogen_(KB)'!P80=Berechnung1!$G$5,1,IF('Kennzahlenbogen_(KB)'!P80=Berechnung1!$F$5,1,IF('Kennzahlenbogen_(KB)'!P80=Berechnung1!$E$5,2,IF('Kennzahlenbogen_(KB)'!P80=Berechnung1!$D$5,3,IF('Kennzahlenbogen_(KB)'!P80=Berechnung1!$C$5,4,"")))))</f>
        <v>1</v>
      </c>
      <c r="N97" s="435">
        <f t="shared" si="3"/>
        <v>1</v>
      </c>
      <c r="O97" s="435">
        <f>IF('Kennzahlenbogen_(KB)'!R80="",0,1)</f>
        <v>0</v>
      </c>
    </row>
    <row r="98" spans="1:15" s="328" customFormat="1" x14ac:dyDescent="0.25">
      <c r="A98" s="16"/>
      <c r="C98" s="147"/>
      <c r="D98" s="94"/>
      <c r="E98" s="335"/>
      <c r="F98" s="335"/>
      <c r="G98" s="335"/>
      <c r="H98" s="335"/>
      <c r="I98" s="335"/>
      <c r="J98" s="335"/>
      <c r="K98" s="340"/>
      <c r="L98" s="335"/>
      <c r="M98" s="335"/>
      <c r="N98" s="335"/>
      <c r="O98" s="336"/>
    </row>
    <row r="99" spans="1:15" s="328" customFormat="1" x14ac:dyDescent="0.25">
      <c r="A99" s="16"/>
      <c r="C99" s="147"/>
      <c r="D99" s="94"/>
      <c r="E99" s="335"/>
      <c r="F99" s="335"/>
      <c r="G99" s="335"/>
      <c r="H99" s="335"/>
      <c r="I99" s="335"/>
      <c r="J99" s="335"/>
      <c r="K99" s="340"/>
      <c r="L99" s="335"/>
      <c r="M99" s="335"/>
      <c r="N99" s="335"/>
      <c r="O99" s="336"/>
    </row>
    <row r="100" spans="1:15" s="328" customFormat="1" x14ac:dyDescent="0.25">
      <c r="A100" s="16"/>
      <c r="B100" s="35" t="s">
        <v>1104</v>
      </c>
      <c r="C100" s="442">
        <v>23</v>
      </c>
      <c r="D100" s="442" t="s">
        <v>150</v>
      </c>
      <c r="E100" s="443">
        <v>0</v>
      </c>
      <c r="F100" s="443">
        <v>1</v>
      </c>
      <c r="G100" s="443">
        <v>0.7</v>
      </c>
      <c r="H100" s="443">
        <v>10000</v>
      </c>
      <c r="I100" s="443"/>
      <c r="J100" s="443">
        <v>-10000</v>
      </c>
      <c r="K100" s="443">
        <v>10000</v>
      </c>
      <c r="L100" s="443" t="str">
        <f>'Kennzahlenbogen_(KB)'!O85</f>
        <v>n.d.</v>
      </c>
      <c r="M100" s="444">
        <f>IF('Kennzahlenbogen_(KB)'!P83=Berechnung1!$H$5,5,IF('Kennzahlenbogen_(KB)'!P83=Berechnung1!$G$5,1,IF('Kennzahlenbogen_(KB)'!P83=Berechnung1!$F$5,1,IF('Kennzahlenbogen_(KB)'!P83=Berechnung1!$E$5,2,IF('Kennzahlenbogen_(KB)'!P83=Berechnung1!$D$5,3,IF('Kennzahlenbogen_(KB)'!P83=Berechnung1!$C$5,4,""))))))</f>
        <v>1</v>
      </c>
      <c r="N100" s="444">
        <f t="shared" si="3"/>
        <v>1</v>
      </c>
      <c r="O100" s="444">
        <f>IF('Kennzahlenbogen_(KB)'!R83="",0,1)</f>
        <v>0</v>
      </c>
    </row>
    <row r="101" spans="1:15" s="328" customFormat="1" x14ac:dyDescent="0.25">
      <c r="A101" s="16"/>
      <c r="C101" s="341"/>
      <c r="D101" s="94"/>
      <c r="E101" s="335"/>
      <c r="F101" s="335"/>
      <c r="G101" s="335"/>
      <c r="H101" s="335"/>
      <c r="I101" s="335"/>
      <c r="J101" s="335"/>
      <c r="K101" s="335"/>
      <c r="L101" s="335"/>
      <c r="M101" s="335"/>
      <c r="N101" s="335"/>
      <c r="O101" s="336"/>
    </row>
    <row r="102" spans="1:15" s="328" customFormat="1" x14ac:dyDescent="0.25">
      <c r="A102" s="16"/>
      <c r="C102" s="341"/>
      <c r="D102" s="94"/>
      <c r="E102" s="335"/>
      <c r="F102" s="335"/>
      <c r="G102" s="335"/>
      <c r="H102" s="335"/>
      <c r="I102" s="335"/>
      <c r="J102" s="335"/>
      <c r="K102" s="335"/>
      <c r="L102" s="335"/>
      <c r="M102" s="335"/>
      <c r="N102" s="335"/>
      <c r="O102" s="336"/>
    </row>
    <row r="103" spans="1:15" s="328" customFormat="1" x14ac:dyDescent="0.25">
      <c r="A103" s="16"/>
      <c r="B103" s="35" t="s">
        <v>1104</v>
      </c>
      <c r="C103" s="441" t="s">
        <v>1386</v>
      </c>
      <c r="D103" s="442" t="s">
        <v>150</v>
      </c>
      <c r="E103" s="443">
        <v>0</v>
      </c>
      <c r="F103" s="443">
        <v>1</v>
      </c>
      <c r="G103" s="443">
        <v>-10000</v>
      </c>
      <c r="H103" s="443">
        <v>10000</v>
      </c>
      <c r="I103" s="443"/>
      <c r="J103" s="443">
        <v>0.5</v>
      </c>
      <c r="K103" s="443">
        <v>10000</v>
      </c>
      <c r="L103" s="443" t="str">
        <f>'Kennzahlenbogen_(KB)'!O88</f>
        <v>n.d.</v>
      </c>
      <c r="M103" s="444">
        <f>IF('Kennzahlenbogen_(KB)'!P86=Berechnung1!$H$5,5,IF('Kennzahlenbogen_(KB)'!P86=Berechnung1!$G$5,1,IF('Kennzahlenbogen_(KB)'!P86=Berechnung1!$F$5,1,IF('Kennzahlenbogen_(KB)'!P86=Berechnung1!$E$5,2,IF('Kennzahlenbogen_(KB)'!P86=Berechnung1!$D$5,3,IF('Kennzahlenbogen_(KB)'!P86=Berechnung1!$C$5,4,""))))))</f>
        <v>1</v>
      </c>
      <c r="N103" s="444">
        <f t="shared" si="3"/>
        <v>1</v>
      </c>
      <c r="O103" s="444">
        <f>IF('Kennzahlenbogen_(KB)'!R86="",0,1)</f>
        <v>0</v>
      </c>
    </row>
    <row r="104" spans="1:15" s="328" customFormat="1" x14ac:dyDescent="0.25">
      <c r="A104" s="16"/>
      <c r="C104" s="341"/>
      <c r="D104" s="94"/>
      <c r="E104" s="335"/>
      <c r="F104" s="335"/>
      <c r="G104" s="335"/>
      <c r="H104" s="335"/>
      <c r="I104" s="335"/>
      <c r="J104" s="335"/>
      <c r="K104" s="335"/>
      <c r="L104" s="335"/>
      <c r="M104" s="335"/>
      <c r="N104" s="335"/>
      <c r="O104" s="336"/>
    </row>
    <row r="105" spans="1:15" s="328" customFormat="1" x14ac:dyDescent="0.25">
      <c r="A105" s="16"/>
      <c r="C105" s="341"/>
      <c r="D105" s="94"/>
      <c r="E105" s="335"/>
      <c r="F105" s="335"/>
      <c r="G105" s="335"/>
      <c r="H105" s="335"/>
      <c r="I105" s="335"/>
      <c r="J105" s="335"/>
      <c r="K105" s="335"/>
      <c r="L105" s="335"/>
      <c r="M105" s="335"/>
      <c r="N105" s="335"/>
      <c r="O105" s="336"/>
    </row>
    <row r="106" spans="1:15" s="328" customFormat="1" x14ac:dyDescent="0.25">
      <c r="A106" s="16"/>
      <c r="C106" s="433">
        <v>25</v>
      </c>
      <c r="D106" s="433" t="s">
        <v>150</v>
      </c>
      <c r="E106" s="434">
        <v>0</v>
      </c>
      <c r="F106" s="434">
        <v>1</v>
      </c>
      <c r="G106" s="434">
        <v>0.85</v>
      </c>
      <c r="H106" s="434">
        <v>10000</v>
      </c>
      <c r="I106" s="434"/>
      <c r="J106" s="434">
        <v>-10000</v>
      </c>
      <c r="K106" s="434">
        <v>10000</v>
      </c>
      <c r="L106" s="434" t="str">
        <f>'Kennzahlenbogen_(KB)'!O91</f>
        <v>n.d.</v>
      </c>
      <c r="M106" s="435">
        <f>IF('Kennzahlenbogen_(KB)'!P89=Berechnung1!$G$5,1,IF('Kennzahlenbogen_(KB)'!P89=Berechnung1!$F$5,1,IF('Kennzahlenbogen_(KB)'!P89=Berechnung1!$E$5,2,IF('Kennzahlenbogen_(KB)'!P89=Berechnung1!$D$5,3,IF('Kennzahlenbogen_(KB)'!P89=Berechnung1!$C$5,4,"")))))</f>
        <v>1</v>
      </c>
      <c r="N106" s="435">
        <f t="shared" si="3"/>
        <v>1</v>
      </c>
      <c r="O106" s="435">
        <f>IF('Kennzahlenbogen_(KB)'!R89="",0,1)</f>
        <v>0</v>
      </c>
    </row>
    <row r="107" spans="1:15" s="328" customFormat="1" x14ac:dyDescent="0.25">
      <c r="A107" s="16"/>
      <c r="C107" s="337"/>
      <c r="D107" s="94"/>
      <c r="E107" s="335"/>
      <c r="F107" s="335"/>
      <c r="G107" s="335"/>
      <c r="H107" s="335"/>
      <c r="I107" s="335"/>
      <c r="J107" s="335"/>
      <c r="K107" s="335"/>
      <c r="L107" s="335"/>
      <c r="M107" s="335"/>
      <c r="N107" s="335"/>
      <c r="O107" s="336"/>
    </row>
    <row r="108" spans="1:15" s="328" customFormat="1" x14ac:dyDescent="0.25">
      <c r="A108" s="16"/>
      <c r="C108" s="337"/>
      <c r="D108" s="94"/>
      <c r="E108" s="335"/>
      <c r="F108" s="335"/>
      <c r="G108" s="335"/>
      <c r="H108" s="335"/>
      <c r="I108" s="335"/>
      <c r="J108" s="335"/>
      <c r="K108" s="335"/>
      <c r="L108" s="335"/>
      <c r="M108" s="335"/>
      <c r="N108" s="335"/>
      <c r="O108" s="336"/>
    </row>
    <row r="109" spans="1:15" s="328" customFormat="1" ht="15" customHeight="1" x14ac:dyDescent="0.25">
      <c r="A109" s="16"/>
      <c r="B109" s="35"/>
      <c r="C109" s="432" t="s">
        <v>1387</v>
      </c>
      <c r="D109" s="433" t="s">
        <v>150</v>
      </c>
      <c r="E109" s="434">
        <v>0</v>
      </c>
      <c r="F109" s="434">
        <v>1</v>
      </c>
      <c r="G109" s="434">
        <v>0.95</v>
      </c>
      <c r="H109" s="434">
        <v>10000</v>
      </c>
      <c r="I109" s="434"/>
      <c r="J109" s="434">
        <v>-10000</v>
      </c>
      <c r="K109" s="434">
        <v>10000</v>
      </c>
      <c r="L109" s="434" t="str">
        <f>'Kennzahlenbogen_(KB)'!O94</f>
        <v>n.d.</v>
      </c>
      <c r="M109" s="435">
        <f>IF('Kennzahlenbogen_(KB)'!P92=Berechnung1!$G$5,1,IF('Kennzahlenbogen_(KB)'!P92=Berechnung1!$F$5,1,IF('Kennzahlenbogen_(KB)'!P92=Berechnung1!$E$5,2,IF('Kennzahlenbogen_(KB)'!P92=Berechnung1!$D$5,3,IF('Kennzahlenbogen_(KB)'!P92=Berechnung1!$C$5,4,"")))))</f>
        <v>1</v>
      </c>
      <c r="N109" s="435">
        <f t="shared" si="3"/>
        <v>1</v>
      </c>
      <c r="O109" s="435">
        <f>IF('Kennzahlenbogen_(KB)'!R92="",0,1)</f>
        <v>0</v>
      </c>
    </row>
    <row r="110" spans="1:15" s="328" customFormat="1" ht="15" customHeight="1" x14ac:dyDescent="0.25">
      <c r="A110" s="16"/>
      <c r="C110" s="337"/>
      <c r="D110" s="94"/>
      <c r="E110" s="335"/>
      <c r="F110" s="335"/>
      <c r="G110" s="335"/>
      <c r="H110" s="335"/>
      <c r="I110" s="335"/>
      <c r="J110" s="335"/>
      <c r="K110" s="335"/>
      <c r="L110" s="335"/>
      <c r="M110" s="335"/>
      <c r="N110" s="335"/>
      <c r="O110" s="336"/>
    </row>
    <row r="111" spans="1:15" s="328" customFormat="1" ht="15" customHeight="1" x14ac:dyDescent="0.25">
      <c r="A111" s="16"/>
      <c r="C111" s="337"/>
      <c r="D111" s="94"/>
      <c r="E111" s="335"/>
      <c r="F111" s="335"/>
      <c r="G111" s="335"/>
      <c r="H111" s="335"/>
      <c r="I111" s="335"/>
      <c r="J111" s="335"/>
      <c r="K111" s="335"/>
      <c r="L111" s="335"/>
      <c r="M111" s="335"/>
      <c r="N111" s="335"/>
      <c r="O111" s="336"/>
    </row>
    <row r="112" spans="1:15" s="328" customFormat="1" x14ac:dyDescent="0.25">
      <c r="A112" s="16"/>
      <c r="C112" s="432" t="s">
        <v>1246</v>
      </c>
      <c r="D112" s="433" t="s">
        <v>150</v>
      </c>
      <c r="E112" s="434">
        <v>0</v>
      </c>
      <c r="F112" s="434">
        <v>1</v>
      </c>
      <c r="G112" s="434">
        <v>0.95</v>
      </c>
      <c r="H112" s="434">
        <v>10000</v>
      </c>
      <c r="I112" s="434"/>
      <c r="J112" s="434">
        <v>-10000</v>
      </c>
      <c r="K112" s="437">
        <v>10000</v>
      </c>
      <c r="L112" s="434" t="str">
        <f>'Kennzahlenbogen_(KB)'!O97</f>
        <v>n.d.</v>
      </c>
      <c r="M112" s="435">
        <f>IF('Kennzahlenbogen_(KB)'!P95=Berechnung1!$G$5,1,IF('Kennzahlenbogen_(KB)'!P95=Berechnung1!$F$5,1,IF('Kennzahlenbogen_(KB)'!P95=Berechnung1!$E$5,2,IF('Kennzahlenbogen_(KB)'!P95=Berechnung1!$D$5,3,IF('Kennzahlenbogen_(KB)'!P95=Berechnung1!$C$5,4,"")))))</f>
        <v>1</v>
      </c>
      <c r="N112" s="435">
        <f t="shared" si="3"/>
        <v>1</v>
      </c>
      <c r="O112" s="435">
        <f>IF('Kennzahlenbogen_(KB)'!R95="",0,1)</f>
        <v>0</v>
      </c>
    </row>
    <row r="113" spans="1:15" s="328" customFormat="1" x14ac:dyDescent="0.25">
      <c r="A113" s="16"/>
      <c r="C113" s="337"/>
      <c r="D113" s="94"/>
      <c r="E113" s="335"/>
      <c r="F113" s="335"/>
      <c r="G113" s="335"/>
      <c r="H113" s="335"/>
      <c r="I113" s="335"/>
      <c r="J113" s="335"/>
      <c r="K113" s="335"/>
      <c r="L113" s="335"/>
      <c r="M113" s="335"/>
      <c r="N113" s="335"/>
      <c r="O113" s="336"/>
    </row>
    <row r="114" spans="1:15" x14ac:dyDescent="0.25">
      <c r="C114" s="337"/>
      <c r="D114" s="94"/>
      <c r="E114" s="335"/>
      <c r="F114" s="335"/>
      <c r="G114" s="335"/>
      <c r="H114" s="335"/>
      <c r="I114" s="335"/>
      <c r="J114" s="335"/>
      <c r="K114" s="335"/>
      <c r="L114" s="335"/>
      <c r="M114" s="335"/>
      <c r="N114" s="335"/>
      <c r="O114" s="336"/>
    </row>
    <row r="115" spans="1:15" x14ac:dyDescent="0.25">
      <c r="B115" s="35" t="s">
        <v>1104</v>
      </c>
      <c r="C115" s="442">
        <v>28</v>
      </c>
      <c r="D115" s="442" t="s">
        <v>150</v>
      </c>
      <c r="E115" s="443">
        <v>0</v>
      </c>
      <c r="F115" s="443">
        <v>1</v>
      </c>
      <c r="G115" s="443">
        <v>0.8</v>
      </c>
      <c r="H115" s="443">
        <v>10000</v>
      </c>
      <c r="I115" s="443"/>
      <c r="J115" s="443">
        <v>-10000</v>
      </c>
      <c r="K115" s="443">
        <v>10000</v>
      </c>
      <c r="L115" s="443" t="str">
        <f>'Kennzahlenbogen_(KB)'!O100</f>
        <v>n.d.</v>
      </c>
      <c r="M115" s="444">
        <f>IF('Kennzahlenbogen_(KB)'!P98=Berechnung1!$H$5,5,IF('Kennzahlenbogen_(KB)'!P98=Berechnung1!$G$5,1,IF('Kennzahlenbogen_(KB)'!P98=Berechnung1!$F$5,1,IF('Kennzahlenbogen_(KB)'!P98=Berechnung1!$E$5,2,IF('Kennzahlenbogen_(KB)'!P98=Berechnung1!$D$5,3,IF('Kennzahlenbogen_(KB)'!P98=Berechnung1!$C$5,4,""))))))</f>
        <v>1</v>
      </c>
      <c r="N115" s="444">
        <f t="shared" si="3"/>
        <v>1</v>
      </c>
      <c r="O115" s="444">
        <f>IF('Kennzahlenbogen_(KB)'!R98="",0,1)</f>
        <v>0</v>
      </c>
    </row>
    <row r="116" spans="1:15" x14ac:dyDescent="0.25">
      <c r="C116" s="337"/>
      <c r="D116" s="94"/>
      <c r="E116" s="335"/>
      <c r="F116" s="335"/>
      <c r="G116" s="335"/>
      <c r="H116" s="335"/>
      <c r="I116" s="335"/>
      <c r="J116" s="335"/>
      <c r="K116" s="335"/>
      <c r="L116" s="335"/>
      <c r="M116" s="335"/>
      <c r="N116" s="335"/>
      <c r="O116" s="336"/>
    </row>
    <row r="117" spans="1:15" x14ac:dyDescent="0.25">
      <c r="C117" s="337"/>
      <c r="D117" s="94"/>
      <c r="E117" s="335"/>
      <c r="F117" s="335"/>
      <c r="G117" s="335"/>
      <c r="H117" s="335"/>
      <c r="I117" s="335"/>
      <c r="J117" s="335"/>
      <c r="K117" s="335"/>
      <c r="L117" s="335"/>
      <c r="M117" s="335"/>
      <c r="N117" s="335"/>
      <c r="O117" s="336"/>
    </row>
    <row r="118" spans="1:15" x14ac:dyDescent="0.25">
      <c r="C118" s="475">
        <v>29</v>
      </c>
      <c r="D118" s="475" t="s">
        <v>150</v>
      </c>
      <c r="E118" s="476">
        <v>0</v>
      </c>
      <c r="F118" s="476">
        <v>1</v>
      </c>
      <c r="G118" s="476">
        <v>-10000</v>
      </c>
      <c r="H118" s="476">
        <v>10000</v>
      </c>
      <c r="I118" s="476"/>
      <c r="J118" s="476">
        <v>-10000</v>
      </c>
      <c r="K118" s="476">
        <v>0.1</v>
      </c>
      <c r="L118" s="476" t="str">
        <f>'Kennzahlenbogen_(KB)'!O103</f>
        <v>n.d.</v>
      </c>
      <c r="M118" s="477">
        <f>IF('Kennzahlenbogen_(KB)'!P101=Berechnung1!$G$5,1,IF('Kennzahlenbogen_(KB)'!P101=Berechnung1!$F$5,1,IF('Kennzahlenbogen_(KB)'!P101=Berechnung1!$E$5,2,IF('Kennzahlenbogen_(KB)'!P101=Berechnung1!$D$5,3,IF('Kennzahlenbogen_(KB)'!P101=Berechnung1!$C$5,4,"")))))</f>
        <v>1</v>
      </c>
      <c r="N118" s="477">
        <f t="shared" ref="N118" si="4">IF(M118&gt;1,M118+3,M118)</f>
        <v>1</v>
      </c>
      <c r="O118" s="477">
        <f>IF('Kennzahlenbogen_(KB)'!R101="",0,1)</f>
        <v>0</v>
      </c>
    </row>
    <row r="119" spans="1:15" x14ac:dyDescent="0.25">
      <c r="C119" s="474"/>
      <c r="D119" s="474"/>
      <c r="E119" s="474"/>
      <c r="F119" s="474"/>
      <c r="G119" s="474"/>
      <c r="H119" s="474"/>
      <c r="I119" s="474"/>
      <c r="J119" s="474"/>
      <c r="K119" s="474"/>
      <c r="L119" s="474"/>
      <c r="M119" s="474"/>
      <c r="N119" s="474"/>
      <c r="O119" s="474"/>
    </row>
    <row r="120" spans="1:15" x14ac:dyDescent="0.25">
      <c r="C120" s="474"/>
      <c r="D120" s="474"/>
      <c r="E120" s="474"/>
      <c r="F120" s="474"/>
      <c r="G120" s="474"/>
      <c r="H120" s="474"/>
      <c r="I120" s="474"/>
      <c r="J120" s="474"/>
      <c r="K120" s="474"/>
      <c r="L120" s="474"/>
      <c r="M120" s="474"/>
      <c r="N120" s="474"/>
      <c r="O120" s="474"/>
    </row>
  </sheetData>
  <phoneticPr fontId="81" type="noConversion"/>
  <pageMargins left="0.7" right="0.7" top="0.78740157499999996" bottom="0.78740157499999996" header="0.3" footer="0.3"/>
  <pageSetup paperSize="9" orientation="portrait" horizontalDpi="200" verticalDpi="20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Tabelle3"/>
  <dimension ref="A1:Y33"/>
  <sheetViews>
    <sheetView showGridLines="0" showRuler="0" showWhiteSpace="0" zoomScaleNormal="100" zoomScaleSheetLayoutView="100" workbookViewId="0">
      <pane ySplit="1" topLeftCell="A8" activePane="bottomLeft" state="frozen"/>
      <selection pane="bottomLeft" activeCell="J12" sqref="J12"/>
    </sheetView>
  </sheetViews>
  <sheetFormatPr defaultColWidth="9.140625" defaultRowHeight="11.25" x14ac:dyDescent="0.25"/>
  <cols>
    <col min="1" max="1" width="13.5703125" style="273" customWidth="1"/>
    <col min="2" max="2" width="3.85546875" style="273" customWidth="1"/>
    <col min="3" max="3" width="3.5703125" style="273" customWidth="1"/>
    <col min="4" max="4" width="16.5703125" style="273" customWidth="1"/>
    <col min="5" max="5" width="6.85546875" style="273" customWidth="1"/>
    <col min="6" max="6" width="11.7109375" style="273" customWidth="1"/>
    <col min="7" max="7" width="6.85546875" style="273" customWidth="1"/>
    <col min="8" max="8" width="7.140625" style="273" customWidth="1"/>
    <col min="9" max="9" width="7.5703125" style="273" customWidth="1"/>
    <col min="10" max="10" width="6.7109375" style="273" customWidth="1"/>
    <col min="11" max="11" width="14.140625" style="273" customWidth="1"/>
    <col min="12" max="12" width="33.28515625" style="273" customWidth="1"/>
    <col min="13" max="13" width="29.85546875" style="273" customWidth="1"/>
    <col min="14" max="14" width="12.5703125" style="273" customWidth="1"/>
    <col min="15" max="15" width="9.140625" style="136" customWidth="1"/>
    <col min="16" max="16" width="17.7109375" style="136" customWidth="1"/>
    <col min="17" max="23" width="9.140625" style="136" customWidth="1"/>
    <col min="24" max="24" width="31.42578125" style="185" customWidth="1"/>
    <col min="25" max="25" width="24" style="185" customWidth="1"/>
    <col min="26" max="16384" width="9.140625" style="273"/>
  </cols>
  <sheetData>
    <row r="1" spans="1:25" ht="40.5" customHeight="1" x14ac:dyDescent="0.25">
      <c r="A1" s="272" t="s">
        <v>336</v>
      </c>
      <c r="B1" s="282" t="s">
        <v>254</v>
      </c>
      <c r="C1" s="91" t="s">
        <v>540</v>
      </c>
      <c r="D1" s="91" t="s">
        <v>158</v>
      </c>
      <c r="E1" s="274" t="s">
        <v>218</v>
      </c>
      <c r="F1" s="91" t="s">
        <v>292</v>
      </c>
      <c r="G1" s="274" t="s">
        <v>218</v>
      </c>
      <c r="H1" s="91" t="s">
        <v>193</v>
      </c>
      <c r="I1" s="91" t="s">
        <v>152</v>
      </c>
      <c r="J1" s="91" t="s">
        <v>187</v>
      </c>
      <c r="K1" s="91" t="s">
        <v>262</v>
      </c>
      <c r="L1" s="91" t="s">
        <v>205</v>
      </c>
      <c r="M1" s="91" t="s">
        <v>206</v>
      </c>
      <c r="O1" s="190" t="s">
        <v>253</v>
      </c>
    </row>
    <row r="2" spans="1:25" ht="40.5" customHeight="1" x14ac:dyDescent="0.25">
      <c r="A2" s="275" t="str">
        <f>IF('Kennzahlenbogen_(KB)'!P8=0,"",'Kennzahlenbogen_(KB)'!P8)</f>
        <v>Unvollständig</v>
      </c>
      <c r="B2" s="440">
        <v>1</v>
      </c>
      <c r="C2" s="495">
        <f>IF($A2="I.O.","",'Kennzahlenbogen_(KB)'!A8)</f>
        <v>1</v>
      </c>
      <c r="D2" s="123" t="str">
        <f>IF($A2="I.O.","",'Kennzahlenbogen_(KB)'!C8)</f>
        <v>Pat. mit neuaufgetretenem Rezidiv und/ oder Fernmetastasen</v>
      </c>
      <c r="E2" s="283" t="str">
        <f>IF(AND('Kennzahlenbogen_(KB)'!J8="",$A2&lt;&gt;"I.O."),"-----",IF($A2="I.O.","",'Kennzahlenbogen_(KB)'!J8))</f>
        <v>-----</v>
      </c>
      <c r="F2" s="299" t="str">
        <f>IF($A2="I.O.","",'Kennzahlenbogen_(KB)'!K8)</f>
        <v>Derzeit keine Vorgaben</v>
      </c>
      <c r="G2" s="283" t="str">
        <f>IF(AND('Kennzahlenbogen_(KB)'!M8="",$A2&lt;&gt;"I.O."),"-----",IF($A2="I.O.","",'Kennzahlenbogen_(KB)'!M8))</f>
        <v>-----</v>
      </c>
      <c r="H2" s="298" t="str">
        <f>IF($A2="I.O.","",IF('Kennzahlenbogen_(KB)'!O8="","-----",'Kennzahlenbogen_(KB)'!O8))</f>
        <v>-----</v>
      </c>
      <c r="I2" s="298" t="str">
        <f>IF($A2="I.O.","","-----")</f>
        <v>-----</v>
      </c>
      <c r="J2" s="276" t="str">
        <f>IF($A2="I.O.","","-----")</f>
        <v>-----</v>
      </c>
      <c r="K2" s="230" t="str">
        <f>IF($A2="I.O.","",'Kennzahlenbogen_(KB)'!P8)</f>
        <v>Unvollständig</v>
      </c>
      <c r="L2" s="277" t="str">
        <f>IF(AND('Kennzahlenbogen_(KB)'!Q8="",$A2&lt;&gt;"I.O."),"-----",IF($A2="I.O.","",'Kennzahlenbogen_(KB)'!Q8))</f>
        <v>-----</v>
      </c>
      <c r="M2" s="277" t="str">
        <f>IF(AND('Kennzahlenbogen_(KB)'!R8="",$A2&lt;&gt;"I.O."),"-----",IF($A2="I.O.","",'Kennzahlenbogen_(KB)'!R8))</f>
        <v>-----</v>
      </c>
      <c r="O2" s="215">
        <f t="array" aca="1" ref="O2" ca="1">IF(ROW()-ROW($D$2:$D$33)+1&gt;ROWS($C$2:$C$33)-COUNTBLANK($C$2:$C$33),"",INDIRECT(ADDRESS(SMALL((IF($C$2:$C$33&lt;&gt;"",ROW($C$2:$C$33),ROW()+ROWS($C$2:$C$33))),ROW()-ROW($D$2:$D$33)+1),COLUMN($C$2:$C$33),4)))</f>
        <v>1</v>
      </c>
      <c r="P2" s="278" t="str">
        <f t="array" aca="1" ref="P2" ca="1">IF(ROW()-ROW($E$2:$E$33)+1&gt;ROWS($D$2:$D$33)-COUNTBLANK($D$2:$D$33),"",INDIRECT(ADDRESS(SMALL((IF($D$2:$D$33&gt;"",ROW($D$2:$D$33),ROW()+ROWS($D$2:$D$33))),ROW()-ROW($E$2:$E$33)+1),COLUMN($D$2:$D$33),4)))</f>
        <v>Pat. mit neuaufgetretenem Rezidiv und/ oder Fernmetastasen</v>
      </c>
      <c r="Q2" s="204" t="str">
        <f t="array" aca="1" ref="Q2" ca="1">IF(ROW()-ROW($F$2:$F$33)+1&gt;ROWS($E$2:$E$33)-COUNTBLANK($E$2:$E$33),"",INDIRECT(ADDRESS(SMALL((IF($E$2:$E$33&gt;"",ROW($E$2:$E$33),ROW()+ROWS($E$2:$E$33))),ROW()-ROW($F$2:$F$33)+1),COLUMN($E$2:$E$33),4)))</f>
        <v>-----</v>
      </c>
      <c r="R2" s="204" t="str">
        <f t="array" aca="1" ref="R2" ca="1">IF(ROW()-ROW($G$2:$G$33)+1&gt;ROWS($F$2:$F$33)-COUNTBLANK($F$2:$F$33),"",INDIRECT(ADDRESS(SMALL((IF($F$2:$F$33&gt;"",ROW($F$2:$F$33),ROW()+ROWS($F$2:$F$33))),ROW()-ROW($G$2:$G$33)+1),COLUMN($F$2:$F$33),4)))</f>
        <v>Derzeit keine Vorgaben</v>
      </c>
      <c r="S2" s="204" t="str">
        <f t="array" aca="1" ref="S2" ca="1">IF(ROW()-ROW($H$2:$H$33)+1&gt;ROWS($G$2:$G$33)-COUNTBLANK($G$2:$G$33),"",INDIRECT(ADDRESS(SMALL((IF($G$2:$G$33&lt;&gt;"",ROW($G$2:$G$33),ROW()+ROWS($G$2:$G$33))),ROW()-ROW($H$2:$H$33)+1),COLUMN($G$2:$G$33),4)))</f>
        <v>-----</v>
      </c>
      <c r="T2" s="297" t="str">
        <f t="array" aca="1" ref="T2" ca="1">IF(ROW()-ROW($I$2:$I$33)+1&gt;ROWS($H$2:$H$33)-COUNTBLANK($H$2:$H$33),"",INDIRECT(ADDRESS(SMALL((IF($H$2:$H$33&lt;&gt;"",ROW($H$2:$H$33),ROW()+ROWS($H$2:$H$33))),ROW()-ROW($I$2:$I$33)+1),COLUMN($H$2:$H$33),4)))</f>
        <v>-----</v>
      </c>
      <c r="U2" s="297" t="str">
        <f t="array" aca="1" ref="U2" ca="1">IF(ROW()-ROW($J$2:$J$33)+1&gt;ROWS($I$2:$I$33)-COUNTBLANK($I$2:$I$33),"",INDIRECT(ADDRESS(SMALL((IF($I$2:$I$33&lt;&gt;"",ROW($I$2:$I$33),ROW()+ROWS($I$2:$I$33))),ROW()-ROW($J$2:$J$33)+1),COLUMN($I$2:$I$33),4)))</f>
        <v>-----</v>
      </c>
      <c r="V2" s="279" t="str">
        <f t="array" aca="1" ref="V2" ca="1">IF(ROW()-ROW($K$2:$K$33)+1&gt;ROWS($J$2:$J$33)-COUNTBLANK($J$2:$J$33),"",INDIRECT(ADDRESS(SMALL((IF($J$2:$J$33&lt;&gt;"",ROW($J$2:$J$33),ROW()+ROWS($J$2:$J$33))),ROW()-ROW($K$2:$K$33)+1),COLUMN($J$2:$J$33),4)))</f>
        <v>-----</v>
      </c>
      <c r="W2" s="199" t="str">
        <f t="array" aca="1" ref="W2" ca="1">IF(ROW()-ROW($L$2:$L$33)+1&gt;ROWS($K$2:$K$33)-COUNTBLANK($K$2:$K$33),"",INDIRECT(ADDRESS(SMALL((IF($K$2:$K$33&lt;&gt;"",ROW($K$2:$K$33),ROW()+ROWS($K$2:$K$33))),ROW()-ROW($L$2:$L$33)+1),COLUMN($K$2:$K$33),4)))</f>
        <v>Unvollständig</v>
      </c>
      <c r="X2" s="278" t="str">
        <f t="array" aca="1" ref="X2" ca="1">IF(ROW()-ROW($M$2:$M$33)+1&gt;ROWS($L$2:$L$33)-COUNTBLANK($L$2:$L$33),"",INDIRECT(ADDRESS(SMALL((IF($L$2:$L$33&lt;&gt;"",ROW($L$2:$L$33),ROW()+ROWS($L$2:$L$33))),ROW()-ROW($M$2:$M$33)+1),COLUMN($L$2:$L$33),4)))</f>
        <v>-----</v>
      </c>
      <c r="Y2" s="278" t="str">
        <f t="array" aca="1" ref="Y2" ca="1">IF(ROW()-ROW($N$2:$N$33)+1&gt;ROWS($M$2:$M$33)-COUNTBLANK($M$2:$M$33),"",INDIRECT(ADDRESS(SMALL((IF($M$2:$M$33&lt;&gt;"",ROW($M$2:$M$33),ROW()+ROWS($M$2:$M$33))),ROW()-ROW($N$2:$N$33)+1),COLUMN($M$2:$M$33),4)))</f>
        <v>-----</v>
      </c>
    </row>
    <row r="3" spans="1:25" ht="54.95" customHeight="1" x14ac:dyDescent="0.25">
      <c r="A3" s="275" t="str">
        <f>IF('Kennzahlenbogen_(KB)'!P11=0,"",'Kennzahlenbogen_(KB)'!P11)</f>
        <v>Unvollständig</v>
      </c>
      <c r="B3" s="440">
        <v>2</v>
      </c>
      <c r="C3" s="34" t="str">
        <f>IF($A3="I.O.","",'Kennzahlenbogen_(KB)'!A11)</f>
        <v>2a</v>
      </c>
      <c r="D3" s="123" t="str">
        <f>IF($A3="I.O.","",'Kennzahlenbogen_(KB)'!C11)</f>
        <v>Prätherapeutische Fallvorstellung</v>
      </c>
      <c r="E3" s="283" t="str">
        <f>IF(AND('Kennzahlenbogen_(KB)'!J11="",$A3&lt;&gt;"I.O."),"-----",IF($A3="I.O.","",'Kennzahlenbogen_(KB)'!J11))</f>
        <v>-----</v>
      </c>
      <c r="F3" s="299" t="str">
        <f>IF($A3="I.O.","",'Kennzahlenbogen_(KB)'!K11)</f>
        <v>≥ 95%</v>
      </c>
      <c r="G3" s="283" t="str">
        <f>IF(AND('Kennzahlenbogen_(KB)'!M11="",$A3&lt;&gt;"I.O."),"-----",IF($A3="I.O.","",'Kennzahlenbogen_(KB)'!M11))</f>
        <v>-----</v>
      </c>
      <c r="H3" s="298" t="str">
        <f>IF($A3="I.O.","",IF('Kennzahlenbogen_(KB)'!O11="","-----",'Kennzahlenbogen_(KB)'!O11))</f>
        <v>-----</v>
      </c>
      <c r="I3" s="298" t="str">
        <f>IF($A3="I.O.","",IF('Kennzahlenbogen_(KB)'!O12="","-----",'Kennzahlenbogen_(KB)'!O12))</f>
        <v>-----</v>
      </c>
      <c r="J3" s="276" t="str">
        <f>IF($A3="I.O.","",IF('Kennzahlenbogen_(KB)'!O13="",0,'Kennzahlenbogen_(KB)'!O13))</f>
        <v>n.d.</v>
      </c>
      <c r="K3" s="230" t="str">
        <f>IF($A3="I.O.","",'Kennzahlenbogen_(KB)'!P11)</f>
        <v>Unvollständig</v>
      </c>
      <c r="L3" s="277" t="str">
        <f>IF(AND('Kennzahlenbogen_(KB)'!Q11="",$A3&lt;&gt;"I.O."),"-----",IF($A3="I.O.","",'Kennzahlenbogen_(KB)'!Q11))</f>
        <v>-----</v>
      </c>
      <c r="M3" s="277" t="str">
        <f>IF(AND('Kennzahlenbogen_(KB)'!R11="",$A3&lt;&gt;"I.O."),"-----",IF($A3="I.O.","",'Kennzahlenbogen_(KB)'!R11))</f>
        <v>-----</v>
      </c>
      <c r="O3" s="215" t="str">
        <f t="array" aca="1" ref="O3" ca="1">IF(ROW()-ROW($D$2:$D$33)+1&gt;ROWS($C$2:$C$33)-COUNTBLANK($C$2:$C$33),"",INDIRECT(ADDRESS(SMALL((IF($C$2:$C$33&lt;&gt;"",ROW($C$2:$C$33),ROW()+ROWS($C$2:$C$33))),ROW()-ROW($D$2:$D$33)+1),COLUMN($C$2:$C$33),4)))</f>
        <v>2a</v>
      </c>
      <c r="P3" s="278" t="str">
        <f t="array" aca="1" ref="P3" ca="1">IF(ROW()-ROW($E$2:$E$33)+1&gt;ROWS($D$2:$D$33)-COUNTBLANK($D$2:$D$33),"",INDIRECT(ADDRESS(SMALL((IF($D$2:$D$33&gt;"",ROW($D$2:$D$33),ROW()+ROWS($D$2:$D$33))),ROW()-ROW($E$2:$E$33)+1),COLUMN($D$2:$D$33),4)))</f>
        <v>Prätherapeutische Fallvorstellung</v>
      </c>
      <c r="Q3" s="204" t="str">
        <f t="array" aca="1" ref="Q3" ca="1">IF(ROW()-ROW($F$2:$F$33)+1&gt;ROWS($E$2:$E$33)-COUNTBLANK($E$2:$E$33),"",INDIRECT(ADDRESS(SMALL((IF($E$2:$E$33&gt;"",ROW($E$2:$E$33),ROW()+ROWS($E$2:$E$33))),ROW()-ROW($F$2:$F$33)+1),COLUMN($E$2:$E$33),4)))</f>
        <v>-----</v>
      </c>
      <c r="R3" s="204" t="str">
        <f t="array" aca="1" ref="R3" ca="1">IF(ROW()-ROW($G$2:$G$33)+1&gt;ROWS($F$2:$F$33)-COUNTBLANK($F$2:$F$33),"",INDIRECT(ADDRESS(SMALL((IF($F$2:$F$33&gt;"",ROW($F$2:$F$33),ROW()+ROWS($F$2:$F$33))),ROW()-ROW($G$2:$G$33)+1),COLUMN($F$2:$F$33),4)))</f>
        <v>≥ 95%</v>
      </c>
      <c r="S3" s="204" t="str">
        <f t="array" aca="1" ref="S3" ca="1">IF(ROW()-ROW($H$2:$H$33)+1&gt;ROWS($G$2:$G$33)-COUNTBLANK($G$2:$G$33),"",INDIRECT(ADDRESS(SMALL((IF($G$2:$G$33&lt;&gt;"",ROW($G$2:$G$33),ROW()+ROWS($G$2:$G$33))),ROW()-ROW($H$2:$H$33)+1),COLUMN($G$2:$G$33),4)))</f>
        <v>-----</v>
      </c>
      <c r="T3" s="297" t="str">
        <f t="array" aca="1" ref="T3" ca="1">IF(ROW()-ROW($I$2:$I$33)+1&gt;ROWS($H$2:$H$33)-COUNTBLANK($H$2:$H$33),"",INDIRECT(ADDRESS(SMALL((IF($H$2:$H$33&lt;&gt;"",ROW($H$2:$H$33),ROW()+ROWS($H$2:$H$33))),ROW()-ROW($I$2:$I$33)+1),COLUMN($H$2:$H$33),4)))</f>
        <v>-----</v>
      </c>
      <c r="U3" s="297" t="str">
        <f t="array" aca="1" ref="U3" ca="1">IF(ROW()-ROW($J$2:$J$33)+1&gt;ROWS($I$2:$I$33)-COUNTBLANK($I$2:$I$33),"",INDIRECT(ADDRESS(SMALL((IF($I$2:$I$33&lt;&gt;"",ROW($I$2:$I$33),ROW()+ROWS($I$2:$I$33))),ROW()-ROW($J$2:$J$33)+1),COLUMN($I$2:$I$33),4)))</f>
        <v>-----</v>
      </c>
      <c r="V3" s="279" t="str">
        <f t="array" aca="1" ref="V3" ca="1">IF(ROW()-ROW($K$2:$K$33)+1&gt;ROWS($J$2:$J$33)-COUNTBLANK($J$2:$J$33),"",INDIRECT(ADDRESS(SMALL((IF($J$2:$J$33&lt;&gt;"",ROW($J$2:$J$33),ROW()+ROWS($J$2:$J$33))),ROW()-ROW($K$2:$K$33)+1),COLUMN($J$2:$J$33),4)))</f>
        <v>n.d.</v>
      </c>
      <c r="W3" s="199" t="str">
        <f t="array" aca="1" ref="W3" ca="1">IF(ROW()-ROW($L$2:$L$33)+1&gt;ROWS($K$2:$K$33)-COUNTBLANK($K$2:$K$33),"",INDIRECT(ADDRESS(SMALL((IF($K$2:$K$33&lt;&gt;"",ROW($K$2:$K$33),ROW()+ROWS($K$2:$K$33))),ROW()-ROW($L$2:$L$33)+1),COLUMN($K$2:$K$33),4)))</f>
        <v>Unvollständig</v>
      </c>
      <c r="X3" s="278" t="str">
        <f t="array" aca="1" ref="X3" ca="1">IF(ROW()-ROW($M$2:$M$33)+1&gt;ROWS($L$2:$L$33)-COUNTBLANK($L$2:$L$33),"",INDIRECT(ADDRESS(SMALL((IF($L$2:$L$33&lt;&gt;"",ROW($L$2:$L$33),ROW()+ROWS($L$2:$L$33))),ROW()-ROW($M$2:$M$33)+1),COLUMN($L$2:$L$33),4)))</f>
        <v>-----</v>
      </c>
      <c r="Y3" s="278" t="str">
        <f t="array" aca="1" ref="Y3" ca="1">IF(ROW()-ROW($N$2:$N$33)+1&gt;ROWS($M$2:$M$33)-COUNTBLANK($M$2:$M$33),"",INDIRECT(ADDRESS(SMALL((IF($M$2:$M$33&lt;&gt;"",ROW($M$2:$M$33),ROW()+ROWS($M$2:$M$33))),ROW()-ROW($N$2:$N$33)+1),COLUMN($M$2:$M$33),4)))</f>
        <v>-----</v>
      </c>
    </row>
    <row r="4" spans="1:25" ht="54.95" customHeight="1" x14ac:dyDescent="0.25">
      <c r="A4" s="275" t="str">
        <f>IF('Kennzahlenbogen_(KB)'!P14=0,"",'Kennzahlenbogen_(KB)'!P14)</f>
        <v>Unvollständig</v>
      </c>
      <c r="B4" s="440">
        <v>3</v>
      </c>
      <c r="C4" s="495" t="str">
        <f>IF($A4="I.O.","",'Kennzahlenbogen_(KB)'!A14)</f>
        <v>2b</v>
      </c>
      <c r="D4" s="123" t="str">
        <f>IF($A4="I.O.","",'Kennzahlenbogen_(KB)'!C14)</f>
        <v>Prätherapeutische Fallvorstellung Rezidiv/ metachrone Metastasen</v>
      </c>
      <c r="E4" s="283" t="str">
        <f>IF(AND('Kennzahlenbogen_(KB)'!J14="",$A4&lt;&gt;"I.O."),"-----",IF($A4="I.O.","",'Kennzahlenbogen_(KB)'!J14))</f>
        <v>-----</v>
      </c>
      <c r="F4" s="299" t="str">
        <f>IF($A4="I.O.","",'Kennzahlenbogen_(KB)'!K14)</f>
        <v>≥ 95%</v>
      </c>
      <c r="G4" s="283" t="str">
        <f>IF(AND('Kennzahlenbogen_(KB)'!M14="",$A4&lt;&gt;"I.O."),"-----",IF($A4="I.O.","",'Kennzahlenbogen_(KB)'!M14))</f>
        <v>-----</v>
      </c>
      <c r="H4" s="298" t="str">
        <f>IF($A4="I.O.","",IF('Kennzahlenbogen_(KB)'!O14="","-----",'Kennzahlenbogen_(KB)'!O14))</f>
        <v>-----</v>
      </c>
      <c r="I4" s="298">
        <f>IF($A4="I.O.","",IF('Kennzahlenbogen_(KB)'!O15="","-----",'Kennzahlenbogen_(KB)'!O15))</f>
        <v>0</v>
      </c>
      <c r="J4" s="276" t="str">
        <f>IF($A4="I.O.","",IF('Kennzahlenbogen_(KB)'!O16="","-----",'Kennzahlenbogen_(KB)'!O16))</f>
        <v>n.d.</v>
      </c>
      <c r="K4" s="230" t="str">
        <f>IF($A4="I.O.","",'Kennzahlenbogen_(KB)'!P14)</f>
        <v>Unvollständig</v>
      </c>
      <c r="L4" s="277" t="str">
        <f>IF(AND('Kennzahlenbogen_(KB)'!Q14="",$A4&lt;&gt;"I.O."),"-----",IF($A4="I.O.","",'Kennzahlenbogen_(KB)'!Q14))</f>
        <v>-----</v>
      </c>
      <c r="M4" s="277" t="str">
        <f>IF(AND('Kennzahlenbogen_(KB)'!R14="",$A4&lt;&gt;"I.O."),"-----",IF($A4="I.O.","",'Kennzahlenbogen_(KB)'!R14))</f>
        <v>-----</v>
      </c>
      <c r="O4" s="215" t="str">
        <f t="array" aca="1" ref="O4" ca="1">IF(ROW()-ROW($D$2:$D$33)+1&gt;ROWS($C$2:$C$33)-COUNTBLANK($C$2:$C$33),"",INDIRECT(ADDRESS(SMALL((IF($C$2:$C$33&lt;&gt;"",ROW($C$2:$C$33),ROW()+ROWS($C$2:$C$33))),ROW()-ROW($D$2:$D$33)+1),COLUMN($C$2:$C$33),4)))</f>
        <v>2b</v>
      </c>
      <c r="P4" s="278" t="str">
        <f t="array" aca="1" ref="P4" ca="1">IF(ROW()-ROW($E$2:$E$33)+1&gt;ROWS($D$2:$D$33)-COUNTBLANK($D$2:$D$33),"",INDIRECT(ADDRESS(SMALL((IF($D$2:$D$33&gt;"",ROW($D$2:$D$33),ROW()+ROWS($D$2:$D$33))),ROW()-ROW($E$2:$E$33)+1),COLUMN($D$2:$D$33),4)))</f>
        <v>Prätherapeutische Fallvorstellung Rezidiv/ metachrone Metastasen</v>
      </c>
      <c r="Q4" s="204" t="str">
        <f t="array" aca="1" ref="Q4" ca="1">IF(ROW()-ROW($F$2:$F$33)+1&gt;ROWS($E$2:$E$33)-COUNTBLANK($E$2:$E$33),"",INDIRECT(ADDRESS(SMALL((IF($E$2:$E$33&gt;"",ROW($E$2:$E$33),ROW()+ROWS($E$2:$E$33))),ROW()-ROW($F$2:$F$33)+1),COLUMN($E$2:$E$33),4)))</f>
        <v>-----</v>
      </c>
      <c r="R4" s="204" t="str">
        <f t="array" aca="1" ref="R4" ca="1">IF(ROW()-ROW($G$2:$G$33)+1&gt;ROWS($F$2:$F$33)-COUNTBLANK($F$2:$F$33),"",INDIRECT(ADDRESS(SMALL((IF($F$2:$F$33&gt;"",ROW($F$2:$F$33),ROW()+ROWS($F$2:$F$33))),ROW()-ROW($G$2:$G$33)+1),COLUMN($F$2:$F$33),4)))</f>
        <v>≥ 95%</v>
      </c>
      <c r="S4" s="204" t="str">
        <f t="array" aca="1" ref="S4" ca="1">IF(ROW()-ROW($H$2:$H$33)+1&gt;ROWS($G$2:$G$33)-COUNTBLANK($G$2:$G$33),"",INDIRECT(ADDRESS(SMALL((IF($G$2:$G$33&lt;&gt;"",ROW($G$2:$G$33),ROW()+ROWS($G$2:$G$33))),ROW()-ROW($H$2:$H$33)+1),COLUMN($G$2:$G$33),4)))</f>
        <v>-----</v>
      </c>
      <c r="T4" s="297" t="str">
        <f t="array" aca="1" ref="T4" ca="1">IF(ROW()-ROW($I$2:$I$33)+1&gt;ROWS($H$2:$H$33)-COUNTBLANK($H$2:$H$33),"",INDIRECT(ADDRESS(SMALL((IF($H$2:$H$33&lt;&gt;"",ROW($H$2:$H$33),ROW()+ROWS($H$2:$H$33))),ROW()-ROW($I$2:$I$33)+1),COLUMN($H$2:$H$33),4)))</f>
        <v>-----</v>
      </c>
      <c r="U4" s="297">
        <f t="array" aca="1" ref="U4" ca="1">IF(ROW()-ROW($J$2:$J$33)+1&gt;ROWS($I$2:$I$33)-COUNTBLANK($I$2:$I$33),"",INDIRECT(ADDRESS(SMALL((IF($I$2:$I$33&lt;&gt;"",ROW($I$2:$I$33),ROW()+ROWS($I$2:$I$33))),ROW()-ROW($J$2:$J$33)+1),COLUMN($I$2:$I$33),4)))</f>
        <v>0</v>
      </c>
      <c r="V4" s="279" t="str">
        <f t="array" aca="1" ref="V4" ca="1">IF(ROW()-ROW($K$2:$K$33)+1&gt;ROWS($J$2:$J$33)-COUNTBLANK($J$2:$J$33),"",INDIRECT(ADDRESS(SMALL((IF($J$2:$J$33&lt;&gt;"",ROW($J$2:$J$33),ROW()+ROWS($J$2:$J$33))),ROW()-ROW($K$2:$K$33)+1),COLUMN($J$2:$J$33),4)))</f>
        <v>n.d.</v>
      </c>
      <c r="W4" s="199" t="str">
        <f t="array" aca="1" ref="W4" ca="1">IF(ROW()-ROW($L$2:$L$33)+1&gt;ROWS($K$2:$K$33)-COUNTBLANK($K$2:$K$33),"",INDIRECT(ADDRESS(SMALL((IF($K$2:$K$33&lt;&gt;"",ROW($K$2:$K$33),ROW()+ROWS($K$2:$K$33))),ROW()-ROW($L$2:$L$33)+1),COLUMN($K$2:$K$33),4)))</f>
        <v>Unvollständig</v>
      </c>
      <c r="X4" s="278" t="str">
        <f t="array" aca="1" ref="X4" ca="1">IF(ROW()-ROW($M$2:$M$33)+1&gt;ROWS($L$2:$L$33)-COUNTBLANK($L$2:$L$33),"",INDIRECT(ADDRESS(SMALL((IF($L$2:$L$33&lt;&gt;"",ROW($L$2:$L$33),ROW()+ROWS($L$2:$L$33))),ROW()-ROW($M$2:$M$33)+1),COLUMN($L$2:$L$33),4)))</f>
        <v>-----</v>
      </c>
      <c r="Y4" s="278" t="str">
        <f t="array" aca="1" ref="Y4" ca="1">IF(ROW()-ROW($N$2:$N$33)+1&gt;ROWS($M$2:$M$33)-COUNTBLANK($M$2:$M$33),"",INDIRECT(ADDRESS(SMALL((IF($M$2:$M$33&lt;&gt;"",ROW($M$2:$M$33),ROW()+ROWS($M$2:$M$33))),ROW()-ROW($N$2:$N$33)+1),COLUMN($M$2:$M$33),4)))</f>
        <v>-----</v>
      </c>
    </row>
    <row r="5" spans="1:25" ht="54.95" customHeight="1" x14ac:dyDescent="0.25">
      <c r="A5" s="275" t="str">
        <f>IF('Kennzahlenbogen_(KB)'!P17=0,"",'Kennzahlenbogen_(KB)'!P17)</f>
        <v>Unvollständig</v>
      </c>
      <c r="B5" s="440">
        <v>4</v>
      </c>
      <c r="C5" s="34">
        <f>IF($A5="I.O.","",'Kennzahlenbogen_(KB)'!A17)</f>
        <v>3</v>
      </c>
      <c r="D5" s="123" t="str">
        <f>IF($A5="I.O.","",'Kennzahlenbogen_(KB)'!C17)</f>
        <v>Postoperative Fallvorstellung</v>
      </c>
      <c r="E5" s="283" t="str">
        <f>IF(AND('Kennzahlenbogen_(KB)'!J17="",$A5&lt;&gt;"I.O."),"-----",IF($A5="I.O.","",'Kennzahlenbogen_(KB)'!J17))</f>
        <v>-----</v>
      </c>
      <c r="F5" s="299" t="str">
        <f>IF($A5="I.O.","",'Kennzahlenbogen_(KB)'!K17)</f>
        <v>≥ 95%</v>
      </c>
      <c r="G5" s="283" t="str">
        <f>IF(AND('Kennzahlenbogen_(KB)'!M17="",$A5&lt;&gt;"I.O."),"-----",IF($A5="I.O.","",'Kennzahlenbogen_(KB)'!M17))</f>
        <v>-----</v>
      </c>
      <c r="H5" s="298" t="str">
        <f>IF($A5="I.O.","",IF('Kennzahlenbogen_(KB)'!O17="","-----",'Kennzahlenbogen_(KB)'!O17))</f>
        <v>-----</v>
      </c>
      <c r="I5" s="298">
        <f>IF($A5="I.O.","",IF('Kennzahlenbogen_(KB)'!O18="","-----",'Kennzahlenbogen_(KB)'!O18))</f>
        <v>0</v>
      </c>
      <c r="J5" s="276" t="str">
        <f>IF($A5="I.O.","",IF('Kennzahlenbogen_(KB)'!O19="",0,'Kennzahlenbogen_(KB)'!O19))</f>
        <v>n.d.</v>
      </c>
      <c r="K5" s="230" t="str">
        <f>IF($A5="I.O.","",'Kennzahlenbogen_(KB)'!P17)</f>
        <v>Unvollständig</v>
      </c>
      <c r="L5" s="277" t="str">
        <f>IF(AND('Kennzahlenbogen_(KB)'!Q17="",$A5&lt;&gt;"I.O."),"-----",IF($A5="I.O.","",'Kennzahlenbogen_(KB)'!Q17))</f>
        <v>-----</v>
      </c>
      <c r="M5" s="277" t="str">
        <f>IF(AND('Kennzahlenbogen_(KB)'!R17="",$A5&lt;&gt;"I.O."),"-----",IF($A5="I.O.","",'Kennzahlenbogen_(KB)'!R17))</f>
        <v>-----</v>
      </c>
      <c r="O5" s="215">
        <f t="array" aca="1" ref="O5" ca="1">IF(ROW()-ROW($D$2:$D$33)+1&gt;ROWS($C$2:$C$33)-COUNTBLANK($C$2:$C$33),"",INDIRECT(ADDRESS(SMALL((IF($C$2:$C$33&lt;&gt;"",ROW($C$2:$C$33),ROW()+ROWS($C$2:$C$33))),ROW()-ROW($D$2:$D$33)+1),COLUMN($C$2:$C$33),4)))</f>
        <v>3</v>
      </c>
      <c r="P5" s="278" t="str">
        <f t="array" aca="1" ref="P5" ca="1">IF(ROW()-ROW($E$2:$E$33)+1&gt;ROWS($D$2:$D$33)-COUNTBLANK($D$2:$D$33),"",INDIRECT(ADDRESS(SMALL((IF($D$2:$D$33&gt;"",ROW($D$2:$D$33),ROW()+ROWS($D$2:$D$33))),ROW()-ROW($E$2:$E$33)+1),COLUMN($D$2:$D$33),4)))</f>
        <v>Postoperative Fallvorstellung</v>
      </c>
      <c r="Q5" s="204" t="str">
        <f t="array" aca="1" ref="Q5" ca="1">IF(ROW()-ROW($F$2:$F$33)+1&gt;ROWS($E$2:$E$33)-COUNTBLANK($E$2:$E$33),"",INDIRECT(ADDRESS(SMALL((IF($E$2:$E$33&gt;"",ROW($E$2:$E$33),ROW()+ROWS($E$2:$E$33))),ROW()-ROW($F$2:$F$33)+1),COLUMN($E$2:$E$33),4)))</f>
        <v>-----</v>
      </c>
      <c r="R5" s="204" t="str">
        <f t="array" aca="1" ref="R5" ca="1">IF(ROW()-ROW($G$2:$G$33)+1&gt;ROWS($F$2:$F$33)-COUNTBLANK($F$2:$F$33),"",INDIRECT(ADDRESS(SMALL((IF($F$2:$F$33&gt;"",ROW($F$2:$F$33),ROW()+ROWS($F$2:$F$33))),ROW()-ROW($G$2:$G$33)+1),COLUMN($F$2:$F$33),4)))</f>
        <v>≥ 95%</v>
      </c>
      <c r="S5" s="204" t="str">
        <f t="array" aca="1" ref="S5" ca="1">IF(ROW()-ROW($H$2:$H$33)+1&gt;ROWS($G$2:$G$33)-COUNTBLANK($G$2:$G$33),"",INDIRECT(ADDRESS(SMALL((IF($G$2:$G$33&lt;&gt;"",ROW($G$2:$G$33),ROW()+ROWS($G$2:$G$33))),ROW()-ROW($H$2:$H$33)+1),COLUMN($G$2:$G$33),4)))</f>
        <v>-----</v>
      </c>
      <c r="T5" s="297" t="str">
        <f t="array" aca="1" ref="T5" ca="1">IF(ROW()-ROW($I$2:$I$33)+1&gt;ROWS($H$2:$H$33)-COUNTBLANK($H$2:$H$33),"",INDIRECT(ADDRESS(SMALL((IF($H$2:$H$33&lt;&gt;"",ROW($H$2:$H$33),ROW()+ROWS($H$2:$H$33))),ROW()-ROW($I$2:$I$33)+1),COLUMN($H$2:$H$33),4)))</f>
        <v>-----</v>
      </c>
      <c r="U5" s="297">
        <f t="array" aca="1" ref="U5" ca="1">IF(ROW()-ROW($J$2:$J$33)+1&gt;ROWS($I$2:$I$33)-COUNTBLANK($I$2:$I$33),"",INDIRECT(ADDRESS(SMALL((IF($I$2:$I$33&lt;&gt;"",ROW($I$2:$I$33),ROW()+ROWS($I$2:$I$33))),ROW()-ROW($J$2:$J$33)+1),COLUMN($I$2:$I$33),4)))</f>
        <v>0</v>
      </c>
      <c r="V5" s="279" t="str">
        <f t="array" aca="1" ref="V5" ca="1">IF(ROW()-ROW($K$2:$K$33)+1&gt;ROWS($J$2:$J$33)-COUNTBLANK($J$2:$J$33),"",INDIRECT(ADDRESS(SMALL((IF($J$2:$J$33&lt;&gt;"",ROW($J$2:$J$33),ROW()+ROWS($J$2:$J$33))),ROW()-ROW($K$2:$K$33)+1),COLUMN($J$2:$J$33),4)))</f>
        <v>n.d.</v>
      </c>
      <c r="W5" s="199" t="str">
        <f t="array" aca="1" ref="W5" ca="1">IF(ROW()-ROW($L$2:$L$33)+1&gt;ROWS($K$2:$K$33)-COUNTBLANK($K$2:$K$33),"",INDIRECT(ADDRESS(SMALL((IF($K$2:$K$33&lt;&gt;"",ROW($K$2:$K$33),ROW()+ROWS($K$2:$K$33))),ROW()-ROW($L$2:$L$33)+1),COLUMN($K$2:$K$33),4)))</f>
        <v>Unvollständig</v>
      </c>
      <c r="X5" s="278" t="str">
        <f t="array" aca="1" ref="X5" ca="1">IF(ROW()-ROW($M$2:$M$33)+1&gt;ROWS($L$2:$L$33)-COUNTBLANK($L$2:$L$33),"",INDIRECT(ADDRESS(SMALL((IF($L$2:$L$33&lt;&gt;"",ROW($L$2:$L$33),ROW()+ROWS($L$2:$L$33))),ROW()-ROW($M$2:$M$33)+1),COLUMN($L$2:$L$33),4)))</f>
        <v>-----</v>
      </c>
      <c r="Y5" s="278" t="str">
        <f t="array" aca="1" ref="Y5" ca="1">IF(ROW()-ROW($N$2:$N$33)+1&gt;ROWS($M$2:$M$33)-COUNTBLANK($M$2:$M$33),"",INDIRECT(ADDRESS(SMALL((IF($M$2:$M$33&lt;&gt;"",ROW($M$2:$M$33),ROW()+ROWS($M$2:$M$33))),ROW()-ROW($N$2:$N$33)+1),COLUMN($M$2:$M$33),4)))</f>
        <v>-----</v>
      </c>
    </row>
    <row r="6" spans="1:25" ht="54.95" customHeight="1" x14ac:dyDescent="0.25">
      <c r="A6" s="275" t="str">
        <f>IF('Kennzahlenbogen_(KB)'!P20=0,"",'Kennzahlenbogen_(KB)'!P20)</f>
        <v>Unvollständig</v>
      </c>
      <c r="B6" s="440">
        <v>5</v>
      </c>
      <c r="C6" s="34">
        <f>IF($A6="I.O.","",'Kennzahlenbogen_(KB)'!A20)</f>
        <v>4</v>
      </c>
      <c r="D6" s="123" t="str">
        <f>IF($A6="I.O.","",'Kennzahlenbogen_(KB)'!C20)</f>
        <v>Psychoonkologisches Distress-Screening</v>
      </c>
      <c r="E6" s="283" t="str">
        <f>IF(AND('Kennzahlenbogen_(KB)'!J20="",$A6&lt;&gt;"I.O."),"-----",IF($A6="I.O.","",'Kennzahlenbogen_(KB)'!J20))</f>
        <v>-----</v>
      </c>
      <c r="F6" s="299" t="str">
        <f>IF($A6="I.O.","",'Kennzahlenbogen_(KB)'!K20)</f>
        <v>≥ 65%</v>
      </c>
      <c r="G6" s="283" t="str">
        <f>IF(AND('Kennzahlenbogen_(KB)'!M20="",$A6&lt;&gt;"I.O."),"-----",IF($A6="I.O.","",'Kennzahlenbogen_(KB)'!M20))</f>
        <v>-----</v>
      </c>
      <c r="H6" s="298" t="str">
        <f>IF($A6="I.O.","",IF('Kennzahlenbogen_(KB)'!O20="","-----",'Kennzahlenbogen_(KB)'!O20))</f>
        <v>-----</v>
      </c>
      <c r="I6" s="298">
        <f>IF($A6="I.O.","",IF('Kennzahlenbogen_(KB)'!O21="","-----",'Kennzahlenbogen_(KB)'!O21))</f>
        <v>0</v>
      </c>
      <c r="J6" s="276" t="str">
        <f>IF($A6="I.O.","",IF('Kennzahlenbogen_(KB)'!O22="",0,'Kennzahlenbogen_(KB)'!O22))</f>
        <v>n.d.</v>
      </c>
      <c r="K6" s="230" t="str">
        <f>IF($A6="I.O.","",'Kennzahlenbogen_(KB)'!P20)</f>
        <v>Unvollständig</v>
      </c>
      <c r="L6" s="277" t="str">
        <f>IF(AND('Kennzahlenbogen_(KB)'!Q20="",$A6&lt;&gt;"I.O."),"-----",IF($A6="I.O.","",'Kennzahlenbogen_(KB)'!Q20))</f>
        <v>-----</v>
      </c>
      <c r="M6" s="277" t="str">
        <f>IF(AND('Kennzahlenbogen_(KB)'!R20="",$A6&lt;&gt;"I.O."),"-----",IF($A6="I.O.","",'Kennzahlenbogen_(KB)'!R20))</f>
        <v>-----</v>
      </c>
      <c r="O6" s="215">
        <f t="array" aca="1" ref="O6" ca="1">IF(ROW()-ROW($D$2:$D$33)+1&gt;ROWS($C$2:$C$33)-COUNTBLANK($C$2:$C$33),"",INDIRECT(ADDRESS(SMALL((IF($C$2:$C$33&lt;&gt;"",ROW($C$2:$C$33),ROW()+ROWS($C$2:$C$33))),ROW()-ROW($D$2:$D$33)+1),COLUMN($C$2:$C$33),4)))</f>
        <v>4</v>
      </c>
      <c r="P6" s="278" t="str">
        <f t="array" aca="1" ref="P6" ca="1">IF(ROW()-ROW($E$2:$E$33)+1&gt;ROWS($D$2:$D$33)-COUNTBLANK($D$2:$D$33),"",INDIRECT(ADDRESS(SMALL((IF($D$2:$D$33&gt;"",ROW($D$2:$D$33),ROW()+ROWS($D$2:$D$33))),ROW()-ROW($E$2:$E$33)+1),COLUMN($D$2:$D$33),4)))</f>
        <v>Psychoonkologisches Distress-Screening</v>
      </c>
      <c r="Q6" s="204" t="str">
        <f t="array" aca="1" ref="Q6" ca="1">IF(ROW()-ROW($F$2:$F$33)+1&gt;ROWS($E$2:$E$33)-COUNTBLANK($E$2:$E$33),"",INDIRECT(ADDRESS(SMALL((IF($E$2:$E$33&gt;"",ROW($E$2:$E$33),ROW()+ROWS($E$2:$E$33))),ROW()-ROW($F$2:$F$33)+1),COLUMN($E$2:$E$33),4)))</f>
        <v>-----</v>
      </c>
      <c r="R6" s="204" t="str">
        <f t="array" aca="1" ref="R6" ca="1">IF(ROW()-ROW($G$2:$G$33)+1&gt;ROWS($F$2:$F$33)-COUNTBLANK($F$2:$F$33),"",INDIRECT(ADDRESS(SMALL((IF($F$2:$F$33&gt;"",ROW($F$2:$F$33),ROW()+ROWS($F$2:$F$33))),ROW()-ROW($G$2:$G$33)+1),COLUMN($F$2:$F$33),4)))</f>
        <v>≥ 65%</v>
      </c>
      <c r="S6" s="204" t="str">
        <f t="array" aca="1" ref="S6" ca="1">IF(ROW()-ROW($H$2:$H$33)+1&gt;ROWS($G$2:$G$33)-COUNTBLANK($G$2:$G$33),"",INDIRECT(ADDRESS(SMALL((IF($G$2:$G$33&lt;&gt;"",ROW($G$2:$G$33),ROW()+ROWS($G$2:$G$33))),ROW()-ROW($H$2:$H$33)+1),COLUMN($G$2:$G$33),4)))</f>
        <v>-----</v>
      </c>
      <c r="T6" s="297" t="str">
        <f t="array" aca="1" ref="T6" ca="1">IF(ROW()-ROW($I$2:$I$33)+1&gt;ROWS($H$2:$H$33)-COUNTBLANK($H$2:$H$33),"",INDIRECT(ADDRESS(SMALL((IF($H$2:$H$33&lt;&gt;"",ROW($H$2:$H$33),ROW()+ROWS($H$2:$H$33))),ROW()-ROW($I$2:$I$33)+1),COLUMN($H$2:$H$33),4)))</f>
        <v>-----</v>
      </c>
      <c r="U6" s="297">
        <f t="array" aca="1" ref="U6" ca="1">IF(ROW()-ROW($J$2:$J$33)+1&gt;ROWS($I$2:$I$33)-COUNTBLANK($I$2:$I$33),"",INDIRECT(ADDRESS(SMALL((IF($I$2:$I$33&lt;&gt;"",ROW($I$2:$I$33),ROW()+ROWS($I$2:$I$33))),ROW()-ROW($J$2:$J$33)+1),COLUMN($I$2:$I$33),4)))</f>
        <v>0</v>
      </c>
      <c r="V6" s="279" t="str">
        <f t="array" aca="1" ref="V6" ca="1">IF(ROW()-ROW($K$2:$K$33)+1&gt;ROWS($J$2:$J$33)-COUNTBLANK($J$2:$J$33),"",INDIRECT(ADDRESS(SMALL((IF($J$2:$J$33&lt;&gt;"",ROW($J$2:$J$33),ROW()+ROWS($J$2:$J$33))),ROW()-ROW($K$2:$K$33)+1),COLUMN($J$2:$J$33),4)))</f>
        <v>n.d.</v>
      </c>
      <c r="W6" s="199" t="str">
        <f t="array" aca="1" ref="W6" ca="1">IF(ROW()-ROW($L$2:$L$33)+1&gt;ROWS($K$2:$K$33)-COUNTBLANK($K$2:$K$33),"",INDIRECT(ADDRESS(SMALL((IF($K$2:$K$33&lt;&gt;"",ROW($K$2:$K$33),ROW()+ROWS($K$2:$K$33))),ROW()-ROW($L$2:$L$33)+1),COLUMN($K$2:$K$33),4)))</f>
        <v>Unvollständig</v>
      </c>
      <c r="X6" s="278" t="str">
        <f t="array" aca="1" ref="X6" ca="1">IF(ROW()-ROW($M$2:$M$33)+1&gt;ROWS($L$2:$L$33)-COUNTBLANK($L$2:$L$33),"",INDIRECT(ADDRESS(SMALL((IF($L$2:$L$33&lt;&gt;"",ROW($L$2:$L$33),ROW()+ROWS($L$2:$L$33))),ROW()-ROW($M$2:$M$33)+1),COLUMN($L$2:$L$33),4)))</f>
        <v>-----</v>
      </c>
      <c r="Y6" s="278" t="str">
        <f t="array" aca="1" ref="Y6" ca="1">IF(ROW()-ROW($N$2:$N$33)+1&gt;ROWS($M$2:$M$33)-COUNTBLANK($M$2:$M$33),"",INDIRECT(ADDRESS(SMALL((IF($M$2:$M$33&lt;&gt;"",ROW($M$2:$M$33),ROW()+ROWS($M$2:$M$33))),ROW()-ROW($N$2:$N$33)+1),COLUMN($M$2:$M$33),4)))</f>
        <v>-----</v>
      </c>
    </row>
    <row r="7" spans="1:25" ht="54.95" customHeight="1" x14ac:dyDescent="0.25">
      <c r="A7" s="275" t="str">
        <f>IF('Kennzahlenbogen_(KB)'!P23=0,"",'Kennzahlenbogen_(KB)'!P23)</f>
        <v>Unvollständig</v>
      </c>
      <c r="B7" s="440">
        <v>6</v>
      </c>
      <c r="C7" s="34">
        <f>IF($A7="I.O.","",'Kennzahlenbogen_(KB)'!A23)</f>
        <v>5</v>
      </c>
      <c r="D7" s="123" t="str">
        <f>IF($A7="I.O.","",'Kennzahlenbogen_(KB)'!C23)</f>
        <v>Beratung Sozialdienst</v>
      </c>
      <c r="E7" s="283" t="str">
        <f>IF(AND('Kennzahlenbogen_(KB)'!J23="",$A7&lt;&gt;"I.O."),"-----",IF($A7="I.O.","",'Kennzahlenbogen_(KB)'!J23))</f>
        <v>&lt; 50%</v>
      </c>
      <c r="F7" s="299" t="str">
        <f>IF($A7="I.O.","",'Kennzahlenbogen_(KB)'!K23)</f>
        <v>Derzeit keine Vorgaben</v>
      </c>
      <c r="G7" s="283" t="str">
        <f>IF(AND('Kennzahlenbogen_(KB)'!M23="",$A7&lt;&gt;"I.O."),"-----",IF($A7="I.O.","",'Kennzahlenbogen_(KB)'!M23))</f>
        <v>-----</v>
      </c>
      <c r="H7" s="298" t="str">
        <f>IF($A7="I.O.","",IF('Kennzahlenbogen_(KB)'!O23="","-----",'Kennzahlenbogen_(KB)'!O23))</f>
        <v>-----</v>
      </c>
      <c r="I7" s="298">
        <f>IF($A7="I.O.","",IF('Kennzahlenbogen_(KB)'!O24="","-----",'Kennzahlenbogen_(KB)'!O24))</f>
        <v>0</v>
      </c>
      <c r="J7" s="276" t="str">
        <f>IF($A7="I.O.","",IF('Kennzahlenbogen_(KB)'!O25="",0,'Kennzahlenbogen_(KB)'!O25))</f>
        <v>n.d.</v>
      </c>
      <c r="K7" s="230" t="str">
        <f>IF($A7="I.O.","",'Kennzahlenbogen_(KB)'!P23)</f>
        <v>Unvollständig</v>
      </c>
      <c r="L7" s="277" t="str">
        <f>IF(AND('Kennzahlenbogen_(KB)'!Q23="",$A7&lt;&gt;"I.O."),"-----",IF($A7="I.O.","",'Kennzahlenbogen_(KB)'!Q23))</f>
        <v>-----</v>
      </c>
      <c r="M7" s="277" t="str">
        <f>IF(AND('Kennzahlenbogen_(KB)'!R23="",$A7&lt;&gt;"I.O."),"-----",IF($A7="I.O.","",'Kennzahlenbogen_(KB)'!R23))</f>
        <v>-----</v>
      </c>
      <c r="O7" s="215">
        <f t="array" aca="1" ref="O7" ca="1">IF(ROW()-ROW($D$2:$D$33)+1&gt;ROWS($C$2:$C$33)-COUNTBLANK($C$2:$C$33),"",INDIRECT(ADDRESS(SMALL((IF($C$2:$C$33&lt;&gt;"",ROW($C$2:$C$33),ROW()+ROWS($C$2:$C$33))),ROW()-ROW($D$2:$D$33)+1),COLUMN($C$2:$C$33),4)))</f>
        <v>5</v>
      </c>
      <c r="P7" s="278" t="str">
        <f t="array" aca="1" ref="P7" ca="1">IF(ROW()-ROW($E$2:$E$33)+1&gt;ROWS($D$2:$D$33)-COUNTBLANK($D$2:$D$33),"",INDIRECT(ADDRESS(SMALL((IF($D$2:$D$33&gt;"",ROW($D$2:$D$33),ROW()+ROWS($D$2:$D$33))),ROW()-ROW($E$2:$E$33)+1),COLUMN($D$2:$D$33),4)))</f>
        <v>Beratung Sozialdienst</v>
      </c>
      <c r="Q7" s="204" t="str">
        <f t="array" aca="1" ref="Q7" ca="1">IF(ROW()-ROW($F$2:$F$33)+1&gt;ROWS($E$2:$E$33)-COUNTBLANK($E$2:$E$33),"",INDIRECT(ADDRESS(SMALL((IF($E$2:$E$33&gt;"",ROW($E$2:$E$33),ROW()+ROWS($E$2:$E$33))),ROW()-ROW($F$2:$F$33)+1),COLUMN($E$2:$E$33),4)))</f>
        <v>&lt; 50%</v>
      </c>
      <c r="R7" s="204" t="str">
        <f t="array" aca="1" ref="R7" ca="1">IF(ROW()-ROW($G$2:$G$33)+1&gt;ROWS($F$2:$F$33)-COUNTBLANK($F$2:$F$33),"",INDIRECT(ADDRESS(SMALL((IF($F$2:$F$33&gt;"",ROW($F$2:$F$33),ROW()+ROWS($F$2:$F$33))),ROW()-ROW($G$2:$G$33)+1),COLUMN($F$2:$F$33),4)))</f>
        <v>Derzeit keine Vorgaben</v>
      </c>
      <c r="S7" s="204" t="str">
        <f t="array" aca="1" ref="S7" ca="1">IF(ROW()-ROW($H$2:$H$33)+1&gt;ROWS($G$2:$G$33)-COUNTBLANK($G$2:$G$33),"",INDIRECT(ADDRESS(SMALL((IF($G$2:$G$33&lt;&gt;"",ROW($G$2:$G$33),ROW()+ROWS($G$2:$G$33))),ROW()-ROW($H$2:$H$33)+1),COLUMN($G$2:$G$33),4)))</f>
        <v>-----</v>
      </c>
      <c r="T7" s="297" t="str">
        <f t="array" aca="1" ref="T7" ca="1">IF(ROW()-ROW($I$2:$I$33)+1&gt;ROWS($H$2:$H$33)-COUNTBLANK($H$2:$H$33),"",INDIRECT(ADDRESS(SMALL((IF($H$2:$H$33&lt;&gt;"",ROW($H$2:$H$33),ROW()+ROWS($H$2:$H$33))),ROW()-ROW($I$2:$I$33)+1),COLUMN($H$2:$H$33),4)))</f>
        <v>-----</v>
      </c>
      <c r="U7" s="297">
        <f t="array" aca="1" ref="U7" ca="1">IF(ROW()-ROW($J$2:$J$33)+1&gt;ROWS($I$2:$I$33)-COUNTBLANK($I$2:$I$33),"",INDIRECT(ADDRESS(SMALL((IF($I$2:$I$33&lt;&gt;"",ROW($I$2:$I$33),ROW()+ROWS($I$2:$I$33))),ROW()-ROW($J$2:$J$33)+1),COLUMN($I$2:$I$33),4)))</f>
        <v>0</v>
      </c>
      <c r="V7" s="279" t="str">
        <f t="array" aca="1" ref="V7" ca="1">IF(ROW()-ROW($K$2:$K$33)+1&gt;ROWS($J$2:$J$33)-COUNTBLANK($J$2:$J$33),"",INDIRECT(ADDRESS(SMALL((IF($J$2:$J$33&lt;&gt;"",ROW($J$2:$J$33),ROW()+ROWS($J$2:$J$33))),ROW()-ROW($K$2:$K$33)+1),COLUMN($J$2:$J$33),4)))</f>
        <v>n.d.</v>
      </c>
      <c r="W7" s="199" t="str">
        <f t="array" aca="1" ref="W7" ca="1">IF(ROW()-ROW($L$2:$L$33)+1&gt;ROWS($K$2:$K$33)-COUNTBLANK($K$2:$K$33),"",INDIRECT(ADDRESS(SMALL((IF($K$2:$K$33&lt;&gt;"",ROW($K$2:$K$33),ROW()+ROWS($K$2:$K$33))),ROW()-ROW($L$2:$L$33)+1),COLUMN($K$2:$K$33),4)))</f>
        <v>Unvollständig</v>
      </c>
      <c r="X7" s="278" t="str">
        <f t="array" aca="1" ref="X7" ca="1">IF(ROW()-ROW($M$2:$M$33)+1&gt;ROWS($L$2:$L$33)-COUNTBLANK($L$2:$L$33),"",INDIRECT(ADDRESS(SMALL((IF($L$2:$L$33&lt;&gt;"",ROW($L$2:$L$33),ROW()+ROWS($L$2:$L$33))),ROW()-ROW($M$2:$M$33)+1),COLUMN($L$2:$L$33),4)))</f>
        <v>-----</v>
      </c>
      <c r="Y7" s="278" t="str">
        <f t="array" aca="1" ref="Y7" ca="1">IF(ROW()-ROW($N$2:$N$33)+1&gt;ROWS($M$2:$M$33)-COUNTBLANK($M$2:$M$33),"",INDIRECT(ADDRESS(SMALL((IF($M$2:$M$33&lt;&gt;"",ROW($M$2:$M$33),ROW()+ROWS($M$2:$M$33))),ROW()-ROW($N$2:$N$33)+1),COLUMN($M$2:$M$33),4)))</f>
        <v>-----</v>
      </c>
    </row>
    <row r="8" spans="1:25" ht="54.95" customHeight="1" x14ac:dyDescent="0.25">
      <c r="A8" s="275" t="str">
        <f>IF('Kennzahlenbogen_(KB)'!P26=0,"",'Kennzahlenbogen_(KB)'!P26)</f>
        <v>Unvollständig</v>
      </c>
      <c r="B8" s="440">
        <v>7</v>
      </c>
      <c r="C8" s="34">
        <f>IF($A8="I.O.","",'Kennzahlenbogen_(KB)'!A26)</f>
        <v>6</v>
      </c>
      <c r="D8" s="123" t="str">
        <f>IF($A8="I.O.","",'Kennzahlenbogen_(KB)'!C26)</f>
        <v>Anteil Studienpat.</v>
      </c>
      <c r="E8" s="283" t="str">
        <f>IF(AND('Kennzahlenbogen_(KB)'!J26="",$A8&lt;&gt;"I.O."),"-----",IF($A8="I.O.","",'Kennzahlenbogen_(KB)'!J26))</f>
        <v>-----</v>
      </c>
      <c r="F8" s="299" t="str">
        <f>IF($A8="I.O.","",'Kennzahlenbogen_(KB)'!K26)</f>
        <v>≥ 5%</v>
      </c>
      <c r="G8" s="283" t="str">
        <f>IF(AND('Kennzahlenbogen_(KB)'!M26="",$A8&lt;&gt;"I.O."),"-----",IF($A8="I.O.","",'Kennzahlenbogen_(KB)'!M26))</f>
        <v>-----</v>
      </c>
      <c r="H8" s="298">
        <f>IF($A8="I.O.","",IF('Kennzahlenbogen_(KB)'!O26="","-----",'Kennzahlenbogen_(KB)'!O26))</f>
        <v>0</v>
      </c>
      <c r="I8" s="298">
        <f>IF($A8="I.O.","",IF('Kennzahlenbogen_(KB)'!O27="","-----",'Kennzahlenbogen_(KB)'!O27))</f>
        <v>0</v>
      </c>
      <c r="J8" s="276" t="str">
        <f>IF($A8="I.O.","",IF('Kennzahlenbogen_(KB)'!O28="",0,'Kennzahlenbogen_(KB)'!O28))</f>
        <v>n.d.</v>
      </c>
      <c r="K8" s="230" t="str">
        <f>IF($A8="I.O.","",'Kennzahlenbogen_(KB)'!P26)</f>
        <v>Unvollständig</v>
      </c>
      <c r="L8" s="277" t="str">
        <f>IF(AND('Kennzahlenbogen_(KB)'!Q26="",$A8&lt;&gt;"I.O."),"-----",IF($A8="I.O.","",'Kennzahlenbogen_(KB)'!Q26))</f>
        <v>-----</v>
      </c>
      <c r="M8" s="277" t="str">
        <f>IF(AND('Kennzahlenbogen_(KB)'!R26="",$A8&lt;&gt;"I.O."),"-----",IF($A8="I.O.","",'Kennzahlenbogen_(KB)'!R26))</f>
        <v>-----</v>
      </c>
      <c r="O8" s="215">
        <f t="array" aca="1" ref="O8" ca="1">IF(ROW()-ROW($D$2:$D$33)+1&gt;ROWS($C$2:$C$33)-COUNTBLANK($C$2:$C$33),"",INDIRECT(ADDRESS(SMALL((IF($C$2:$C$33&lt;&gt;"",ROW($C$2:$C$33),ROW()+ROWS($C$2:$C$33))),ROW()-ROW($D$2:$D$33)+1),COLUMN($C$2:$C$33),4)))</f>
        <v>6</v>
      </c>
      <c r="P8" s="278" t="str">
        <f t="array" aca="1" ref="P8" ca="1">IF(ROW()-ROW($E$2:$E$33)+1&gt;ROWS($D$2:$D$33)-COUNTBLANK($D$2:$D$33),"",INDIRECT(ADDRESS(SMALL((IF($D$2:$D$33&gt;"",ROW($D$2:$D$33),ROW()+ROWS($D$2:$D$33))),ROW()-ROW($E$2:$E$33)+1),COLUMN($D$2:$D$33),4)))</f>
        <v>Anteil Studienpat.</v>
      </c>
      <c r="Q8" s="204" t="str">
        <f t="array" aca="1" ref="Q8" ca="1">IF(ROW()-ROW($F$2:$F$33)+1&gt;ROWS($E$2:$E$33)-COUNTBLANK($E$2:$E$33),"",INDIRECT(ADDRESS(SMALL((IF($E$2:$E$33&gt;"",ROW($E$2:$E$33),ROW()+ROWS($E$2:$E$33))),ROW()-ROW($F$2:$F$33)+1),COLUMN($E$2:$E$33),4)))</f>
        <v>-----</v>
      </c>
      <c r="R8" s="204" t="str">
        <f t="array" aca="1" ref="R8" ca="1">IF(ROW()-ROW($G$2:$G$33)+1&gt;ROWS($F$2:$F$33)-COUNTBLANK($F$2:$F$33),"",INDIRECT(ADDRESS(SMALL((IF($F$2:$F$33&gt;"",ROW($F$2:$F$33),ROW()+ROWS($F$2:$F$33))),ROW()-ROW($G$2:$G$33)+1),COLUMN($F$2:$F$33),4)))</f>
        <v>≥ 5%</v>
      </c>
      <c r="S8" s="204" t="str">
        <f t="array" aca="1" ref="S8" ca="1">IF(ROW()-ROW($H$2:$H$33)+1&gt;ROWS($G$2:$G$33)-COUNTBLANK($G$2:$G$33),"",INDIRECT(ADDRESS(SMALL((IF($G$2:$G$33&lt;&gt;"",ROW($G$2:$G$33),ROW()+ROWS($G$2:$G$33))),ROW()-ROW($H$2:$H$33)+1),COLUMN($G$2:$G$33),4)))</f>
        <v>-----</v>
      </c>
      <c r="T8" s="297">
        <f t="array" aca="1" ref="T8" ca="1">IF(ROW()-ROW($I$2:$I$33)+1&gt;ROWS($H$2:$H$33)-COUNTBLANK($H$2:$H$33),"",INDIRECT(ADDRESS(SMALL((IF($H$2:$H$33&lt;&gt;"",ROW($H$2:$H$33),ROW()+ROWS($H$2:$H$33))),ROW()-ROW($I$2:$I$33)+1),COLUMN($H$2:$H$33),4)))</f>
        <v>0</v>
      </c>
      <c r="U8" s="297">
        <f t="array" aca="1" ref="U8" ca="1">IF(ROW()-ROW($J$2:$J$33)+1&gt;ROWS($I$2:$I$33)-COUNTBLANK($I$2:$I$33),"",INDIRECT(ADDRESS(SMALL((IF($I$2:$I$33&lt;&gt;"",ROW($I$2:$I$33),ROW()+ROWS($I$2:$I$33))),ROW()-ROW($J$2:$J$33)+1),COLUMN($I$2:$I$33),4)))</f>
        <v>0</v>
      </c>
      <c r="V8" s="279" t="str">
        <f t="array" aca="1" ref="V8" ca="1">IF(ROW()-ROW($K$2:$K$33)+1&gt;ROWS($J$2:$J$33)-COUNTBLANK($J$2:$J$33),"",INDIRECT(ADDRESS(SMALL((IF($J$2:$J$33&lt;&gt;"",ROW($J$2:$J$33),ROW()+ROWS($J$2:$J$33))),ROW()-ROW($K$2:$K$33)+1),COLUMN($J$2:$J$33),4)))</f>
        <v>n.d.</v>
      </c>
      <c r="W8" s="199" t="str">
        <f t="array" aca="1" ref="W8" ca="1">IF(ROW()-ROW($L$2:$L$33)+1&gt;ROWS($K$2:$K$33)-COUNTBLANK($K$2:$K$33),"",INDIRECT(ADDRESS(SMALL((IF($K$2:$K$33&lt;&gt;"",ROW($K$2:$K$33),ROW()+ROWS($K$2:$K$33))),ROW()-ROW($L$2:$L$33)+1),COLUMN($K$2:$K$33),4)))</f>
        <v>Unvollständig</v>
      </c>
      <c r="X8" s="278" t="str">
        <f t="array" aca="1" ref="X8" ca="1">IF(ROW()-ROW($M$2:$M$33)+1&gt;ROWS($L$2:$L$33)-COUNTBLANK($L$2:$L$33),"",INDIRECT(ADDRESS(SMALL((IF($L$2:$L$33&lt;&gt;"",ROW($L$2:$L$33),ROW()+ROWS($L$2:$L$33))),ROW()-ROW($M$2:$M$33)+1),COLUMN($L$2:$L$33),4)))</f>
        <v>-----</v>
      </c>
      <c r="Y8" s="278" t="str">
        <f t="array" aca="1" ref="Y8" ca="1">IF(ROW()-ROW($N$2:$N$33)+1&gt;ROWS($M$2:$M$33)-COUNTBLANK($M$2:$M$33),"",INDIRECT(ADDRESS(SMALL((IF($M$2:$M$33&lt;&gt;"",ROW($M$2:$M$33),ROW()+ROWS($M$2:$M$33))),ROW()-ROW($N$2:$N$33)+1),COLUMN($M$2:$M$33),4)))</f>
        <v>-----</v>
      </c>
    </row>
    <row r="9" spans="1:25" ht="54.95" customHeight="1" x14ac:dyDescent="0.25">
      <c r="A9" s="275" t="str">
        <f>IF('Kennzahlenbogen_(KB)'!P29=0,"",'Kennzahlenbogen_(KB)'!P29)</f>
        <v>Unvollständig</v>
      </c>
      <c r="B9" s="440">
        <v>8</v>
      </c>
      <c r="C9" s="34" t="str">
        <f>IF($A9="I.O.","",LEFT('Kennzahlenbogen_(KB)'!A29,1))</f>
        <v>7</v>
      </c>
      <c r="D9" s="123" t="str">
        <f>IF($A9="I.O.","",'Kennzahlenbogen_(KB)'!C29)</f>
        <v>KRK-Pat. mit Erfassung Familienanamnese</v>
      </c>
      <c r="E9" s="283" t="str">
        <f>IF(AND('Kennzahlenbogen_(KB)'!J29="",$A9&lt;&gt;"I.O."),"-----",IF($A9="I.O.","",'Kennzahlenbogen_(KB)'!J29))</f>
        <v>-----</v>
      </c>
      <c r="F9" s="299" t="str">
        <f>IF($A9="I.O.","",'Kennzahlenbogen_(KB)'!K29)</f>
        <v>≥ 90%</v>
      </c>
      <c r="G9" s="283" t="str">
        <f>IF(AND('Kennzahlenbogen_(KB)'!M29="",$A9&lt;&gt;"I.O."),"-----",IF($A9="I.O.","",'Kennzahlenbogen_(KB)'!M29))</f>
        <v>-----</v>
      </c>
      <c r="H9" s="298" t="str">
        <f>IF($A9="I.O.","",IF('Kennzahlenbogen_(KB)'!O29="","-----",'Kennzahlenbogen_(KB)'!O29))</f>
        <v>-----</v>
      </c>
      <c r="I9" s="298">
        <f>IF($A9="I.O.","",IF('Kennzahlenbogen_(KB)'!O30="","-----",'Kennzahlenbogen_(KB)'!O30))</f>
        <v>0</v>
      </c>
      <c r="J9" s="276" t="str">
        <f>IF($A9="I.O.","",IF('Kennzahlenbogen_(KB)'!O31="",0,'Kennzahlenbogen_(KB)'!O31))</f>
        <v>n.d.</v>
      </c>
      <c r="K9" s="230" t="str">
        <f>IF($A9="I.O.","",'Kennzahlenbogen_(KB)'!P29)</f>
        <v>Unvollständig</v>
      </c>
      <c r="L9" s="277" t="str">
        <f>IF(AND('Kennzahlenbogen_(KB)'!Q29="",$A9&lt;&gt;"I.O."),"-----",IF($A9="I.O.","",'Kennzahlenbogen_(KB)'!Q29))</f>
        <v>-----</v>
      </c>
      <c r="M9" s="277" t="str">
        <f>IF(AND('Kennzahlenbogen_(KB)'!R29="",$A9&lt;&gt;"I.O."),"-----",IF($A9="I.O.","",'Kennzahlenbogen_(KB)'!R29))</f>
        <v>-----</v>
      </c>
      <c r="O9" s="215" t="str">
        <f t="array" aca="1" ref="O9" ca="1">IF(ROW()-ROW($D$2:$D$33)+1&gt;ROWS($C$2:$C$33)-COUNTBLANK($C$2:$C$33),"",INDIRECT(ADDRESS(SMALL((IF($C$2:$C$33&lt;&gt;"",ROW($C$2:$C$33),ROW()+ROWS($C$2:$C$33))),ROW()-ROW($D$2:$D$33)+1),COLUMN($C$2:$C$33),4)))</f>
        <v>7</v>
      </c>
      <c r="P9" s="278" t="str">
        <f t="array" aca="1" ref="P9" ca="1">IF(ROW()-ROW($E$2:$E$33)+1&gt;ROWS($D$2:$D$33)-COUNTBLANK($D$2:$D$33),"",INDIRECT(ADDRESS(SMALL((IF($D$2:$D$33&gt;"",ROW($D$2:$D$33),ROW()+ROWS($D$2:$D$33))),ROW()-ROW($E$2:$E$33)+1),COLUMN($D$2:$D$33),4)))</f>
        <v>KRK-Pat. mit Erfassung Familienanamnese</v>
      </c>
      <c r="Q9" s="204" t="str">
        <f t="array" aca="1" ref="Q9" ca="1">IF(ROW()-ROW($F$2:$F$33)+1&gt;ROWS($E$2:$E$33)-COUNTBLANK($E$2:$E$33),"",INDIRECT(ADDRESS(SMALL((IF($E$2:$E$33&gt;"",ROW($E$2:$E$33),ROW()+ROWS($E$2:$E$33))),ROW()-ROW($F$2:$F$33)+1),COLUMN($E$2:$E$33),4)))</f>
        <v>-----</v>
      </c>
      <c r="R9" s="204" t="str">
        <f t="array" aca="1" ref="R9" ca="1">IF(ROW()-ROW($G$2:$G$33)+1&gt;ROWS($F$2:$F$33)-COUNTBLANK($F$2:$F$33),"",INDIRECT(ADDRESS(SMALL((IF($F$2:$F$33&gt;"",ROW($F$2:$F$33),ROW()+ROWS($F$2:$F$33))),ROW()-ROW($G$2:$G$33)+1),COLUMN($F$2:$F$33),4)))</f>
        <v>≥ 90%</v>
      </c>
      <c r="S9" s="204" t="str">
        <f t="array" aca="1" ref="S9" ca="1">IF(ROW()-ROW($H$2:$H$33)+1&gt;ROWS($G$2:$G$33)-COUNTBLANK($G$2:$G$33),"",INDIRECT(ADDRESS(SMALL((IF($G$2:$G$33&lt;&gt;"",ROW($G$2:$G$33),ROW()+ROWS($G$2:$G$33))),ROW()-ROW($H$2:$H$33)+1),COLUMN($G$2:$G$33),4)))</f>
        <v>-----</v>
      </c>
      <c r="T9" s="297" t="str">
        <f t="array" aca="1" ref="T9" ca="1">IF(ROW()-ROW($I$2:$I$33)+1&gt;ROWS($H$2:$H$33)-COUNTBLANK($H$2:$H$33),"",INDIRECT(ADDRESS(SMALL((IF($H$2:$H$33&lt;&gt;"",ROW($H$2:$H$33),ROW()+ROWS($H$2:$H$33))),ROW()-ROW($I$2:$I$33)+1),COLUMN($H$2:$H$33),4)))</f>
        <v>-----</v>
      </c>
      <c r="U9" s="297">
        <f t="array" aca="1" ref="U9" ca="1">IF(ROW()-ROW($J$2:$J$33)+1&gt;ROWS($I$2:$I$33)-COUNTBLANK($I$2:$I$33),"",INDIRECT(ADDRESS(SMALL((IF($I$2:$I$33&lt;&gt;"",ROW($I$2:$I$33),ROW()+ROWS($I$2:$I$33))),ROW()-ROW($J$2:$J$33)+1),COLUMN($I$2:$I$33),4)))</f>
        <v>0</v>
      </c>
      <c r="V9" s="279" t="str">
        <f t="array" aca="1" ref="V9" ca="1">IF(ROW()-ROW($K$2:$K$33)+1&gt;ROWS($J$2:$J$33)-COUNTBLANK($J$2:$J$33),"",INDIRECT(ADDRESS(SMALL((IF($J$2:$J$33&lt;&gt;"",ROW($J$2:$J$33),ROW()+ROWS($J$2:$J$33))),ROW()-ROW($K$2:$K$33)+1),COLUMN($J$2:$J$33),4)))</f>
        <v>n.d.</v>
      </c>
      <c r="W9" s="199" t="str">
        <f t="array" aca="1" ref="W9" ca="1">IF(ROW()-ROW($L$2:$L$33)+1&gt;ROWS($K$2:$K$33)-COUNTBLANK($K$2:$K$33),"",INDIRECT(ADDRESS(SMALL((IF($K$2:$K$33&lt;&gt;"",ROW($K$2:$K$33),ROW()+ROWS($K$2:$K$33))),ROW()-ROW($L$2:$L$33)+1),COLUMN($K$2:$K$33),4)))</f>
        <v>Unvollständig</v>
      </c>
      <c r="X9" s="278" t="str">
        <f t="array" aca="1" ref="X9" ca="1">IF(ROW()-ROW($M$2:$M$33)+1&gt;ROWS($L$2:$L$33)-COUNTBLANK($L$2:$L$33),"",INDIRECT(ADDRESS(SMALL((IF($L$2:$L$33&lt;&gt;"",ROW($L$2:$L$33),ROW()+ROWS($L$2:$L$33))),ROW()-ROW($M$2:$M$33)+1),COLUMN($L$2:$L$33),4)))</f>
        <v>-----</v>
      </c>
      <c r="Y9" s="278" t="str">
        <f t="array" aca="1" ref="Y9" ca="1">IF(ROW()-ROW($N$2:$N$33)+1&gt;ROWS($M$2:$M$33)-COUNTBLANK($M$2:$M$33),"",INDIRECT(ADDRESS(SMALL((IF($M$2:$M$33&lt;&gt;"",ROW($M$2:$M$33),ROW()+ROWS($M$2:$M$33))),ROW()-ROW($N$2:$N$33)+1),COLUMN($M$2:$M$33),4)))</f>
        <v>-----</v>
      </c>
    </row>
    <row r="10" spans="1:25" ht="54.95" customHeight="1" x14ac:dyDescent="0.25">
      <c r="A10" s="275" t="str">
        <f>IF('Kennzahlenbogen_(KB)'!P32=0,"",'Kennzahlenbogen_(KB)'!P32)</f>
        <v>Unvollständig</v>
      </c>
      <c r="B10" s="440">
        <v>9</v>
      </c>
      <c r="C10" s="34" t="str">
        <f>IF($A10="I.O.","",LEFT('Kennzahlenbogen_(KB)'!A32,1))</f>
        <v>8</v>
      </c>
      <c r="D10" s="123" t="str">
        <f>IF($A10="I.O.","",'Kennzahlenbogen_(KB)'!C32)</f>
        <v>Genetische Beratung</v>
      </c>
      <c r="E10" s="283" t="str">
        <f>IF(AND('Kennzahlenbogen_(KB)'!J32="",$A10&lt;&gt;"I.O."),"-----",IF($A10="I.O.","",'Kennzahlenbogen_(KB)'!J32))</f>
        <v>-----</v>
      </c>
      <c r="F10" s="299" t="str">
        <f>IF($A10="I.O.","",'Kennzahlenbogen_(KB)'!K32)</f>
        <v>≥ 90%</v>
      </c>
      <c r="G10" s="283" t="str">
        <f>IF(AND('Kennzahlenbogen_(KB)'!M32="",$A10&lt;&gt;"I.O."),"-----",IF($A10="I.O.","",'Kennzahlenbogen_(KB)'!M32))</f>
        <v>-----</v>
      </c>
      <c r="H10" s="298" t="str">
        <f>IF($A10="I.O.","",IF('Kennzahlenbogen_(KB)'!O32="","-----",'Kennzahlenbogen_(KB)'!O32))</f>
        <v>-----</v>
      </c>
      <c r="I10" s="298" t="str">
        <f>IF($A10="I.O.","",IF('Kennzahlenbogen_(KB)'!O33="","-----",'Kennzahlenbogen_(KB)'!O33))</f>
        <v>-----</v>
      </c>
      <c r="J10" s="276" t="str">
        <f>IF($A10="I.O.","",IF('Kennzahlenbogen_(KB)'!O34="","-----",'Kennzahlenbogen_(KB)'!O34))</f>
        <v>n.d.</v>
      </c>
      <c r="K10" s="230" t="str">
        <f>IF($A10="I.O.","",'Kennzahlenbogen_(KB)'!P32)</f>
        <v>Unvollständig</v>
      </c>
      <c r="L10" s="277" t="str">
        <f>IF(AND('Kennzahlenbogen_(KB)'!Q32="",$A10&lt;&gt;"I.O."),"-----",IF($A10="I.O.","",'Kennzahlenbogen_(KB)'!Q32))</f>
        <v>-----</v>
      </c>
      <c r="M10" s="277" t="str">
        <f>IF(AND('Kennzahlenbogen_(KB)'!R32="",$A10&lt;&gt;"I.O."),"-----",IF($A10="I.O.","",'Kennzahlenbogen_(KB)'!R32))</f>
        <v>-----</v>
      </c>
      <c r="O10" s="215" t="str">
        <f t="array" aca="1" ref="O10" ca="1">IF(ROW()-ROW($D$2:$D$33)+1&gt;ROWS($C$2:$C$33)-COUNTBLANK($C$2:$C$33),"",INDIRECT(ADDRESS(SMALL((IF($C$2:$C$33&lt;&gt;"",ROW($C$2:$C$33),ROW()+ROWS($C$2:$C$33))),ROW()-ROW($D$2:$D$33)+1),COLUMN($C$2:$C$33),4)))</f>
        <v>8</v>
      </c>
      <c r="P10" s="278" t="str">
        <f t="array" aca="1" ref="P10" ca="1">IF(ROW()-ROW($E$2:$E$33)+1&gt;ROWS($D$2:$D$33)-COUNTBLANK($D$2:$D$33),"",INDIRECT(ADDRESS(SMALL((IF($D$2:$D$33&gt;"",ROW($D$2:$D$33),ROW()+ROWS($D$2:$D$33))),ROW()-ROW($E$2:$E$33)+1),COLUMN($D$2:$D$33),4)))</f>
        <v>Genetische Beratung</v>
      </c>
      <c r="Q10" s="204" t="str">
        <f t="array" aca="1" ref="Q10" ca="1">IF(ROW()-ROW($F$2:$F$33)+1&gt;ROWS($E$2:$E$33)-COUNTBLANK($E$2:$E$33),"",INDIRECT(ADDRESS(SMALL((IF($E$2:$E$33&gt;"",ROW($E$2:$E$33),ROW()+ROWS($E$2:$E$33))),ROW()-ROW($F$2:$F$33)+1),COLUMN($E$2:$E$33),4)))</f>
        <v>-----</v>
      </c>
      <c r="R10" s="204" t="str">
        <f t="array" aca="1" ref="R10" ca="1">IF(ROW()-ROW($G$2:$G$33)+1&gt;ROWS($F$2:$F$33)-COUNTBLANK($F$2:$F$33),"",INDIRECT(ADDRESS(SMALL((IF($F$2:$F$33&gt;"",ROW($F$2:$F$33),ROW()+ROWS($F$2:$F$33))),ROW()-ROW($G$2:$G$33)+1),COLUMN($F$2:$F$33),4)))</f>
        <v>≥ 90%</v>
      </c>
      <c r="S10" s="204" t="str">
        <f t="array" aca="1" ref="S10" ca="1">IF(ROW()-ROW($H$2:$H$33)+1&gt;ROWS($G$2:$G$33)-COUNTBLANK($G$2:$G$33),"",INDIRECT(ADDRESS(SMALL((IF($G$2:$G$33&lt;&gt;"",ROW($G$2:$G$33),ROW()+ROWS($G$2:$G$33))),ROW()-ROW($H$2:$H$33)+1),COLUMN($G$2:$G$33),4)))</f>
        <v>-----</v>
      </c>
      <c r="T10" s="297" t="str">
        <f t="array" aca="1" ref="T10" ca="1">IF(ROW()-ROW($I$2:$I$33)+1&gt;ROWS($H$2:$H$33)-COUNTBLANK($H$2:$H$33),"",INDIRECT(ADDRESS(SMALL((IF($H$2:$H$33&lt;&gt;"",ROW($H$2:$H$33),ROW()+ROWS($H$2:$H$33))),ROW()-ROW($I$2:$I$33)+1),COLUMN($H$2:$H$33),4)))</f>
        <v>-----</v>
      </c>
      <c r="U10" s="297" t="str">
        <f t="array" aca="1" ref="U10" ca="1">IF(ROW()-ROW($J$2:$J$33)+1&gt;ROWS($I$2:$I$33)-COUNTBLANK($I$2:$I$33),"",INDIRECT(ADDRESS(SMALL((IF($I$2:$I$33&lt;&gt;"",ROW($I$2:$I$33),ROW()+ROWS($I$2:$I$33))),ROW()-ROW($J$2:$J$33)+1),COLUMN($I$2:$I$33),4)))</f>
        <v>-----</v>
      </c>
      <c r="V10" s="279" t="str">
        <f t="array" aca="1" ref="V10" ca="1">IF(ROW()-ROW($K$2:$K$33)+1&gt;ROWS($J$2:$J$33)-COUNTBLANK($J$2:$J$33),"",INDIRECT(ADDRESS(SMALL((IF($J$2:$J$33&lt;&gt;"",ROW($J$2:$J$33),ROW()+ROWS($J$2:$J$33))),ROW()-ROW($K$2:$K$33)+1),COLUMN($J$2:$J$33),4)))</f>
        <v>n.d.</v>
      </c>
      <c r="W10" s="199" t="str">
        <f t="array" aca="1" ref="W10" ca="1">IF(ROW()-ROW($L$2:$L$33)+1&gt;ROWS($K$2:$K$33)-COUNTBLANK($K$2:$K$33),"",INDIRECT(ADDRESS(SMALL((IF($K$2:$K$33&lt;&gt;"",ROW($K$2:$K$33),ROW()+ROWS($K$2:$K$33))),ROW()-ROW($L$2:$L$33)+1),COLUMN($K$2:$K$33),4)))</f>
        <v>Unvollständig</v>
      </c>
      <c r="X10" s="278" t="str">
        <f t="array" aca="1" ref="X10" ca="1">IF(ROW()-ROW($M$2:$M$33)+1&gt;ROWS($L$2:$L$33)-COUNTBLANK($L$2:$L$33),"",INDIRECT(ADDRESS(SMALL((IF($L$2:$L$33&lt;&gt;"",ROW($L$2:$L$33),ROW()+ROWS($L$2:$L$33))),ROW()-ROW($M$2:$M$33)+1),COLUMN($L$2:$L$33),4)))</f>
        <v>-----</v>
      </c>
      <c r="Y10" s="278" t="str">
        <f t="array" aca="1" ref="Y10" ca="1">IF(ROW()-ROW($N$2:$N$33)+1&gt;ROWS($M$2:$M$33)-COUNTBLANK($M$2:$M$33),"",INDIRECT(ADDRESS(SMALL((IF($M$2:$M$33&lt;&gt;"",ROW($M$2:$M$33),ROW()+ROWS($M$2:$M$33))),ROW()-ROW($N$2:$N$33)+1),COLUMN($M$2:$M$33),4)))</f>
        <v>-----</v>
      </c>
    </row>
    <row r="11" spans="1:25" ht="54.95" customHeight="1" x14ac:dyDescent="0.25">
      <c r="A11" s="275" t="str">
        <f>IF('Kennzahlenbogen_(KB)'!P35=0,"",'Kennzahlenbogen_(KB)'!P35)</f>
        <v>Unvollständig</v>
      </c>
      <c r="B11" s="440">
        <v>10</v>
      </c>
      <c r="C11" s="34" t="str">
        <f>IF($A11="I.O.","",LEFT('Kennzahlenbogen_(KB)'!A35,1))</f>
        <v>9</v>
      </c>
      <c r="D11" s="123" t="str">
        <f>IF($A11="I.O.","",'Kennzahlenbogen_(KB)'!C35)</f>
        <v>Immunhistochemische Bestimmung der MMR-Proteine</v>
      </c>
      <c r="E11" s="283" t="str">
        <f>IF(AND('Kennzahlenbogen_(KB)'!J35="",$A11&lt;&gt;"I.O."),"-----",IF($A11="I.O.","",'Kennzahlenbogen_(KB)'!J35))</f>
        <v>-----</v>
      </c>
      <c r="F11" s="299" t="str">
        <f>IF($A11="I.O.","",'Kennzahlenbogen_(KB)'!K35)</f>
        <v>≥ 90%</v>
      </c>
      <c r="G11" s="283" t="str">
        <f>IF(AND('Kennzahlenbogen_(KB)'!M35="",$A11&lt;&gt;"I.O."),"-----",IF($A11="I.O.","",'Kennzahlenbogen_(KB)'!M35))</f>
        <v>-----</v>
      </c>
      <c r="H11" s="298" t="str">
        <f>IF($A11="I.O.","",IF('Kennzahlenbogen_(KB)'!O35="","-----",'Kennzahlenbogen_(KB)'!O35))</f>
        <v>-----</v>
      </c>
      <c r="I11" s="298" t="str">
        <f>IF($A11="I.O.","",IF('Kennzahlenbogen_(KB)'!O36="","-----",'Kennzahlenbogen_(KB)'!O36))</f>
        <v>-----</v>
      </c>
      <c r="J11" s="276" t="str">
        <f>IF($A11="I.O.","",IF('Kennzahlenbogen_(KB)'!O37="","-----",'Kennzahlenbogen_(KB)'!O37))</f>
        <v>n.d.</v>
      </c>
      <c r="K11" s="230" t="str">
        <f>IF($A11="I.O.","",'Kennzahlenbogen_(KB)'!P35)</f>
        <v>Unvollständig</v>
      </c>
      <c r="L11" s="277" t="str">
        <f>IF(AND('Kennzahlenbogen_(KB)'!Q35="",$A11&lt;&gt;"I.O."),"-----",IF($A11="I.O.","",'Kennzahlenbogen_(KB)'!Q35))</f>
        <v>-----</v>
      </c>
      <c r="M11" s="277" t="str">
        <f>IF(AND('Kennzahlenbogen_(KB)'!R35="",$A11&lt;&gt;"I.O."),"-----",IF($A11="I.O.","",'Kennzahlenbogen_(KB)'!R35))</f>
        <v>-----</v>
      </c>
      <c r="O11" s="215" t="str">
        <f t="array" aca="1" ref="O11" ca="1">IF(ROW()-ROW($D$2:$D$33)+1&gt;ROWS($C$2:$C$33)-COUNTBLANK($C$2:$C$33),"",INDIRECT(ADDRESS(SMALL((IF($C$2:$C$33&lt;&gt;"",ROW($C$2:$C$33),ROW()+ROWS($C$2:$C$33))),ROW()-ROW($D$2:$D$33)+1),COLUMN($C$2:$C$33),4)))</f>
        <v>9</v>
      </c>
      <c r="P11" s="278" t="str">
        <f t="array" aca="1" ref="P11" ca="1">IF(ROW()-ROW($E$2:$E$33)+1&gt;ROWS($D$2:$D$33)-COUNTBLANK($D$2:$D$33),"",INDIRECT(ADDRESS(SMALL((IF($D$2:$D$33&gt;"",ROW($D$2:$D$33),ROW()+ROWS($D$2:$D$33))),ROW()-ROW($E$2:$E$33)+1),COLUMN($D$2:$D$33),4)))</f>
        <v>Immunhistochemische Bestimmung der MMR-Proteine</v>
      </c>
      <c r="Q11" s="204" t="str">
        <f t="array" aca="1" ref="Q11" ca="1">IF(ROW()-ROW($F$2:$F$33)+1&gt;ROWS($E$2:$E$33)-COUNTBLANK($E$2:$E$33),"",INDIRECT(ADDRESS(SMALL((IF($E$2:$E$33&gt;"",ROW($E$2:$E$33),ROW()+ROWS($E$2:$E$33))),ROW()-ROW($F$2:$F$33)+1),COLUMN($E$2:$E$33),4)))</f>
        <v>-----</v>
      </c>
      <c r="R11" s="204" t="str">
        <f t="array" aca="1" ref="R11" ca="1">IF(ROW()-ROW($G$2:$G$33)+1&gt;ROWS($F$2:$F$33)-COUNTBLANK($F$2:$F$33),"",INDIRECT(ADDRESS(SMALL((IF($F$2:$F$33&gt;"",ROW($F$2:$F$33),ROW()+ROWS($F$2:$F$33))),ROW()-ROW($G$2:$G$33)+1),COLUMN($F$2:$F$33),4)))</f>
        <v>≥ 90%</v>
      </c>
      <c r="S11" s="204" t="str">
        <f t="array" aca="1" ref="S11" ca="1">IF(ROW()-ROW($H$2:$H$33)+1&gt;ROWS($G$2:$G$33)-COUNTBLANK($G$2:$G$33),"",INDIRECT(ADDRESS(SMALL((IF($G$2:$G$33&lt;&gt;"",ROW($G$2:$G$33),ROW()+ROWS($G$2:$G$33))),ROW()-ROW($H$2:$H$33)+1),COLUMN($G$2:$G$33),4)))</f>
        <v>-----</v>
      </c>
      <c r="T11" s="297" t="str">
        <f t="array" aca="1" ref="T11" ca="1">IF(ROW()-ROW($I$2:$I$33)+1&gt;ROWS($H$2:$H$33)-COUNTBLANK($H$2:$H$33),"",INDIRECT(ADDRESS(SMALL((IF($H$2:$H$33&lt;&gt;"",ROW($H$2:$H$33),ROW()+ROWS($H$2:$H$33))),ROW()-ROW($I$2:$I$33)+1),COLUMN($H$2:$H$33),4)))</f>
        <v>-----</v>
      </c>
      <c r="U11" s="297" t="str">
        <f t="array" aca="1" ref="U11" ca="1">IF(ROW()-ROW($J$2:$J$33)+1&gt;ROWS($I$2:$I$33)-COUNTBLANK($I$2:$I$33),"",INDIRECT(ADDRESS(SMALL((IF($I$2:$I$33&lt;&gt;"",ROW($I$2:$I$33),ROW()+ROWS($I$2:$I$33))),ROW()-ROW($J$2:$J$33)+1),COLUMN($I$2:$I$33),4)))</f>
        <v>-----</v>
      </c>
      <c r="V11" s="279" t="str">
        <f t="array" aca="1" ref="V11" ca="1">IF(ROW()-ROW($K$2:$K$33)+1&gt;ROWS($J$2:$J$33)-COUNTBLANK($J$2:$J$33),"",INDIRECT(ADDRESS(SMALL((IF($J$2:$J$33&lt;&gt;"",ROW($J$2:$J$33),ROW()+ROWS($J$2:$J$33))),ROW()-ROW($K$2:$K$33)+1),COLUMN($J$2:$J$33),4)))</f>
        <v>n.d.</v>
      </c>
      <c r="W11" s="199" t="str">
        <f t="array" aca="1" ref="W11" ca="1">IF(ROW()-ROW($L$2:$L$33)+1&gt;ROWS($K$2:$K$33)-COUNTBLANK($K$2:$K$33),"",INDIRECT(ADDRESS(SMALL((IF($K$2:$K$33&lt;&gt;"",ROW($K$2:$K$33),ROW()+ROWS($K$2:$K$33))),ROW()-ROW($L$2:$L$33)+1),COLUMN($K$2:$K$33),4)))</f>
        <v>Unvollständig</v>
      </c>
      <c r="X11" s="278" t="str">
        <f t="array" aca="1" ref="X11" ca="1">IF(ROW()-ROW($M$2:$M$33)+1&gt;ROWS($L$2:$L$33)-COUNTBLANK($L$2:$L$33),"",INDIRECT(ADDRESS(SMALL((IF($L$2:$L$33&lt;&gt;"",ROW($L$2:$L$33),ROW()+ROWS($L$2:$L$33))),ROW()-ROW($M$2:$M$33)+1),COLUMN($L$2:$L$33),4)))</f>
        <v>-----</v>
      </c>
      <c r="Y11" s="278" t="str">
        <f t="array" aca="1" ref="Y11" ca="1">IF(ROW()-ROW($N$2:$N$33)+1&gt;ROWS($M$2:$M$33)-COUNTBLANK($M$2:$M$33),"",INDIRECT(ADDRESS(SMALL((IF($M$2:$M$33&lt;&gt;"",ROW($M$2:$M$33),ROW()+ROWS($M$2:$M$33))),ROW()-ROW($N$2:$N$33)+1),COLUMN($M$2:$M$33),4)))</f>
        <v>-----</v>
      </c>
    </row>
    <row r="12" spans="1:25" ht="54.95" customHeight="1" x14ac:dyDescent="0.25">
      <c r="A12" s="275" t="str">
        <f>IF('Kennzahlenbogen_(KB)'!P38=0,"",'Kennzahlenbogen_(KB)'!P38)</f>
        <v>Unvollständig</v>
      </c>
      <c r="B12" s="440">
        <v>11</v>
      </c>
      <c r="C12" s="34">
        <f>IF($A12="I.O.","",'Kennzahlenbogen_(KB)'!A38)</f>
        <v>10</v>
      </c>
      <c r="D12" s="123" t="str">
        <f>IF($A12="I.O.","",'Kennzahlenbogen_(KB)'!C38)</f>
        <v>RAS- und BRAF-Bestimmung zu Beginn Erstlinientherapie bei metastasiertem KRK</v>
      </c>
      <c r="E12" s="283" t="str">
        <f>IF(AND('Kennzahlenbogen_(KB)'!J38="",$A12&lt;&gt;"I.O."),"-----",IF($A12="I.O.","",'Kennzahlenbogen_(KB)'!J38))</f>
        <v>-----</v>
      </c>
      <c r="F12" s="299" t="str">
        <f>IF($A12="I.O.","",'Kennzahlenbogen_(KB)'!K38)</f>
        <v>≥ 50%</v>
      </c>
      <c r="G12" s="283" t="str">
        <f>IF(AND('Kennzahlenbogen_(KB)'!M38="",$A12&lt;&gt;"I.O."),"-----",IF($A12="I.O.","",'Kennzahlenbogen_(KB)'!M38))</f>
        <v>-----</v>
      </c>
      <c r="H12" s="298" t="str">
        <f>IF($A12="I.O.","",IF('Kennzahlenbogen_(KB)'!O38="","-----",'Kennzahlenbogen_(KB)'!O38))</f>
        <v>-----</v>
      </c>
      <c r="I12" s="298" t="str">
        <f>IF($A12="I.O.","",IF('Kennzahlenbogen_(KB)'!O39="","-----",'Kennzahlenbogen_(KB)'!O39))</f>
        <v>-----</v>
      </c>
      <c r="J12" s="276" t="str">
        <f>IF($A12="I.O.","",IF('Kennzahlenbogen_(KB)'!O40="","-----",'Kennzahlenbogen_(KB)'!O40))</f>
        <v>n.d.</v>
      </c>
      <c r="K12" s="230" t="str">
        <f>IF($A12="I.O.","",'Kennzahlenbogen_(KB)'!P38)</f>
        <v>Unvollständig</v>
      </c>
      <c r="L12" s="277" t="str">
        <f>IF(AND('Kennzahlenbogen_(KB)'!Q38="",$A12&lt;&gt;"I.O."),"-----",IF($A12="I.O.","",'Kennzahlenbogen_(KB)'!Q38))</f>
        <v>-----</v>
      </c>
      <c r="M12" s="277" t="str">
        <f>IF(AND('Kennzahlenbogen_(KB)'!R38="",$A12&lt;&gt;"I.O."),"-----",IF($A12="I.O.","",'Kennzahlenbogen_(KB)'!R38))</f>
        <v>-----</v>
      </c>
      <c r="O12" s="215">
        <f t="array" aca="1" ref="O12" ca="1">IF(ROW()-ROW($D$2:$D$33)+1&gt;ROWS($C$2:$C$33)-COUNTBLANK($C$2:$C$33),"",INDIRECT(ADDRESS(SMALL((IF($C$2:$C$33&lt;&gt;"",ROW($C$2:$C$33),ROW()+ROWS($C$2:$C$33))),ROW()-ROW($D$2:$D$33)+1),COLUMN($C$2:$C$33),4)))</f>
        <v>10</v>
      </c>
      <c r="P12" s="278" t="str">
        <f t="array" aca="1" ref="P12" ca="1">IF(ROW()-ROW($E$2:$E$33)+1&gt;ROWS($D$2:$D$33)-COUNTBLANK($D$2:$D$33),"",INDIRECT(ADDRESS(SMALL((IF($D$2:$D$33&gt;"",ROW($D$2:$D$33),ROW()+ROWS($D$2:$D$33))),ROW()-ROW($E$2:$E$33)+1),COLUMN($D$2:$D$33),4)))</f>
        <v>RAS- und BRAF-Bestimmung zu Beginn Erstlinientherapie bei metastasiertem KRK</v>
      </c>
      <c r="Q12" s="204" t="str">
        <f t="array" aca="1" ref="Q12" ca="1">IF(ROW()-ROW($F$2:$F$33)+1&gt;ROWS($E$2:$E$33)-COUNTBLANK($E$2:$E$33),"",INDIRECT(ADDRESS(SMALL((IF($E$2:$E$33&gt;"",ROW($E$2:$E$33),ROW()+ROWS($E$2:$E$33))),ROW()-ROW($F$2:$F$33)+1),COLUMN($E$2:$E$33),4)))</f>
        <v>-----</v>
      </c>
      <c r="R12" s="204" t="str">
        <f t="array" aca="1" ref="R12" ca="1">IF(ROW()-ROW($G$2:$G$33)+1&gt;ROWS($F$2:$F$33)-COUNTBLANK($F$2:$F$33),"",INDIRECT(ADDRESS(SMALL((IF($F$2:$F$33&gt;"",ROW($F$2:$F$33),ROW()+ROWS($F$2:$F$33))),ROW()-ROW($G$2:$G$33)+1),COLUMN($F$2:$F$33),4)))</f>
        <v>≥ 50%</v>
      </c>
      <c r="S12" s="204" t="str">
        <f t="array" aca="1" ref="S12" ca="1">IF(ROW()-ROW($H$2:$H$33)+1&gt;ROWS($G$2:$G$33)-COUNTBLANK($G$2:$G$33),"",INDIRECT(ADDRESS(SMALL((IF($G$2:$G$33&lt;&gt;"",ROW($G$2:$G$33),ROW()+ROWS($G$2:$G$33))),ROW()-ROW($H$2:$H$33)+1),COLUMN($G$2:$G$33),4)))</f>
        <v>-----</v>
      </c>
      <c r="T12" s="297" t="str">
        <f t="array" aca="1" ref="T12" ca="1">IF(ROW()-ROW($I$2:$I$33)+1&gt;ROWS($H$2:$H$33)-COUNTBLANK($H$2:$H$33),"",INDIRECT(ADDRESS(SMALL((IF($H$2:$H$33&lt;&gt;"",ROW($H$2:$H$33),ROW()+ROWS($H$2:$H$33))),ROW()-ROW($I$2:$I$33)+1),COLUMN($H$2:$H$33),4)))</f>
        <v>-----</v>
      </c>
      <c r="U12" s="297" t="str">
        <f t="array" aca="1" ref="U12" ca="1">IF(ROW()-ROW($J$2:$J$33)+1&gt;ROWS($I$2:$I$33)-COUNTBLANK($I$2:$I$33),"",INDIRECT(ADDRESS(SMALL((IF($I$2:$I$33&lt;&gt;"",ROW($I$2:$I$33),ROW()+ROWS($I$2:$I$33))),ROW()-ROW($J$2:$J$33)+1),COLUMN($I$2:$I$33),4)))</f>
        <v>-----</v>
      </c>
      <c r="V12" s="279" t="str">
        <f t="array" aca="1" ref="V12" ca="1">IF(ROW()-ROW($K$2:$K$33)+1&gt;ROWS($J$2:$J$33)-COUNTBLANK($J$2:$J$33),"",INDIRECT(ADDRESS(SMALL((IF($J$2:$J$33&lt;&gt;"",ROW($J$2:$J$33),ROW()+ROWS($J$2:$J$33))),ROW()-ROW($K$2:$K$33)+1),COLUMN($J$2:$J$33),4)))</f>
        <v>n.d.</v>
      </c>
      <c r="W12" s="199" t="str">
        <f t="array" aca="1" ref="W12" ca="1">IF(ROW()-ROW($L$2:$L$33)+1&gt;ROWS($K$2:$K$33)-COUNTBLANK($K$2:$K$33),"",INDIRECT(ADDRESS(SMALL((IF($K$2:$K$33&lt;&gt;"",ROW($K$2:$K$33),ROW()+ROWS($K$2:$K$33))),ROW()-ROW($L$2:$L$33)+1),COLUMN($K$2:$K$33),4)))</f>
        <v>Unvollständig</v>
      </c>
      <c r="X12" s="278" t="str">
        <f t="array" aca="1" ref="X12" ca="1">IF(ROW()-ROW($M$2:$M$33)+1&gt;ROWS($L$2:$L$33)-COUNTBLANK($L$2:$L$33),"",INDIRECT(ADDRESS(SMALL((IF($L$2:$L$33&lt;&gt;"",ROW($L$2:$L$33),ROW()+ROWS($L$2:$L$33))),ROW()-ROW($M$2:$M$33)+1),COLUMN($L$2:$L$33),4)))</f>
        <v>-----</v>
      </c>
      <c r="Y12" s="278" t="str">
        <f t="array" aca="1" ref="Y12" ca="1">IF(ROW()-ROW($N$2:$N$33)+1&gt;ROWS($M$2:$M$33)-COUNTBLANK($M$2:$M$33),"",INDIRECT(ADDRESS(SMALL((IF($M$2:$M$33&lt;&gt;"",ROW($M$2:$M$33),ROW()+ROWS($M$2:$M$33))),ROW()-ROW($N$2:$N$33)+1),COLUMN($M$2:$M$33),4)))</f>
        <v>-----</v>
      </c>
    </row>
    <row r="13" spans="1:25" ht="54.95" customHeight="1" x14ac:dyDescent="0.25">
      <c r="A13" s="275" t="str">
        <f>IF('Kennzahlenbogen_(KB)'!P41=0,"",'Kennzahlenbogen_(KB)'!P41)</f>
        <v>Unvollständig</v>
      </c>
      <c r="B13" s="440">
        <v>12</v>
      </c>
      <c r="C13" s="34">
        <f>IF($A13="I.O.","",'Kennzahlenbogen_(KB)'!A41)</f>
        <v>11</v>
      </c>
      <c r="D13" s="123" t="str">
        <f>IF($A13="I.O.","",'Kennzahlenbogen_(KB)'!C41)</f>
        <v>Komplikationsrate therapeutische Koloskopien</v>
      </c>
      <c r="E13" s="283" t="str">
        <f>IF(AND('Kennzahlenbogen_(KB)'!J41="",$A13&lt;&gt;"I.O."),"-----",IF($A13="I.O.","",'Kennzahlenbogen_(KB)'!J41))</f>
        <v>&lt; 0,01%</v>
      </c>
      <c r="F13" s="299" t="str">
        <f>IF($A13="I.O.","",'Kennzahlenbogen_(KB)'!K41)</f>
        <v>≤ 1%</v>
      </c>
      <c r="G13" s="283" t="str">
        <f>IF(AND('Kennzahlenbogen_(KB)'!M41="",$A13&lt;&gt;"I.O."),"-----",IF($A13="I.O.","",'Kennzahlenbogen_(KB)'!M41))</f>
        <v>-----</v>
      </c>
      <c r="H13" s="298" t="str">
        <f>IF($A13="I.O.","",IF('Kennzahlenbogen_(KB)'!O41="","-----",'Kennzahlenbogen_(KB)'!O41))</f>
        <v>-----</v>
      </c>
      <c r="I13" s="298" t="str">
        <f>IF($A13="I.O.","",IF('Kennzahlenbogen_(KB)'!O42="","-----",'Kennzahlenbogen_(KB)'!O42))</f>
        <v>-----</v>
      </c>
      <c r="J13" s="276" t="str">
        <f>IF($A13="I.O.","",IF('Kennzahlenbogen_(KB)'!O43="","-----",'Kennzahlenbogen_(KB)'!O43))</f>
        <v>n.d.</v>
      </c>
      <c r="K13" s="230" t="str">
        <f>IF($A13="I.O.","",'Kennzahlenbogen_(KB)'!P41)</f>
        <v>Unvollständig</v>
      </c>
      <c r="L13" s="277" t="str">
        <f>IF(AND('Kennzahlenbogen_(KB)'!Q41="",$A13&lt;&gt;"I.O."),"-----",IF($A13="I.O.","",'Kennzahlenbogen_(KB)'!Q41))</f>
        <v>-----</v>
      </c>
      <c r="M13" s="277" t="str">
        <f>IF(AND('Kennzahlenbogen_(KB)'!R41="",$A13&lt;&gt;"I.O."),"-----",IF($A13="I.O.","",'Kennzahlenbogen_(KB)'!R41))</f>
        <v>-----</v>
      </c>
      <c r="O13" s="215">
        <f t="array" aca="1" ref="O13" ca="1">IF(ROW()-ROW($D$2:$D$33)+1&gt;ROWS($C$2:$C$33)-COUNTBLANK($C$2:$C$33),"",INDIRECT(ADDRESS(SMALL((IF($C$2:$C$33&lt;&gt;"",ROW($C$2:$C$33),ROW()+ROWS($C$2:$C$33))),ROW()-ROW($D$2:$D$33)+1),COLUMN($C$2:$C$33),4)))</f>
        <v>11</v>
      </c>
      <c r="P13" s="278" t="str">
        <f t="array" aca="1" ref="P13" ca="1">IF(ROW()-ROW($E$2:$E$33)+1&gt;ROWS($D$2:$D$33)-COUNTBLANK($D$2:$D$33),"",INDIRECT(ADDRESS(SMALL((IF($D$2:$D$33&gt;"",ROW($D$2:$D$33),ROW()+ROWS($D$2:$D$33))),ROW()-ROW($E$2:$E$33)+1),COLUMN($D$2:$D$33),4)))</f>
        <v>Komplikationsrate therapeutische Koloskopien</v>
      </c>
      <c r="Q13" s="204" t="str">
        <f t="array" aca="1" ref="Q13" ca="1">IF(ROW()-ROW($F$2:$F$33)+1&gt;ROWS($E$2:$E$33)-COUNTBLANK($E$2:$E$33),"",INDIRECT(ADDRESS(SMALL((IF($E$2:$E$33&gt;"",ROW($E$2:$E$33),ROW()+ROWS($E$2:$E$33))),ROW()-ROW($F$2:$F$33)+1),COLUMN($E$2:$E$33),4)))</f>
        <v>&lt; 0,01%</v>
      </c>
      <c r="R13" s="204" t="str">
        <f t="array" aca="1" ref="R13" ca="1">IF(ROW()-ROW($G$2:$G$33)+1&gt;ROWS($F$2:$F$33)-COUNTBLANK($F$2:$F$33),"",INDIRECT(ADDRESS(SMALL((IF($F$2:$F$33&gt;"",ROW($F$2:$F$33),ROW()+ROWS($F$2:$F$33))),ROW()-ROW($G$2:$G$33)+1),COLUMN($F$2:$F$33),4)))</f>
        <v>≤ 1%</v>
      </c>
      <c r="S13" s="204" t="str">
        <f t="array" aca="1" ref="S13" ca="1">IF(ROW()-ROW($H$2:$H$33)+1&gt;ROWS($G$2:$G$33)-COUNTBLANK($G$2:$G$33),"",INDIRECT(ADDRESS(SMALL((IF($G$2:$G$33&lt;&gt;"",ROW($G$2:$G$33),ROW()+ROWS($G$2:$G$33))),ROW()-ROW($H$2:$H$33)+1),COLUMN($G$2:$G$33),4)))</f>
        <v>-----</v>
      </c>
      <c r="T13" s="297" t="str">
        <f t="array" aca="1" ref="T13" ca="1">IF(ROW()-ROW($I$2:$I$33)+1&gt;ROWS($H$2:$H$33)-COUNTBLANK($H$2:$H$33),"",INDIRECT(ADDRESS(SMALL((IF($H$2:$H$33&lt;&gt;"",ROW($H$2:$H$33),ROW()+ROWS($H$2:$H$33))),ROW()-ROW($I$2:$I$33)+1),COLUMN($H$2:$H$33),4)))</f>
        <v>-----</v>
      </c>
      <c r="U13" s="297" t="str">
        <f t="array" aca="1" ref="U13" ca="1">IF(ROW()-ROW($J$2:$J$33)+1&gt;ROWS($I$2:$I$33)-COUNTBLANK($I$2:$I$33),"",INDIRECT(ADDRESS(SMALL((IF($I$2:$I$33&lt;&gt;"",ROW($I$2:$I$33),ROW()+ROWS($I$2:$I$33))),ROW()-ROW($J$2:$J$33)+1),COLUMN($I$2:$I$33),4)))</f>
        <v>-----</v>
      </c>
      <c r="V13" s="279" t="str">
        <f t="array" aca="1" ref="V13" ca="1">IF(ROW()-ROW($K$2:$K$33)+1&gt;ROWS($J$2:$J$33)-COUNTBLANK($J$2:$J$33),"",INDIRECT(ADDRESS(SMALL((IF($J$2:$J$33&lt;&gt;"",ROW($J$2:$J$33),ROW()+ROWS($J$2:$J$33))),ROW()-ROW($K$2:$K$33)+1),COLUMN($J$2:$J$33),4)))</f>
        <v>n.d.</v>
      </c>
      <c r="W13" s="199" t="str">
        <f t="array" aca="1" ref="W13" ca="1">IF(ROW()-ROW($L$2:$L$33)+1&gt;ROWS($K$2:$K$33)-COUNTBLANK($K$2:$K$33),"",INDIRECT(ADDRESS(SMALL((IF($K$2:$K$33&lt;&gt;"",ROW($K$2:$K$33),ROW()+ROWS($K$2:$K$33))),ROW()-ROW($L$2:$L$33)+1),COLUMN($K$2:$K$33),4)))</f>
        <v>Unvollständig</v>
      </c>
      <c r="X13" s="278" t="str">
        <f t="array" aca="1" ref="X13" ca="1">IF(ROW()-ROW($M$2:$M$33)+1&gt;ROWS($L$2:$L$33)-COUNTBLANK($L$2:$L$33),"",INDIRECT(ADDRESS(SMALL((IF($L$2:$L$33&lt;&gt;"",ROW($L$2:$L$33),ROW()+ROWS($L$2:$L$33))),ROW()-ROW($M$2:$M$33)+1),COLUMN($L$2:$L$33),4)))</f>
        <v>-----</v>
      </c>
      <c r="Y13" s="278" t="str">
        <f t="array" aca="1" ref="Y13" ca="1">IF(ROW()-ROW($N$2:$N$33)+1&gt;ROWS($M$2:$M$33)-COUNTBLANK($M$2:$M$33),"",INDIRECT(ADDRESS(SMALL((IF($M$2:$M$33&lt;&gt;"",ROW($M$2:$M$33),ROW()+ROWS($M$2:$M$33))),ROW()-ROW($N$2:$N$33)+1),COLUMN($M$2:$M$33),4)))</f>
        <v>-----</v>
      </c>
    </row>
    <row r="14" spans="1:25" ht="54.95" customHeight="1" x14ac:dyDescent="0.25">
      <c r="A14" s="275" t="str">
        <f>IF('Kennzahlenbogen_(KB)'!P44=0,"",'Kennzahlenbogen_(KB)'!P44)</f>
        <v>Unvollständig</v>
      </c>
      <c r="B14" s="440">
        <v>13</v>
      </c>
      <c r="C14" s="495">
        <f>IF($A14="I.O.","",'Kennzahlenbogen_(KB)'!A44)</f>
        <v>12</v>
      </c>
      <c r="D14" s="123" t="str">
        <f>IF($A14="I.O.","",'Kennzahlenbogen_(KB)'!C44)</f>
        <v>Angabe Abstand mesorektale Faszie bei RK im unteren und mittleren Drittel</v>
      </c>
      <c r="E14" s="283" t="str">
        <f>IF(AND('Kennzahlenbogen_(KB)'!J44="",$A14&lt;&gt;"I.O."),"-----",IF($A14="I.O.","",'Kennzahlenbogen_(KB)'!J44))</f>
        <v>-----</v>
      </c>
      <c r="F14" s="299" t="str">
        <f>IF($A14="I.O.","",'Kennzahlenbogen_(KB)'!K44)</f>
        <v>≥ 90%</v>
      </c>
      <c r="G14" s="283" t="str">
        <f>IF(AND('Kennzahlenbogen_(KB)'!M44="",$A14&lt;&gt;"I.O."),"-----",IF($A14="I.O.","",'Kennzahlenbogen_(KB)'!M44))</f>
        <v>-----</v>
      </c>
      <c r="H14" s="298" t="str">
        <f>IF($A14="I.O.","",IF('Kennzahlenbogen_(KB)'!O44="","-----",'Kennzahlenbogen_(KB)'!O44))</f>
        <v>-----</v>
      </c>
      <c r="I14" s="298" t="str">
        <f>IF($A14="I.O.","",IF('Kennzahlenbogen_(KB)'!O45="","-----",'Kennzahlenbogen_(KB)'!O45))</f>
        <v>-----</v>
      </c>
      <c r="J14" s="276" t="str">
        <f>IF($A14="I.O.","",IF('Kennzahlenbogen_(KB)'!O46="","-----",'Kennzahlenbogen_(KB)'!O46))</f>
        <v>n.d.</v>
      </c>
      <c r="K14" s="230" t="str">
        <f>IF($A14="I.O.","",'Kennzahlenbogen_(KB)'!P44)</f>
        <v>Unvollständig</v>
      </c>
      <c r="L14" s="277" t="str">
        <f>IF(AND('Kennzahlenbogen_(KB)'!Q44="",$A14&lt;&gt;"I.O."),"-----",IF($A14="I.O.","",'Kennzahlenbogen_(KB)'!Q44))</f>
        <v>-----</v>
      </c>
      <c r="M14" s="277" t="str">
        <f>IF(AND('Kennzahlenbogen_(KB)'!R44="",$A14&lt;&gt;"I.O."),"-----",IF($A14="I.O.","",'Kennzahlenbogen_(KB)'!R44))</f>
        <v>-----</v>
      </c>
      <c r="O14" s="215">
        <f t="array" aca="1" ref="O14" ca="1">IF(ROW()-ROW($D$2:$D$33)+1&gt;ROWS($C$2:$C$33)-COUNTBLANK($C$2:$C$33),"",INDIRECT(ADDRESS(SMALL((IF($C$2:$C$33&lt;&gt;"",ROW($C$2:$C$33),ROW()+ROWS($C$2:$C$33))),ROW()-ROW($D$2:$D$33)+1),COLUMN($C$2:$C$33),4)))</f>
        <v>12</v>
      </c>
      <c r="P14" s="278" t="str">
        <f t="array" aca="1" ref="P14" ca="1">IF(ROW()-ROW($E$2:$E$33)+1&gt;ROWS($D$2:$D$33)-COUNTBLANK($D$2:$D$33),"",INDIRECT(ADDRESS(SMALL((IF($D$2:$D$33&gt;"",ROW($D$2:$D$33),ROW()+ROWS($D$2:$D$33))),ROW()-ROW($E$2:$E$33)+1),COLUMN($D$2:$D$33),4)))</f>
        <v>Angabe Abstand mesorektale Faszie bei RK im unteren und mittleren Drittel</v>
      </c>
      <c r="Q14" s="204" t="str">
        <f t="array" aca="1" ref="Q14" ca="1">IF(ROW()-ROW($F$2:$F$33)+1&gt;ROWS($E$2:$E$33)-COUNTBLANK($E$2:$E$33),"",INDIRECT(ADDRESS(SMALL((IF($E$2:$E$33&gt;"",ROW($E$2:$E$33),ROW()+ROWS($E$2:$E$33))),ROW()-ROW($F$2:$F$33)+1),COLUMN($E$2:$E$33),4)))</f>
        <v>-----</v>
      </c>
      <c r="R14" s="204" t="str">
        <f t="array" aca="1" ref="R14" ca="1">IF(ROW()-ROW($G$2:$G$33)+1&gt;ROWS($F$2:$F$33)-COUNTBLANK($F$2:$F$33),"",INDIRECT(ADDRESS(SMALL((IF($F$2:$F$33&gt;"",ROW($F$2:$F$33),ROW()+ROWS($F$2:$F$33))),ROW()-ROW($G$2:$G$33)+1),COLUMN($F$2:$F$33),4)))</f>
        <v>≥ 90%</v>
      </c>
      <c r="S14" s="204" t="str">
        <f t="array" aca="1" ref="S14" ca="1">IF(ROW()-ROW($H$2:$H$33)+1&gt;ROWS($G$2:$G$33)-COUNTBLANK($G$2:$G$33),"",INDIRECT(ADDRESS(SMALL((IF($G$2:$G$33&lt;&gt;"",ROW($G$2:$G$33),ROW()+ROWS($G$2:$G$33))),ROW()-ROW($H$2:$H$33)+1),COLUMN($G$2:$G$33),4)))</f>
        <v>-----</v>
      </c>
      <c r="T14" s="297" t="str">
        <f t="array" aca="1" ref="T14" ca="1">IF(ROW()-ROW($I$2:$I$33)+1&gt;ROWS($H$2:$H$33)-COUNTBLANK($H$2:$H$33),"",INDIRECT(ADDRESS(SMALL((IF($H$2:$H$33&lt;&gt;"",ROW($H$2:$H$33),ROW()+ROWS($H$2:$H$33))),ROW()-ROW($I$2:$I$33)+1),COLUMN($H$2:$H$33),4)))</f>
        <v>-----</v>
      </c>
      <c r="U14" s="297" t="str">
        <f t="array" aca="1" ref="U14" ca="1">IF(ROW()-ROW($J$2:$J$33)+1&gt;ROWS($I$2:$I$33)-COUNTBLANK($I$2:$I$33),"",INDIRECT(ADDRESS(SMALL((IF($I$2:$I$33&lt;&gt;"",ROW($I$2:$I$33),ROW()+ROWS($I$2:$I$33))),ROW()-ROW($J$2:$J$33)+1),COLUMN($I$2:$I$33),4)))</f>
        <v>-----</v>
      </c>
      <c r="V14" s="279" t="str">
        <f t="array" aca="1" ref="V14" ca="1">IF(ROW()-ROW($K$2:$K$33)+1&gt;ROWS($J$2:$J$33)-COUNTBLANK($J$2:$J$33),"",INDIRECT(ADDRESS(SMALL((IF($J$2:$J$33&lt;&gt;"",ROW($J$2:$J$33),ROW()+ROWS($J$2:$J$33))),ROW()-ROW($K$2:$K$33)+1),COLUMN($J$2:$J$33),4)))</f>
        <v>n.d.</v>
      </c>
      <c r="W14" s="199" t="str">
        <f t="array" aca="1" ref="W14" ca="1">IF(ROW()-ROW($L$2:$L$33)+1&gt;ROWS($K$2:$K$33)-COUNTBLANK($K$2:$K$33),"",INDIRECT(ADDRESS(SMALL((IF($K$2:$K$33&lt;&gt;"",ROW($K$2:$K$33),ROW()+ROWS($K$2:$K$33))),ROW()-ROW($L$2:$L$33)+1),COLUMN($K$2:$K$33),4)))</f>
        <v>Unvollständig</v>
      </c>
      <c r="X14" s="278" t="str">
        <f t="array" aca="1" ref="X14" ca="1">IF(ROW()-ROW($M$2:$M$33)+1&gt;ROWS($L$2:$L$33)-COUNTBLANK($L$2:$L$33),"",INDIRECT(ADDRESS(SMALL((IF($L$2:$L$33&lt;&gt;"",ROW($L$2:$L$33),ROW()+ROWS($L$2:$L$33))),ROW()-ROW($M$2:$M$33)+1),COLUMN($L$2:$L$33),4)))</f>
        <v>-----</v>
      </c>
      <c r="Y14" s="278" t="str">
        <f t="array" aca="1" ref="Y14" ca="1">IF(ROW()-ROW($N$2:$N$33)+1&gt;ROWS($M$2:$M$33)-COUNTBLANK($M$2:$M$33),"",INDIRECT(ADDRESS(SMALL((IF($M$2:$M$33&lt;&gt;"",ROW($M$2:$M$33),ROW()+ROWS($M$2:$M$33))),ROW()-ROW($N$2:$N$33)+1),COLUMN($M$2:$M$33),4)))</f>
        <v>-----</v>
      </c>
    </row>
    <row r="15" spans="1:25" ht="54.95" customHeight="1" x14ac:dyDescent="0.25">
      <c r="A15" s="275" t="str">
        <f>IF('Kennzahlenbogen_(KB)'!P47=0,"",'Kennzahlenbogen_(KB)'!P47)</f>
        <v>Unvollständig</v>
      </c>
      <c r="B15" s="440">
        <v>14</v>
      </c>
      <c r="C15" s="34">
        <f>IF($A15="I.O.","",'Kennzahlenbogen_(KB)'!A47)</f>
        <v>13</v>
      </c>
      <c r="D15" s="123" t="str">
        <f>IF($A15="I.O.","",'Kennzahlenbogen_(KB)'!C47)</f>
        <v>Operative Primärfälle Kolon</v>
      </c>
      <c r="E15" s="283" t="str">
        <f>IF(AND('Kennzahlenbogen_(KB)'!J47="",$A15&lt;&gt;"I.O."),"-----",IF($A15="I.O.","",'Kennzahlenbogen_(KB)'!J47))</f>
        <v>-----</v>
      </c>
      <c r="F15" s="299" t="str">
        <f>IF($A15="I.O.","",'Kennzahlenbogen_(KB)'!K47)</f>
        <v>≥ 30</v>
      </c>
      <c r="G15" s="283" t="str">
        <f>IF(AND('Kennzahlenbogen_(KB)'!M47="",$A15&lt;&gt;"I.O."),"-----",IF($A15="I.O.","",'Kennzahlenbogen_(KB)'!M47))</f>
        <v>-----</v>
      </c>
      <c r="H15" s="298">
        <f>IF($A15="I.O.","",IF('Kennzahlenbogen_(KB)'!O47="","-----",'Kennzahlenbogen_(KB)'!O47))</f>
        <v>0</v>
      </c>
      <c r="I15" s="298" t="str">
        <f>IF($A15="I.O.","","-----")</f>
        <v>-----</v>
      </c>
      <c r="J15" s="276" t="str">
        <f>IF($A15="I.O.","","-----")</f>
        <v>-----</v>
      </c>
      <c r="K15" s="230" t="str">
        <f>IF($A15="I.O.","",'Kennzahlenbogen_(KB)'!P47)</f>
        <v>Unvollständig</v>
      </c>
      <c r="L15" s="277" t="str">
        <f>IF(AND('Kennzahlenbogen_(KB)'!Q47="",$A15&lt;&gt;"I.O."),"-----",IF($A15="I.O.","",'Kennzahlenbogen_(KB)'!Q47))</f>
        <v>-----</v>
      </c>
      <c r="M15" s="277" t="str">
        <f>IF(AND('Kennzahlenbogen_(KB)'!R47="",$A15&lt;&gt;"I.O."),"-----",IF($A15="I.O.","",'Kennzahlenbogen_(KB)'!R47))</f>
        <v>-----</v>
      </c>
      <c r="O15" s="215">
        <f t="array" aca="1" ref="O15" ca="1">IF(ROW()-ROW($D$2:$D$33)+1&gt;ROWS($C$2:$C$33)-COUNTBLANK($C$2:$C$33),"",INDIRECT(ADDRESS(SMALL((IF($C$2:$C$33&lt;&gt;"",ROW($C$2:$C$33),ROW()+ROWS($C$2:$C$33))),ROW()-ROW($D$2:$D$33)+1),COLUMN($C$2:$C$33),4)))</f>
        <v>13</v>
      </c>
      <c r="P15" s="278" t="str">
        <f t="array" aca="1" ref="P15" ca="1">IF(ROW()-ROW($E$2:$E$33)+1&gt;ROWS($D$2:$D$33)-COUNTBLANK($D$2:$D$33),"",INDIRECT(ADDRESS(SMALL((IF($D$2:$D$33&gt;"",ROW($D$2:$D$33),ROW()+ROWS($D$2:$D$33))),ROW()-ROW($E$2:$E$33)+1),COLUMN($D$2:$D$33),4)))</f>
        <v>Operative Primärfälle Kolon</v>
      </c>
      <c r="Q15" s="204" t="str">
        <f t="array" aca="1" ref="Q15" ca="1">IF(ROW()-ROW($F$2:$F$33)+1&gt;ROWS($E$2:$E$33)-COUNTBLANK($E$2:$E$33),"",INDIRECT(ADDRESS(SMALL((IF($E$2:$E$33&gt;"",ROW($E$2:$E$33),ROW()+ROWS($E$2:$E$33))),ROW()-ROW($F$2:$F$33)+1),COLUMN($E$2:$E$33),4)))</f>
        <v>-----</v>
      </c>
      <c r="R15" s="204" t="str">
        <f t="array" aca="1" ref="R15" ca="1">IF(ROW()-ROW($G$2:$G$33)+1&gt;ROWS($F$2:$F$33)-COUNTBLANK($F$2:$F$33),"",INDIRECT(ADDRESS(SMALL((IF($F$2:$F$33&gt;"",ROW($F$2:$F$33),ROW()+ROWS($F$2:$F$33))),ROW()-ROW($G$2:$G$33)+1),COLUMN($F$2:$F$33),4)))</f>
        <v>≥ 30</v>
      </c>
      <c r="S15" s="204" t="str">
        <f t="array" aca="1" ref="S15" ca="1">IF(ROW()-ROW($H$2:$H$33)+1&gt;ROWS($G$2:$G$33)-COUNTBLANK($G$2:$G$33),"",INDIRECT(ADDRESS(SMALL((IF($G$2:$G$33&lt;&gt;"",ROW($G$2:$G$33),ROW()+ROWS($G$2:$G$33))),ROW()-ROW($H$2:$H$33)+1),COLUMN($G$2:$G$33),4)))</f>
        <v>-----</v>
      </c>
      <c r="T15" s="297">
        <f t="array" aca="1" ref="T15" ca="1">IF(ROW()-ROW($I$2:$I$33)+1&gt;ROWS($H$2:$H$33)-COUNTBLANK($H$2:$H$33),"",INDIRECT(ADDRESS(SMALL((IF($H$2:$H$33&lt;&gt;"",ROW($H$2:$H$33),ROW()+ROWS($H$2:$H$33))),ROW()-ROW($I$2:$I$33)+1),COLUMN($H$2:$H$33),4)))</f>
        <v>0</v>
      </c>
      <c r="U15" s="297" t="str">
        <f t="array" aca="1" ref="U15" ca="1">IF(ROW()-ROW($J$2:$J$33)+1&gt;ROWS($I$2:$I$33)-COUNTBLANK($I$2:$I$33),"",INDIRECT(ADDRESS(SMALL((IF($I$2:$I$33&lt;&gt;"",ROW($I$2:$I$33),ROW()+ROWS($I$2:$I$33))),ROW()-ROW($J$2:$J$33)+1),COLUMN($I$2:$I$33),4)))</f>
        <v>-----</v>
      </c>
      <c r="V15" s="279" t="str">
        <f t="array" aca="1" ref="V15" ca="1">IF(ROW()-ROW($K$2:$K$33)+1&gt;ROWS($J$2:$J$33)-COUNTBLANK($J$2:$J$33),"",INDIRECT(ADDRESS(SMALL((IF($J$2:$J$33&lt;&gt;"",ROW($J$2:$J$33),ROW()+ROWS($J$2:$J$33))),ROW()-ROW($K$2:$K$33)+1),COLUMN($J$2:$J$33),4)))</f>
        <v>-----</v>
      </c>
      <c r="W15" s="199" t="str">
        <f t="array" aca="1" ref="W15" ca="1">IF(ROW()-ROW($L$2:$L$33)+1&gt;ROWS($K$2:$K$33)-COUNTBLANK($K$2:$K$33),"",INDIRECT(ADDRESS(SMALL((IF($K$2:$K$33&lt;&gt;"",ROW($K$2:$K$33),ROW()+ROWS($K$2:$K$33))),ROW()-ROW($L$2:$L$33)+1),COLUMN($K$2:$K$33),4)))</f>
        <v>Unvollständig</v>
      </c>
      <c r="X15" s="278" t="str">
        <f t="array" aca="1" ref="X15" ca="1">IF(ROW()-ROW($M$2:$M$33)+1&gt;ROWS($L$2:$L$33)-COUNTBLANK($L$2:$L$33),"",INDIRECT(ADDRESS(SMALL((IF($L$2:$L$33&lt;&gt;"",ROW($L$2:$L$33),ROW()+ROWS($L$2:$L$33))),ROW()-ROW($M$2:$M$33)+1),COLUMN($L$2:$L$33),4)))</f>
        <v>-----</v>
      </c>
      <c r="Y15" s="278" t="str">
        <f t="array" aca="1" ref="Y15" ca="1">IF(ROW()-ROW($N$2:$N$33)+1&gt;ROWS($M$2:$M$33)-COUNTBLANK($M$2:$M$33),"",INDIRECT(ADDRESS(SMALL((IF($M$2:$M$33&lt;&gt;"",ROW($M$2:$M$33),ROW()+ROWS($M$2:$M$33))),ROW()-ROW($N$2:$N$33)+1),COLUMN($M$2:$M$33),4)))</f>
        <v>-----</v>
      </c>
    </row>
    <row r="16" spans="1:25" ht="54.95" customHeight="1" x14ac:dyDescent="0.25">
      <c r="A16" s="275" t="str">
        <f>IF('Kennzahlenbogen_(KB)'!P50=0,"",'Kennzahlenbogen_(KB)'!P50)</f>
        <v>Unvollständig</v>
      </c>
      <c r="B16" s="440">
        <v>15</v>
      </c>
      <c r="C16" s="34">
        <f>IF($A16="I.O.","",'Kennzahlenbogen_(KB)'!A50)</f>
        <v>14</v>
      </c>
      <c r="D16" s="123" t="str">
        <f>IF($A16="I.O.","",'Kennzahlenbogen_(KB)'!C50)</f>
        <v>Operative Primärfälle Rektum</v>
      </c>
      <c r="E16" s="283" t="str">
        <f>IF(AND('Kennzahlenbogen_(KB)'!J50="",$A16&lt;&gt;"I.O."),"-----",IF($A16="I.O.","",'Kennzahlenbogen_(KB)'!J50))</f>
        <v>-----</v>
      </c>
      <c r="F16" s="299" t="str">
        <f>IF($A16="I.O.","",'Kennzahlenbogen_(KB)'!K50)</f>
        <v>≥ 20</v>
      </c>
      <c r="G16" s="283" t="str">
        <f>IF(AND('Kennzahlenbogen_(KB)'!M50="",$A16&lt;&gt;"I.O."),"-----",IF($A16="I.O.","",'Kennzahlenbogen_(KB)'!M50))</f>
        <v>-----</v>
      </c>
      <c r="H16" s="298">
        <f>IF($A16="I.O.","",IF('Kennzahlenbogen_(KB)'!O50="","-----",'Kennzahlenbogen_(KB)'!O50))</f>
        <v>0</v>
      </c>
      <c r="I16" s="298" t="str">
        <f>IF($A16="I.O.","","-----")</f>
        <v>-----</v>
      </c>
      <c r="J16" s="276" t="str">
        <f>IF($A16="I.O.","","-----")</f>
        <v>-----</v>
      </c>
      <c r="K16" s="230" t="str">
        <f>IF($A16="I.O.","",'Kennzahlenbogen_(KB)'!P50)</f>
        <v>Unvollständig</v>
      </c>
      <c r="L16" s="277" t="str">
        <f>IF(AND('Kennzahlenbogen_(KB)'!Q50="",$A16&lt;&gt;"I.O."),"-----",IF($A16="I.O.","",'Kennzahlenbogen_(KB)'!Q50))</f>
        <v>-----</v>
      </c>
      <c r="M16" s="277" t="str">
        <f>IF(AND('Kennzahlenbogen_(KB)'!R50="",$A16&lt;&gt;"I.O."),"-----",IF($A16="I.O.","",'Kennzahlenbogen_(KB)'!R50))</f>
        <v>-----</v>
      </c>
      <c r="O16" s="215">
        <f t="array" aca="1" ref="O16" ca="1">IF(ROW()-ROW($D$2:$D$33)+1&gt;ROWS($C$2:$C$33)-COUNTBLANK($C$2:$C$33),"",INDIRECT(ADDRESS(SMALL((IF($C$2:$C$33&lt;&gt;"",ROW($C$2:$C$33),ROW()+ROWS($C$2:$C$33))),ROW()-ROW($D$2:$D$33)+1),COLUMN($C$2:$C$33),4)))</f>
        <v>14</v>
      </c>
      <c r="P16" s="278" t="str">
        <f t="array" aca="1" ref="P16" ca="1">IF(ROW()-ROW($E$2:$E$33)+1&gt;ROWS($D$2:$D$33)-COUNTBLANK($D$2:$D$33),"",INDIRECT(ADDRESS(SMALL((IF($D$2:$D$33&gt;"",ROW($D$2:$D$33),ROW()+ROWS($D$2:$D$33))),ROW()-ROW($E$2:$E$33)+1),COLUMN($D$2:$D$33),4)))</f>
        <v>Operative Primärfälle Rektum</v>
      </c>
      <c r="Q16" s="204" t="str">
        <f t="array" aca="1" ref="Q16" ca="1">IF(ROW()-ROW($F$2:$F$33)+1&gt;ROWS($E$2:$E$33)-COUNTBLANK($E$2:$E$33),"",INDIRECT(ADDRESS(SMALL((IF($E$2:$E$33&gt;"",ROW($E$2:$E$33),ROW()+ROWS($E$2:$E$33))),ROW()-ROW($F$2:$F$33)+1),COLUMN($E$2:$E$33),4)))</f>
        <v>-----</v>
      </c>
      <c r="R16" s="204" t="str">
        <f t="array" aca="1" ref="R16" ca="1">IF(ROW()-ROW($G$2:$G$33)+1&gt;ROWS($F$2:$F$33)-COUNTBLANK($F$2:$F$33),"",INDIRECT(ADDRESS(SMALL((IF($F$2:$F$33&gt;"",ROW($F$2:$F$33),ROW()+ROWS($F$2:$F$33))),ROW()-ROW($G$2:$G$33)+1),COLUMN($F$2:$F$33),4)))</f>
        <v>≥ 20</v>
      </c>
      <c r="S16" s="204" t="str">
        <f t="array" aca="1" ref="S16" ca="1">IF(ROW()-ROW($H$2:$H$33)+1&gt;ROWS($G$2:$G$33)-COUNTBLANK($G$2:$G$33),"",INDIRECT(ADDRESS(SMALL((IF($G$2:$G$33&lt;&gt;"",ROW($G$2:$G$33),ROW()+ROWS($G$2:$G$33))),ROW()-ROW($H$2:$H$33)+1),COLUMN($G$2:$G$33),4)))</f>
        <v>-----</v>
      </c>
      <c r="T16" s="297">
        <f t="array" aca="1" ref="T16" ca="1">IF(ROW()-ROW($I$2:$I$33)+1&gt;ROWS($H$2:$H$33)-COUNTBLANK($H$2:$H$33),"",INDIRECT(ADDRESS(SMALL((IF($H$2:$H$33&lt;&gt;"",ROW($H$2:$H$33),ROW()+ROWS($H$2:$H$33))),ROW()-ROW($I$2:$I$33)+1),COLUMN($H$2:$H$33),4)))</f>
        <v>0</v>
      </c>
      <c r="U16" s="297" t="str">
        <f t="array" aca="1" ref="U16" ca="1">IF(ROW()-ROW($J$2:$J$33)+1&gt;ROWS($I$2:$I$33)-COUNTBLANK($I$2:$I$33),"",INDIRECT(ADDRESS(SMALL((IF($I$2:$I$33&lt;&gt;"",ROW($I$2:$I$33),ROW()+ROWS($I$2:$I$33))),ROW()-ROW($J$2:$J$33)+1),COLUMN($I$2:$I$33),4)))</f>
        <v>-----</v>
      </c>
      <c r="V16" s="279" t="str">
        <f t="array" aca="1" ref="V16" ca="1">IF(ROW()-ROW($K$2:$K$33)+1&gt;ROWS($J$2:$J$33)-COUNTBLANK($J$2:$J$33),"",INDIRECT(ADDRESS(SMALL((IF($J$2:$J$33&lt;&gt;"",ROW($J$2:$J$33),ROW()+ROWS($J$2:$J$33))),ROW()-ROW($K$2:$K$33)+1),COLUMN($J$2:$J$33),4)))</f>
        <v>-----</v>
      </c>
      <c r="W16" s="199" t="str">
        <f t="array" aca="1" ref="W16" ca="1">IF(ROW()-ROW($L$2:$L$33)+1&gt;ROWS($K$2:$K$33)-COUNTBLANK($K$2:$K$33),"",INDIRECT(ADDRESS(SMALL((IF($K$2:$K$33&lt;&gt;"",ROW($K$2:$K$33),ROW()+ROWS($K$2:$K$33))),ROW()-ROW($L$2:$L$33)+1),COLUMN($K$2:$K$33),4)))</f>
        <v>Unvollständig</v>
      </c>
      <c r="X16" s="278" t="str">
        <f t="array" aca="1" ref="X16" ca="1">IF(ROW()-ROW($M$2:$M$33)+1&gt;ROWS($L$2:$L$33)-COUNTBLANK($L$2:$L$33),"",INDIRECT(ADDRESS(SMALL((IF($L$2:$L$33&lt;&gt;"",ROW($L$2:$L$33),ROW()+ROWS($L$2:$L$33))),ROW()-ROW($M$2:$M$33)+1),COLUMN($L$2:$L$33),4)))</f>
        <v>-----</v>
      </c>
      <c r="Y16" s="278" t="str">
        <f t="array" aca="1" ref="Y16" ca="1">IF(ROW()-ROW($N$2:$N$33)+1&gt;ROWS($M$2:$M$33)-COUNTBLANK($M$2:$M$33),"",INDIRECT(ADDRESS(SMALL((IF($M$2:$M$33&lt;&gt;"",ROW($M$2:$M$33),ROW()+ROWS($M$2:$M$33))),ROW()-ROW($N$2:$N$33)+1),COLUMN($M$2:$M$33),4)))</f>
        <v>-----</v>
      </c>
    </row>
    <row r="17" spans="1:25" ht="54.95" customHeight="1" x14ac:dyDescent="0.25">
      <c r="A17" s="275" t="str">
        <f>IF('Kennzahlenbogen_(KB)'!P53=0,"",'Kennzahlenbogen_(KB)'!P53)</f>
        <v>Unvollständig</v>
      </c>
      <c r="B17" s="440">
        <v>16</v>
      </c>
      <c r="C17" s="34">
        <f>IF($A17="I.O.","",'Kennzahlenbogen_(KB)'!A53)</f>
        <v>15</v>
      </c>
      <c r="D17" s="123" t="str">
        <f>IF($A17="I.O.","",'Kennzahlenbogen_(KB)'!C53)</f>
        <v>Revisions-OP's Kolon</v>
      </c>
      <c r="E17" s="283" t="str">
        <f>IF(AND('Kennzahlenbogen_(KB)'!J53="",$A17&lt;&gt;"I.O."),"-----",IF($A17="I.O.","",'Kennzahlenbogen_(KB)'!J53))</f>
        <v>&lt; 0,01%</v>
      </c>
      <c r="F17" s="299" t="str">
        <f>IF($A17="I.O.","",'Kennzahlenbogen_(KB)'!K53)</f>
        <v>≤ 15%</v>
      </c>
      <c r="G17" s="283" t="str">
        <f>IF(AND('Kennzahlenbogen_(KB)'!M53="",$A17&lt;&gt;"I.O."),"-----",IF($A17="I.O.","",'Kennzahlenbogen_(KB)'!M53))</f>
        <v>&gt;10%</v>
      </c>
      <c r="H17" s="298" t="str">
        <f>IF($A17="I.O.","",IF('Kennzahlenbogen_(KB)'!O53="","-----",'Kennzahlenbogen_(KB)'!O53))</f>
        <v>-----</v>
      </c>
      <c r="I17" s="298">
        <f>IF($A17="I.O.","",IF('Kennzahlenbogen_(KB)'!O54="","-----",'Kennzahlenbogen_(KB)'!O54))</f>
        <v>0</v>
      </c>
      <c r="J17" s="276" t="str">
        <f>IF($A17="I.O.","",IF('Kennzahlenbogen_(KB)'!O55="",0,'Kennzahlenbogen_(KB)'!O55))</f>
        <v>n.d.</v>
      </c>
      <c r="K17" s="230" t="str">
        <f>IF($A17="I.O.","",'Kennzahlenbogen_(KB)'!P53)</f>
        <v>Unvollständig</v>
      </c>
      <c r="L17" s="277" t="str">
        <f>IF(AND('Kennzahlenbogen_(KB)'!Q53="",$A17&lt;&gt;"I.O."),"-----",IF($A17="I.O.","",'Kennzahlenbogen_(KB)'!Q53))</f>
        <v>-----</v>
      </c>
      <c r="M17" s="277" t="str">
        <f>IF(AND('Kennzahlenbogen_(KB)'!R53="",$A17&lt;&gt;"I.O."),"-----",IF($A17="I.O.","",'Kennzahlenbogen_(KB)'!R53))</f>
        <v>-----</v>
      </c>
      <c r="O17" s="215">
        <f t="array" aca="1" ref="O17" ca="1">IF(ROW()-ROW($D$2:$D$33)+1&gt;ROWS($C$2:$C$33)-COUNTBLANK($C$2:$C$33),"",INDIRECT(ADDRESS(SMALL((IF($C$2:$C$33&lt;&gt;"",ROW($C$2:$C$33),ROW()+ROWS($C$2:$C$33))),ROW()-ROW($D$2:$D$33)+1),COLUMN($C$2:$C$33),4)))</f>
        <v>15</v>
      </c>
      <c r="P17" s="278" t="str">
        <f t="array" aca="1" ref="P17" ca="1">IF(ROW()-ROW($E$2:$E$33)+1&gt;ROWS($D$2:$D$33)-COUNTBLANK($D$2:$D$33),"",INDIRECT(ADDRESS(SMALL((IF($D$2:$D$33&gt;"",ROW($D$2:$D$33),ROW()+ROWS($D$2:$D$33))),ROW()-ROW($E$2:$E$33)+1),COLUMN($D$2:$D$33),4)))</f>
        <v>Revisions-OP's Kolon</v>
      </c>
      <c r="Q17" s="204" t="str">
        <f t="array" aca="1" ref="Q17" ca="1">IF(ROW()-ROW($F$2:$F$33)+1&gt;ROWS($E$2:$E$33)-COUNTBLANK($E$2:$E$33),"",INDIRECT(ADDRESS(SMALL((IF($E$2:$E$33&gt;"",ROW($E$2:$E$33),ROW()+ROWS($E$2:$E$33))),ROW()-ROW($F$2:$F$33)+1),COLUMN($E$2:$E$33),4)))</f>
        <v>&lt; 0,01%</v>
      </c>
      <c r="R17" s="204" t="str">
        <f t="array" aca="1" ref="R17" ca="1">IF(ROW()-ROW($G$2:$G$33)+1&gt;ROWS($F$2:$F$33)-COUNTBLANK($F$2:$F$33),"",INDIRECT(ADDRESS(SMALL((IF($F$2:$F$33&gt;"",ROW($F$2:$F$33),ROW()+ROWS($F$2:$F$33))),ROW()-ROW($G$2:$G$33)+1),COLUMN($F$2:$F$33),4)))</f>
        <v>≤ 15%</v>
      </c>
      <c r="S17" s="204" t="str">
        <f t="array" aca="1" ref="S17" ca="1">IF(ROW()-ROW($H$2:$H$33)+1&gt;ROWS($G$2:$G$33)-COUNTBLANK($G$2:$G$33),"",INDIRECT(ADDRESS(SMALL((IF($G$2:$G$33&lt;&gt;"",ROW($G$2:$G$33),ROW()+ROWS($G$2:$G$33))),ROW()-ROW($H$2:$H$33)+1),COLUMN($G$2:$G$33),4)))</f>
        <v>&gt;10%</v>
      </c>
      <c r="T17" s="297" t="str">
        <f t="array" aca="1" ref="T17" ca="1">IF(ROW()-ROW($I$2:$I$33)+1&gt;ROWS($H$2:$H$33)-COUNTBLANK($H$2:$H$33),"",INDIRECT(ADDRESS(SMALL((IF($H$2:$H$33&lt;&gt;"",ROW($H$2:$H$33),ROW()+ROWS($H$2:$H$33))),ROW()-ROW($I$2:$I$33)+1),COLUMN($H$2:$H$33),4)))</f>
        <v>-----</v>
      </c>
      <c r="U17" s="297">
        <f t="array" aca="1" ref="U17" ca="1">IF(ROW()-ROW($J$2:$J$33)+1&gt;ROWS($I$2:$I$33)-COUNTBLANK($I$2:$I$33),"",INDIRECT(ADDRESS(SMALL((IF($I$2:$I$33&lt;&gt;"",ROW($I$2:$I$33),ROW()+ROWS($I$2:$I$33))),ROW()-ROW($J$2:$J$33)+1),COLUMN($I$2:$I$33),4)))</f>
        <v>0</v>
      </c>
      <c r="V17" s="279" t="str">
        <f t="array" aca="1" ref="V17" ca="1">IF(ROW()-ROW($K$2:$K$33)+1&gt;ROWS($J$2:$J$33)-COUNTBLANK($J$2:$J$33),"",INDIRECT(ADDRESS(SMALL((IF($J$2:$J$33&lt;&gt;"",ROW($J$2:$J$33),ROW()+ROWS($J$2:$J$33))),ROW()-ROW($K$2:$K$33)+1),COLUMN($J$2:$J$33),4)))</f>
        <v>n.d.</v>
      </c>
      <c r="W17" s="199" t="str">
        <f t="array" aca="1" ref="W17" ca="1">IF(ROW()-ROW($L$2:$L$33)+1&gt;ROWS($K$2:$K$33)-COUNTBLANK($K$2:$K$33),"",INDIRECT(ADDRESS(SMALL((IF($K$2:$K$33&lt;&gt;"",ROW($K$2:$K$33),ROW()+ROWS($K$2:$K$33))),ROW()-ROW($L$2:$L$33)+1),COLUMN($K$2:$K$33),4)))</f>
        <v>Unvollständig</v>
      </c>
      <c r="X17" s="278" t="str">
        <f t="array" aca="1" ref="X17" ca="1">IF(ROW()-ROW($M$2:$M$33)+1&gt;ROWS($L$2:$L$33)-COUNTBLANK($L$2:$L$33),"",INDIRECT(ADDRESS(SMALL((IF($L$2:$L$33&lt;&gt;"",ROW($L$2:$L$33),ROW()+ROWS($L$2:$L$33))),ROW()-ROW($M$2:$M$33)+1),COLUMN($L$2:$L$33),4)))</f>
        <v>-----</v>
      </c>
      <c r="Y17" s="278" t="str">
        <f t="array" aca="1" ref="Y17" ca="1">IF(ROW()-ROW($N$2:$N$33)+1&gt;ROWS($M$2:$M$33)-COUNTBLANK($M$2:$M$33),"",INDIRECT(ADDRESS(SMALL((IF($M$2:$M$33&lt;&gt;"",ROW($M$2:$M$33),ROW()+ROWS($M$2:$M$33))),ROW()-ROW($N$2:$N$33)+1),COLUMN($M$2:$M$33),4)))</f>
        <v>-----</v>
      </c>
    </row>
    <row r="18" spans="1:25" ht="54.95" customHeight="1" x14ac:dyDescent="0.25">
      <c r="A18" s="275" t="str">
        <f>IF('Kennzahlenbogen_(KB)'!P56=0,"",'Kennzahlenbogen_(KB)'!P56)</f>
        <v>Unvollständig</v>
      </c>
      <c r="B18" s="440">
        <v>17</v>
      </c>
      <c r="C18" s="34">
        <f>IF($A18="I.O.","",'Kennzahlenbogen_(KB)'!A56)</f>
        <v>16</v>
      </c>
      <c r="D18" s="123" t="str">
        <f>IF($A18="I.O.","",'Kennzahlenbogen_(KB)'!C56)</f>
        <v xml:space="preserve">Revisions-OP's Rektum </v>
      </c>
      <c r="E18" s="283" t="str">
        <f>IF(AND('Kennzahlenbogen_(KB)'!J56="",$A18&lt;&gt;"I.O."),"-----",IF($A18="I.O.","",'Kennzahlenbogen_(KB)'!J56))</f>
        <v>&lt; 0,01%</v>
      </c>
      <c r="F18" s="299" t="str">
        <f>IF($A18="I.O.","",'Kennzahlenbogen_(KB)'!K56)</f>
        <v>≤ 15%</v>
      </c>
      <c r="G18" s="283" t="str">
        <f>IF(AND('Kennzahlenbogen_(KB)'!M56="",$A18&lt;&gt;"I.O."),"-----",IF($A18="I.O.","",'Kennzahlenbogen_(KB)'!M56))</f>
        <v>&gt;10%</v>
      </c>
      <c r="H18" s="298" t="str">
        <f>IF($A18="I.O.","",IF('Kennzahlenbogen_(KB)'!O56="","-----",'Kennzahlenbogen_(KB)'!O56))</f>
        <v>-----</v>
      </c>
      <c r="I18" s="298">
        <f>IF($A18="I.O.","",IF('Kennzahlenbogen_(KB)'!O57="","-----",'Kennzahlenbogen_(KB)'!O57))</f>
        <v>0</v>
      </c>
      <c r="J18" s="276" t="str">
        <f>IF($A18="I.O.","",IF('Kennzahlenbogen_(KB)'!O58="",0,'Kennzahlenbogen_(KB)'!O58))</f>
        <v>n.d.</v>
      </c>
      <c r="K18" s="230" t="str">
        <f>IF($A18="I.O.","",'Kennzahlenbogen_(KB)'!P56)</f>
        <v>Unvollständig</v>
      </c>
      <c r="L18" s="277" t="str">
        <f>IF(AND('Kennzahlenbogen_(KB)'!Q56="",$A18&lt;&gt;"I.O."),"-----",IF($A18="I.O.","",'Kennzahlenbogen_(KB)'!Q56))</f>
        <v>-----</v>
      </c>
      <c r="M18" s="277" t="str">
        <f>IF(AND('Kennzahlenbogen_(KB)'!R56="",$A18&lt;&gt;"I.O."),"-----",IF($A18="I.O.","",'Kennzahlenbogen_(KB)'!R56))</f>
        <v>-----</v>
      </c>
      <c r="O18" s="215">
        <f t="array" aca="1" ref="O18" ca="1">IF(ROW()-ROW($D$2:$D$33)+1&gt;ROWS($C$2:$C$33)-COUNTBLANK($C$2:$C$33),"",INDIRECT(ADDRESS(SMALL((IF($C$2:$C$33&lt;&gt;"",ROW($C$2:$C$33),ROW()+ROWS($C$2:$C$33))),ROW()-ROW($D$2:$D$33)+1),COLUMN($C$2:$C$33),4)))</f>
        <v>16</v>
      </c>
      <c r="P18" s="278" t="str">
        <f t="array" aca="1" ref="P18" ca="1">IF(ROW()-ROW($E$2:$E$33)+1&gt;ROWS($D$2:$D$33)-COUNTBLANK($D$2:$D$33),"",INDIRECT(ADDRESS(SMALL((IF($D$2:$D$33&gt;"",ROW($D$2:$D$33),ROW()+ROWS($D$2:$D$33))),ROW()-ROW($E$2:$E$33)+1),COLUMN($D$2:$D$33),4)))</f>
        <v xml:space="preserve">Revisions-OP's Rektum </v>
      </c>
      <c r="Q18" s="204" t="str">
        <f t="array" aca="1" ref="Q18" ca="1">IF(ROW()-ROW($F$2:$F$33)+1&gt;ROWS($E$2:$E$33)-COUNTBLANK($E$2:$E$33),"",INDIRECT(ADDRESS(SMALL((IF($E$2:$E$33&gt;"",ROW($E$2:$E$33),ROW()+ROWS($E$2:$E$33))),ROW()-ROW($F$2:$F$33)+1),COLUMN($E$2:$E$33),4)))</f>
        <v>&lt; 0,01%</v>
      </c>
      <c r="R18" s="204" t="str">
        <f t="array" aca="1" ref="R18" ca="1">IF(ROW()-ROW($G$2:$G$33)+1&gt;ROWS($F$2:$F$33)-COUNTBLANK($F$2:$F$33),"",INDIRECT(ADDRESS(SMALL((IF($F$2:$F$33&gt;"",ROW($F$2:$F$33),ROW()+ROWS($F$2:$F$33))),ROW()-ROW($G$2:$G$33)+1),COLUMN($F$2:$F$33),4)))</f>
        <v>≤ 15%</v>
      </c>
      <c r="S18" s="204" t="str">
        <f t="array" aca="1" ref="S18" ca="1">IF(ROW()-ROW($H$2:$H$33)+1&gt;ROWS($G$2:$G$33)-COUNTBLANK($G$2:$G$33),"",INDIRECT(ADDRESS(SMALL((IF($G$2:$G$33&lt;&gt;"",ROW($G$2:$G$33),ROW()+ROWS($G$2:$G$33))),ROW()-ROW($H$2:$H$33)+1),COLUMN($G$2:$G$33),4)))</f>
        <v>&gt;10%</v>
      </c>
      <c r="T18" s="297" t="str">
        <f t="array" aca="1" ref="T18" ca="1">IF(ROW()-ROW($I$2:$I$33)+1&gt;ROWS($H$2:$H$33)-COUNTBLANK($H$2:$H$33),"",INDIRECT(ADDRESS(SMALL((IF($H$2:$H$33&lt;&gt;"",ROW($H$2:$H$33),ROW()+ROWS($H$2:$H$33))),ROW()-ROW($I$2:$I$33)+1),COLUMN($H$2:$H$33),4)))</f>
        <v>-----</v>
      </c>
      <c r="U18" s="297">
        <f t="array" aca="1" ref="U18" ca="1">IF(ROW()-ROW($J$2:$J$33)+1&gt;ROWS($I$2:$I$33)-COUNTBLANK($I$2:$I$33),"",INDIRECT(ADDRESS(SMALL((IF($I$2:$I$33&lt;&gt;"",ROW($I$2:$I$33),ROW()+ROWS($I$2:$I$33))),ROW()-ROW($J$2:$J$33)+1),COLUMN($I$2:$I$33),4)))</f>
        <v>0</v>
      </c>
      <c r="V18" s="279" t="str">
        <f t="array" aca="1" ref="V18" ca="1">IF(ROW()-ROW($K$2:$K$33)+1&gt;ROWS($J$2:$J$33)-COUNTBLANK($J$2:$J$33),"",INDIRECT(ADDRESS(SMALL((IF($J$2:$J$33&lt;&gt;"",ROW($J$2:$J$33),ROW()+ROWS($J$2:$J$33))),ROW()-ROW($K$2:$K$33)+1),COLUMN($J$2:$J$33),4)))</f>
        <v>n.d.</v>
      </c>
      <c r="W18" s="199" t="str">
        <f t="array" aca="1" ref="W18" ca="1">IF(ROW()-ROW($L$2:$L$33)+1&gt;ROWS($K$2:$K$33)-COUNTBLANK($K$2:$K$33),"",INDIRECT(ADDRESS(SMALL((IF($K$2:$K$33&lt;&gt;"",ROW($K$2:$K$33),ROW()+ROWS($K$2:$K$33))),ROW()-ROW($L$2:$L$33)+1),COLUMN($K$2:$K$33),4)))</f>
        <v>Unvollständig</v>
      </c>
      <c r="X18" s="278" t="str">
        <f t="array" aca="1" ref="X18" ca="1">IF(ROW()-ROW($M$2:$M$33)+1&gt;ROWS($L$2:$L$33)-COUNTBLANK($L$2:$L$33),"",INDIRECT(ADDRESS(SMALL((IF($L$2:$L$33&lt;&gt;"",ROW($L$2:$L$33),ROW()+ROWS($L$2:$L$33))),ROW()-ROW($M$2:$M$33)+1),COLUMN($L$2:$L$33),4)))</f>
        <v>-----</v>
      </c>
      <c r="Y18" s="278" t="str">
        <f t="array" aca="1" ref="Y18" ca="1">IF(ROW()-ROW($N$2:$N$33)+1&gt;ROWS($M$2:$M$33)-COUNTBLANK($M$2:$M$33),"",INDIRECT(ADDRESS(SMALL((IF($M$2:$M$33&lt;&gt;"",ROW($M$2:$M$33),ROW()+ROWS($M$2:$M$33))),ROW()-ROW($N$2:$N$33)+1),COLUMN($M$2:$M$33),4)))</f>
        <v>-----</v>
      </c>
    </row>
    <row r="19" spans="1:25" ht="54.95" customHeight="1" x14ac:dyDescent="0.25">
      <c r="A19" s="275" t="str">
        <f>IF('Kennzahlenbogen_(KB)'!P59=0,"",'Kennzahlenbogen_(KB)'!P59)</f>
        <v>Unvollständig</v>
      </c>
      <c r="B19" s="440">
        <v>18</v>
      </c>
      <c r="C19" s="34">
        <f>IF($A19="I.O.","",'Kennzahlenbogen_(KB)'!A59)</f>
        <v>17</v>
      </c>
      <c r="D19" s="123" t="str">
        <f>IF($A19="I.O.","",'Kennzahlenbogen_(KB)'!C59)</f>
        <v xml:space="preserve">Anastomoseninsuffizienzen Kolon </v>
      </c>
      <c r="E19" s="283" t="str">
        <f>IF(AND('Kennzahlenbogen_(KB)'!J59="",$A19&lt;&gt;"I.O."),"-----",IF($A19="I.O.","",'Kennzahlenbogen_(KB)'!J59))</f>
        <v>&lt; 0,01%</v>
      </c>
      <c r="F19" s="299" t="str">
        <f>IF($A19="I.O.","",'Kennzahlenbogen_(KB)'!K59)</f>
        <v>≤ 6%</v>
      </c>
      <c r="G19" s="283" t="str">
        <f>IF(AND('Kennzahlenbogen_(KB)'!M59="",$A19&lt;&gt;"I.O."),"-----",IF($A19="I.O.","",'Kennzahlenbogen_(KB)'!M59))</f>
        <v>-----</v>
      </c>
      <c r="H19" s="298" t="str">
        <f>IF($A19="I.O.","",IF('Kennzahlenbogen_(KB)'!O59="","-----",'Kennzahlenbogen_(KB)'!O59))</f>
        <v>-----</v>
      </c>
      <c r="I19" s="298" t="str">
        <f>IF($A19="I.O.","",IF('Kennzahlenbogen_(KB)'!O60="","-----",'Kennzahlenbogen_(KB)'!O60))</f>
        <v>-----</v>
      </c>
      <c r="J19" s="276" t="str">
        <f>IF($A19="I.O.","",IF('Kennzahlenbogen_(KB)'!O61="",0,'Kennzahlenbogen_(KB)'!O61))</f>
        <v>n.d.</v>
      </c>
      <c r="K19" s="230" t="str">
        <f>IF($A19="I.O.","",'Kennzahlenbogen_(KB)'!P59)</f>
        <v>Unvollständig</v>
      </c>
      <c r="L19" s="277" t="str">
        <f>IF(AND('Kennzahlenbogen_(KB)'!Q59="",$A19&lt;&gt;"I.O."),"-----",IF($A19="I.O.","",'Kennzahlenbogen_(KB)'!Q59))</f>
        <v>-----</v>
      </c>
      <c r="M19" s="277" t="str">
        <f>IF(AND('Kennzahlenbogen_(KB)'!R59="",$A19&lt;&gt;"I.O."),"-----",IF($A19="I.O.","",'Kennzahlenbogen_(KB)'!R59))</f>
        <v>-----</v>
      </c>
      <c r="O19" s="215">
        <f t="array" aca="1" ref="O19" ca="1">IF(ROW()-ROW($D$2:$D$33)+1&gt;ROWS($C$2:$C$33)-COUNTBLANK($C$2:$C$33),"",INDIRECT(ADDRESS(SMALL((IF($C$2:$C$33&lt;&gt;"",ROW($C$2:$C$33),ROW()+ROWS($C$2:$C$33))),ROW()-ROW($D$2:$D$33)+1),COLUMN($C$2:$C$33),4)))</f>
        <v>17</v>
      </c>
      <c r="P19" s="278" t="str">
        <f t="array" aca="1" ref="P19" ca="1">IF(ROW()-ROW($E$2:$E$33)+1&gt;ROWS($D$2:$D$33)-COUNTBLANK($D$2:$D$33),"",INDIRECT(ADDRESS(SMALL((IF($D$2:$D$33&gt;"",ROW($D$2:$D$33),ROW()+ROWS($D$2:$D$33))),ROW()-ROW($E$2:$E$33)+1),COLUMN($D$2:$D$33),4)))</f>
        <v xml:space="preserve">Anastomoseninsuffizienzen Kolon </v>
      </c>
      <c r="Q19" s="204" t="str">
        <f t="array" aca="1" ref="Q19" ca="1">IF(ROW()-ROW($F$2:$F$33)+1&gt;ROWS($E$2:$E$33)-COUNTBLANK($E$2:$E$33),"",INDIRECT(ADDRESS(SMALL((IF($E$2:$E$33&gt;"",ROW($E$2:$E$33),ROW()+ROWS($E$2:$E$33))),ROW()-ROW($F$2:$F$33)+1),COLUMN($E$2:$E$33),4)))</f>
        <v>&lt; 0,01%</v>
      </c>
      <c r="R19" s="204" t="str">
        <f t="array" aca="1" ref="R19" ca="1">IF(ROW()-ROW($G$2:$G$33)+1&gt;ROWS($F$2:$F$33)-COUNTBLANK($F$2:$F$33),"",INDIRECT(ADDRESS(SMALL((IF($F$2:$F$33&gt;"",ROW($F$2:$F$33),ROW()+ROWS($F$2:$F$33))),ROW()-ROW($G$2:$G$33)+1),COLUMN($F$2:$F$33),4)))</f>
        <v>≤ 6%</v>
      </c>
      <c r="S19" s="204" t="str">
        <f t="array" aca="1" ref="S19" ca="1">IF(ROW()-ROW($H$2:$H$33)+1&gt;ROWS($G$2:$G$33)-COUNTBLANK($G$2:$G$33),"",INDIRECT(ADDRESS(SMALL((IF($G$2:$G$33&lt;&gt;"",ROW($G$2:$G$33),ROW()+ROWS($G$2:$G$33))),ROW()-ROW($H$2:$H$33)+1),COLUMN($G$2:$G$33),4)))</f>
        <v>-----</v>
      </c>
      <c r="T19" s="297" t="str">
        <f t="array" aca="1" ref="T19" ca="1">IF(ROW()-ROW($I$2:$I$33)+1&gt;ROWS($H$2:$H$33)-COUNTBLANK($H$2:$H$33),"",INDIRECT(ADDRESS(SMALL((IF($H$2:$H$33&lt;&gt;"",ROW($H$2:$H$33),ROW()+ROWS($H$2:$H$33))),ROW()-ROW($I$2:$I$33)+1),COLUMN($H$2:$H$33),4)))</f>
        <v>-----</v>
      </c>
      <c r="U19" s="297" t="str">
        <f t="array" aca="1" ref="U19" ca="1">IF(ROW()-ROW($J$2:$J$33)+1&gt;ROWS($I$2:$I$33)-COUNTBLANK($I$2:$I$33),"",INDIRECT(ADDRESS(SMALL((IF($I$2:$I$33&lt;&gt;"",ROW($I$2:$I$33),ROW()+ROWS($I$2:$I$33))),ROW()-ROW($J$2:$J$33)+1),COLUMN($I$2:$I$33),4)))</f>
        <v>-----</v>
      </c>
      <c r="V19" s="279" t="str">
        <f t="array" aca="1" ref="V19" ca="1">IF(ROW()-ROW($K$2:$K$33)+1&gt;ROWS($J$2:$J$33)-COUNTBLANK($J$2:$J$33),"",INDIRECT(ADDRESS(SMALL((IF($J$2:$J$33&lt;&gt;"",ROW($J$2:$J$33),ROW()+ROWS($J$2:$J$33))),ROW()-ROW($K$2:$K$33)+1),COLUMN($J$2:$J$33),4)))</f>
        <v>n.d.</v>
      </c>
      <c r="W19" s="199" t="str">
        <f t="array" aca="1" ref="W19" ca="1">IF(ROW()-ROW($L$2:$L$33)+1&gt;ROWS($K$2:$K$33)-COUNTBLANK($K$2:$K$33),"",INDIRECT(ADDRESS(SMALL((IF($K$2:$K$33&lt;&gt;"",ROW($K$2:$K$33),ROW()+ROWS($K$2:$K$33))),ROW()-ROW($L$2:$L$33)+1),COLUMN($K$2:$K$33),4)))</f>
        <v>Unvollständig</v>
      </c>
      <c r="X19" s="278" t="str">
        <f t="array" aca="1" ref="X19" ca="1">IF(ROW()-ROW($M$2:$M$33)+1&gt;ROWS($L$2:$L$33)-COUNTBLANK($L$2:$L$33),"",INDIRECT(ADDRESS(SMALL((IF($L$2:$L$33&lt;&gt;"",ROW($L$2:$L$33),ROW()+ROWS($L$2:$L$33))),ROW()-ROW($M$2:$M$33)+1),COLUMN($L$2:$L$33),4)))</f>
        <v>-----</v>
      </c>
      <c r="Y19" s="278" t="str">
        <f t="array" aca="1" ref="Y19" ca="1">IF(ROW()-ROW($N$2:$N$33)+1&gt;ROWS($M$2:$M$33)-COUNTBLANK($M$2:$M$33),"",INDIRECT(ADDRESS(SMALL((IF($M$2:$M$33&lt;&gt;"",ROW($M$2:$M$33),ROW()+ROWS($M$2:$M$33))),ROW()-ROW($N$2:$N$33)+1),COLUMN($M$2:$M$33),4)))</f>
        <v>-----</v>
      </c>
    </row>
    <row r="20" spans="1:25" ht="54.95" customHeight="1" x14ac:dyDescent="0.25">
      <c r="A20" s="275" t="str">
        <f>IF('Kennzahlenbogen_(KB)'!P62=0,"",'Kennzahlenbogen_(KB)'!P62)</f>
        <v>Unvollständig</v>
      </c>
      <c r="B20" s="440">
        <v>19</v>
      </c>
      <c r="C20" s="34">
        <f>IF($A20="I.O.","",'Kennzahlenbogen_(KB)'!A62)</f>
        <v>18</v>
      </c>
      <c r="D20" s="123" t="str">
        <f>IF($A20="I.O.","",'Kennzahlenbogen_(KB)'!C62)</f>
        <v>Anastomoseninsuffizienzen Rektum</v>
      </c>
      <c r="E20" s="283" t="str">
        <f>IF(AND('Kennzahlenbogen_(KB)'!J62="",$A20&lt;&gt;"I.O."),"-----",IF($A20="I.O.","",'Kennzahlenbogen_(KB)'!J62))</f>
        <v>&lt; 0,01%</v>
      </c>
      <c r="F20" s="299" t="str">
        <f>IF($A20="I.O.","",'Kennzahlenbogen_(KB)'!K62)</f>
        <v>≤ 15%</v>
      </c>
      <c r="G20" s="283" t="str">
        <f>IF(AND('Kennzahlenbogen_(KB)'!M62="",$A20&lt;&gt;"I.O."),"-----",IF($A20="I.O.","",'Kennzahlenbogen_(KB)'!M62))</f>
        <v>-----</v>
      </c>
      <c r="H20" s="298" t="str">
        <f>IF($A20="I.O.","",IF('Kennzahlenbogen_(KB)'!O62="","-----",'Kennzahlenbogen_(KB)'!O62))</f>
        <v>-----</v>
      </c>
      <c r="I20" s="298" t="str">
        <f>IF($A20="I.O.","",IF('Kennzahlenbogen_(KB)'!O63="","-----",'Kennzahlenbogen_(KB)'!O63))</f>
        <v>-----</v>
      </c>
      <c r="J20" s="276" t="str">
        <f>IF($A20="I.O.","",IF('Kennzahlenbogen_(KB)'!O64="",0,'Kennzahlenbogen_(KB)'!O64))</f>
        <v>n.d.</v>
      </c>
      <c r="K20" s="230" t="str">
        <f>IF($A20="I.O.","",'Kennzahlenbogen_(KB)'!P62)</f>
        <v>Unvollständig</v>
      </c>
      <c r="L20" s="277" t="str">
        <f>IF(AND('Kennzahlenbogen_(KB)'!Q62="",$A20&lt;&gt;"I.O."),"-----",IF($A20="I.O.","",'Kennzahlenbogen_(KB)'!Q62))</f>
        <v>-----</v>
      </c>
      <c r="M20" s="277" t="str">
        <f>IF(AND('Kennzahlenbogen_(KB)'!R62="",$A20&lt;&gt;"I.O."),"-----",IF($A20="I.O.","",'Kennzahlenbogen_(KB)'!R62))</f>
        <v>-----</v>
      </c>
      <c r="O20" s="215">
        <f t="array" aca="1" ref="O20" ca="1">IF(ROW()-ROW($D$2:$D$33)+1&gt;ROWS($C$2:$C$33)-COUNTBLANK($C$2:$C$33),"",INDIRECT(ADDRESS(SMALL((IF($C$2:$C$33&lt;&gt;"",ROW($C$2:$C$33),ROW()+ROWS($C$2:$C$33))),ROW()-ROW($D$2:$D$33)+1),COLUMN($C$2:$C$33),4)))</f>
        <v>18</v>
      </c>
      <c r="P20" s="278" t="str">
        <f t="array" aca="1" ref="P20" ca="1">IF(ROW()-ROW($E$2:$E$33)+1&gt;ROWS($D$2:$D$33)-COUNTBLANK($D$2:$D$33),"",INDIRECT(ADDRESS(SMALL((IF($D$2:$D$33&gt;"",ROW($D$2:$D$33),ROW()+ROWS($D$2:$D$33))),ROW()-ROW($E$2:$E$33)+1),COLUMN($D$2:$D$33),4)))</f>
        <v>Anastomoseninsuffizienzen Rektum</v>
      </c>
      <c r="Q20" s="204" t="str">
        <f t="array" aca="1" ref="Q20" ca="1">IF(ROW()-ROW($F$2:$F$33)+1&gt;ROWS($E$2:$E$33)-COUNTBLANK($E$2:$E$33),"",INDIRECT(ADDRESS(SMALL((IF($E$2:$E$33&gt;"",ROW($E$2:$E$33),ROW()+ROWS($E$2:$E$33))),ROW()-ROW($F$2:$F$33)+1),COLUMN($E$2:$E$33),4)))</f>
        <v>&lt; 0,01%</v>
      </c>
      <c r="R20" s="204" t="str">
        <f t="array" aca="1" ref="R20" ca="1">IF(ROW()-ROW($G$2:$G$33)+1&gt;ROWS($F$2:$F$33)-COUNTBLANK($F$2:$F$33),"",INDIRECT(ADDRESS(SMALL((IF($F$2:$F$33&gt;"",ROW($F$2:$F$33),ROW()+ROWS($F$2:$F$33))),ROW()-ROW($G$2:$G$33)+1),COLUMN($F$2:$F$33),4)))</f>
        <v>≤ 15%</v>
      </c>
      <c r="S20" s="204" t="str">
        <f t="array" aca="1" ref="S20" ca="1">IF(ROW()-ROW($H$2:$H$33)+1&gt;ROWS($G$2:$G$33)-COUNTBLANK($G$2:$G$33),"",INDIRECT(ADDRESS(SMALL((IF($G$2:$G$33&lt;&gt;"",ROW($G$2:$G$33),ROW()+ROWS($G$2:$G$33))),ROW()-ROW($H$2:$H$33)+1),COLUMN($G$2:$G$33),4)))</f>
        <v>-----</v>
      </c>
      <c r="T20" s="297" t="str">
        <f t="array" aca="1" ref="T20" ca="1">IF(ROW()-ROW($I$2:$I$33)+1&gt;ROWS($H$2:$H$33)-COUNTBLANK($H$2:$H$33),"",INDIRECT(ADDRESS(SMALL((IF($H$2:$H$33&lt;&gt;"",ROW($H$2:$H$33),ROW()+ROWS($H$2:$H$33))),ROW()-ROW($I$2:$I$33)+1),COLUMN($H$2:$H$33),4)))</f>
        <v>-----</v>
      </c>
      <c r="U20" s="297" t="str">
        <f t="array" aca="1" ref="U20" ca="1">IF(ROW()-ROW($J$2:$J$33)+1&gt;ROWS($I$2:$I$33)-COUNTBLANK($I$2:$I$33),"",INDIRECT(ADDRESS(SMALL((IF($I$2:$I$33&lt;&gt;"",ROW($I$2:$I$33),ROW()+ROWS($I$2:$I$33))),ROW()-ROW($J$2:$J$33)+1),COLUMN($I$2:$I$33),4)))</f>
        <v>-----</v>
      </c>
      <c r="V20" s="279" t="str">
        <f t="array" aca="1" ref="V20" ca="1">IF(ROW()-ROW($K$2:$K$33)+1&gt;ROWS($J$2:$J$33)-COUNTBLANK($J$2:$J$33),"",INDIRECT(ADDRESS(SMALL((IF($J$2:$J$33&lt;&gt;"",ROW($J$2:$J$33),ROW()+ROWS($J$2:$J$33))),ROW()-ROW($K$2:$K$33)+1),COLUMN($J$2:$J$33),4)))</f>
        <v>n.d.</v>
      </c>
      <c r="W20" s="199" t="str">
        <f t="array" aca="1" ref="W20" ca="1">IF(ROW()-ROW($L$2:$L$33)+1&gt;ROWS($K$2:$K$33)-COUNTBLANK($K$2:$K$33),"",INDIRECT(ADDRESS(SMALL((IF($K$2:$K$33&lt;&gt;"",ROW($K$2:$K$33),ROW()+ROWS($K$2:$K$33))),ROW()-ROW($L$2:$L$33)+1),COLUMN($K$2:$K$33),4)))</f>
        <v>Unvollständig</v>
      </c>
      <c r="X20" s="278" t="str">
        <f t="array" aca="1" ref="X20" ca="1">IF(ROW()-ROW($M$2:$M$33)+1&gt;ROWS($L$2:$L$33)-COUNTBLANK($L$2:$L$33),"",INDIRECT(ADDRESS(SMALL((IF($L$2:$L$33&lt;&gt;"",ROW($L$2:$L$33),ROW()+ROWS($L$2:$L$33))),ROW()-ROW($M$2:$M$33)+1),COLUMN($L$2:$L$33),4)))</f>
        <v>-----</v>
      </c>
      <c r="Y20" s="278" t="str">
        <f t="array" aca="1" ref="Y20" ca="1">IF(ROW()-ROW($N$2:$N$33)+1&gt;ROWS($M$2:$M$33)-COUNTBLANK($M$2:$M$33),"",INDIRECT(ADDRESS(SMALL((IF($M$2:$M$33&lt;&gt;"",ROW($M$2:$M$33),ROW()+ROWS($M$2:$M$33))),ROW()-ROW($N$2:$N$33)+1),COLUMN($M$2:$M$33),4)))</f>
        <v>-----</v>
      </c>
    </row>
    <row r="21" spans="1:25" ht="54.95" customHeight="1" x14ac:dyDescent="0.25">
      <c r="A21" s="275" t="str">
        <f>IF('Kennzahlenbogen_(KB)'!P65=0,"",'Kennzahlenbogen_(KB)'!P65)</f>
        <v>Unvollständig</v>
      </c>
      <c r="B21" s="440">
        <v>20</v>
      </c>
      <c r="C21" s="34">
        <f>IF($A21="I.O.","",'Kennzahlenbogen_(KB)'!A65)</f>
        <v>19</v>
      </c>
      <c r="D21" s="123" t="str">
        <f>IF($A21="I.O.","",'Kennzahlenbogen_(KB)'!C65)</f>
        <v>Mortalität postoperativ</v>
      </c>
      <c r="E21" s="283" t="str">
        <f>IF(AND('Kennzahlenbogen_(KB)'!J65="",$A21&lt;&gt;"I.O."),"-----",IF($A21="I.O.","",'Kennzahlenbogen_(KB)'!J65))</f>
        <v>&lt; 0,01%</v>
      </c>
      <c r="F21" s="299" t="str">
        <f>IF($A21="I.O.","",'Kennzahlenbogen_(KB)'!K65)</f>
        <v>≤ 5%</v>
      </c>
      <c r="G21" s="283" t="str">
        <f>IF(AND('Kennzahlenbogen_(KB)'!M65="",$A21&lt;&gt;"I.O."),"-----",IF($A21="I.O.","",'Kennzahlenbogen_(KB)'!M65))</f>
        <v>-----</v>
      </c>
      <c r="H21" s="298" t="str">
        <f>IF($A21="I.O.","",IF('Kennzahlenbogen_(KB)'!O65="","-----",'Kennzahlenbogen_(KB)'!O65))</f>
        <v>-----</v>
      </c>
      <c r="I21" s="298">
        <f>IF($A21="I.O.","",IF('Kennzahlenbogen_(KB)'!O66="","-----",'Kennzahlenbogen_(KB)'!O66))</f>
        <v>0</v>
      </c>
      <c r="J21" s="276" t="str">
        <f>IF($A21="I.O.","",IF('Kennzahlenbogen_(KB)'!O67="",0,'Kennzahlenbogen_(KB)'!O67))</f>
        <v>n.d.</v>
      </c>
      <c r="K21" s="230" t="str">
        <f>IF($A21="I.O.","",'Kennzahlenbogen_(KB)'!P65)</f>
        <v>Unvollständig</v>
      </c>
      <c r="L21" s="277" t="str">
        <f>IF(AND('Kennzahlenbogen_(KB)'!Q65="",$A21&lt;&gt;"I.O."),"-----",IF($A21="I.O.","",'Kennzahlenbogen_(KB)'!Q65))</f>
        <v>-----</v>
      </c>
      <c r="M21" s="277" t="str">
        <f>IF(AND('Kennzahlenbogen_(KB)'!R65="",$A21&lt;&gt;"I.O."),"-----",IF($A21="I.O.","",'Kennzahlenbogen_(KB)'!R65))</f>
        <v>-----</v>
      </c>
      <c r="O21" s="215">
        <f t="array" aca="1" ref="O21" ca="1">IF(ROW()-ROW($D$2:$D$33)+1&gt;ROWS($C$2:$C$33)-COUNTBLANK($C$2:$C$33),"",INDIRECT(ADDRESS(SMALL((IF($C$2:$C$33&lt;&gt;"",ROW($C$2:$C$33),ROW()+ROWS($C$2:$C$33))),ROW()-ROW($D$2:$D$33)+1),COLUMN($C$2:$C$33),4)))</f>
        <v>19</v>
      </c>
      <c r="P21" s="278" t="str">
        <f t="array" aca="1" ref="P21" ca="1">IF(ROW()-ROW($E$2:$E$33)+1&gt;ROWS($D$2:$D$33)-COUNTBLANK($D$2:$D$33),"",INDIRECT(ADDRESS(SMALL((IF($D$2:$D$33&gt;"",ROW($D$2:$D$33),ROW()+ROWS($D$2:$D$33))),ROW()-ROW($E$2:$E$33)+1),COLUMN($D$2:$D$33),4)))</f>
        <v>Mortalität postoperativ</v>
      </c>
      <c r="Q21" s="204" t="str">
        <f t="array" aca="1" ref="Q21" ca="1">IF(ROW()-ROW($F$2:$F$33)+1&gt;ROWS($E$2:$E$33)-COUNTBLANK($E$2:$E$33),"",INDIRECT(ADDRESS(SMALL((IF($E$2:$E$33&gt;"",ROW($E$2:$E$33),ROW()+ROWS($E$2:$E$33))),ROW()-ROW($F$2:$F$33)+1),COLUMN($E$2:$E$33),4)))</f>
        <v>&lt; 0,01%</v>
      </c>
      <c r="R21" s="204" t="str">
        <f t="array" aca="1" ref="R21" ca="1">IF(ROW()-ROW($G$2:$G$33)+1&gt;ROWS($F$2:$F$33)-COUNTBLANK($F$2:$F$33),"",INDIRECT(ADDRESS(SMALL((IF($F$2:$F$33&gt;"",ROW($F$2:$F$33),ROW()+ROWS($F$2:$F$33))),ROW()-ROW($G$2:$G$33)+1),COLUMN($F$2:$F$33),4)))</f>
        <v>≤ 5%</v>
      </c>
      <c r="S21" s="204" t="str">
        <f t="array" aca="1" ref="S21" ca="1">IF(ROW()-ROW($H$2:$H$33)+1&gt;ROWS($G$2:$G$33)-COUNTBLANK($G$2:$G$33),"",INDIRECT(ADDRESS(SMALL((IF($G$2:$G$33&lt;&gt;"",ROW($G$2:$G$33),ROW()+ROWS($G$2:$G$33))),ROW()-ROW($H$2:$H$33)+1),COLUMN($G$2:$G$33),4)))</f>
        <v>-----</v>
      </c>
      <c r="T21" s="297" t="str">
        <f t="array" aca="1" ref="T21" ca="1">IF(ROW()-ROW($I$2:$I$33)+1&gt;ROWS($H$2:$H$33)-COUNTBLANK($H$2:$H$33),"",INDIRECT(ADDRESS(SMALL((IF($H$2:$H$33&lt;&gt;"",ROW($H$2:$H$33),ROW()+ROWS($H$2:$H$33))),ROW()-ROW($I$2:$I$33)+1),COLUMN($H$2:$H$33),4)))</f>
        <v>-----</v>
      </c>
      <c r="U21" s="297">
        <f t="array" aca="1" ref="U21" ca="1">IF(ROW()-ROW($J$2:$J$33)+1&gt;ROWS($I$2:$I$33)-COUNTBLANK($I$2:$I$33),"",INDIRECT(ADDRESS(SMALL((IF($I$2:$I$33&lt;&gt;"",ROW($I$2:$I$33),ROW()+ROWS($I$2:$I$33))),ROW()-ROW($J$2:$J$33)+1),COLUMN($I$2:$I$33),4)))</f>
        <v>0</v>
      </c>
      <c r="V21" s="279" t="str">
        <f t="array" aca="1" ref="V21" ca="1">IF(ROW()-ROW($K$2:$K$33)+1&gt;ROWS($J$2:$J$33)-COUNTBLANK($J$2:$J$33),"",INDIRECT(ADDRESS(SMALL((IF($J$2:$J$33&lt;&gt;"",ROW($J$2:$J$33),ROW()+ROWS($J$2:$J$33))),ROW()-ROW($K$2:$K$33)+1),COLUMN($J$2:$J$33),4)))</f>
        <v>n.d.</v>
      </c>
      <c r="W21" s="199" t="str">
        <f t="array" aca="1" ref="W21" ca="1">IF(ROW()-ROW($L$2:$L$33)+1&gt;ROWS($K$2:$K$33)-COUNTBLANK($K$2:$K$33),"",INDIRECT(ADDRESS(SMALL((IF($K$2:$K$33&lt;&gt;"",ROW($K$2:$K$33),ROW()+ROWS($K$2:$K$33))),ROW()-ROW($L$2:$L$33)+1),COLUMN($K$2:$K$33),4)))</f>
        <v>Unvollständig</v>
      </c>
      <c r="X21" s="278" t="str">
        <f t="array" aca="1" ref="X21" ca="1">IF(ROW()-ROW($M$2:$M$33)+1&gt;ROWS($L$2:$L$33)-COUNTBLANK($L$2:$L$33),"",INDIRECT(ADDRESS(SMALL((IF($L$2:$L$33&lt;&gt;"",ROW($L$2:$L$33),ROW()+ROWS($L$2:$L$33))),ROW()-ROW($M$2:$M$33)+1),COLUMN($L$2:$L$33),4)))</f>
        <v>-----</v>
      </c>
      <c r="Y21" s="278" t="str">
        <f t="array" aca="1" ref="Y21" ca="1">IF(ROW()-ROW($N$2:$N$33)+1&gt;ROWS($M$2:$M$33)-COUNTBLANK($M$2:$M$33),"",INDIRECT(ADDRESS(SMALL((IF($M$2:$M$33&lt;&gt;"",ROW($M$2:$M$33),ROW()+ROWS($M$2:$M$33))),ROW()-ROW($N$2:$N$33)+1),COLUMN($M$2:$M$33),4)))</f>
        <v>-----</v>
      </c>
    </row>
    <row r="22" spans="1:25" ht="54.95" customHeight="1" x14ac:dyDescent="0.25">
      <c r="A22" s="275" t="str">
        <f>IF('Kennzahlenbogen_(KB)'!P68=0,"",'Kennzahlenbogen_(KB)'!P68)</f>
        <v>Unvollständig</v>
      </c>
      <c r="B22" s="440">
        <v>21</v>
      </c>
      <c r="C22" s="34">
        <f>IF($A22="I.O.","",'Kennzahlenbogen_(KB)'!A68)</f>
        <v>20</v>
      </c>
      <c r="D22" s="123" t="str">
        <f>IF($A22="I.O.","",'Kennzahlenbogen_(KB)'!C68)</f>
        <v>Lokale R0-Resektionen Rektum</v>
      </c>
      <c r="E22" s="283" t="str">
        <f>IF(AND('Kennzahlenbogen_(KB)'!J68="",$A22&lt;&gt;"I.O."),"-----",IF($A22="I.O.","",'Kennzahlenbogen_(KB)'!J68))</f>
        <v>-----</v>
      </c>
      <c r="F22" s="299" t="str">
        <f>IF($A22="I.O.","",'Kennzahlenbogen_(KB)'!K68)</f>
        <v>≥ 90%</v>
      </c>
      <c r="G22" s="283" t="str">
        <f>IF(AND('Kennzahlenbogen_(KB)'!M68="",$A22&lt;&gt;"I.O."),"-----",IF($A22="I.O.","",'Kennzahlenbogen_(KB)'!M68))</f>
        <v>-----</v>
      </c>
      <c r="H22" s="298" t="str">
        <f>IF($A22="I.O.","",IF('Kennzahlenbogen_(KB)'!O68="","-----",'Kennzahlenbogen_(KB)'!O68))</f>
        <v>-----</v>
      </c>
      <c r="I22" s="298">
        <f>IF($A22="I.O.","",IF('Kennzahlenbogen_(KB)'!O69="","-----",'Kennzahlenbogen_(KB)'!O69))</f>
        <v>0</v>
      </c>
      <c r="J22" s="276" t="str">
        <f>IF($A22="I.O.","",IF('Kennzahlenbogen_(KB)'!O70="",0,'Kennzahlenbogen_(KB)'!O70))</f>
        <v>n.d.</v>
      </c>
      <c r="K22" s="230" t="str">
        <f>IF($A22="I.O.","",'Kennzahlenbogen_(KB)'!P68)</f>
        <v>Unvollständig</v>
      </c>
      <c r="L22" s="277" t="str">
        <f>IF(AND('Kennzahlenbogen_(KB)'!Q68="",$A22&lt;&gt;"I.O."),"-----",IF($A22="I.O.","",'Kennzahlenbogen_(KB)'!Q68))</f>
        <v>-----</v>
      </c>
      <c r="M22" s="277" t="str">
        <f>IF(AND('Kennzahlenbogen_(KB)'!R68="",$A22&lt;&gt;"I.O."),"-----",IF($A22="I.O.","",'Kennzahlenbogen_(KB)'!R68))</f>
        <v>-----</v>
      </c>
      <c r="O22" s="215">
        <f t="array" aca="1" ref="O22" ca="1">IF(ROW()-ROW($D$2:$D$33)+1&gt;ROWS($C$2:$C$33)-COUNTBLANK($C$2:$C$33),"",INDIRECT(ADDRESS(SMALL((IF($C$2:$C$33&lt;&gt;"",ROW($C$2:$C$33),ROW()+ROWS($C$2:$C$33))),ROW()-ROW($D$2:$D$33)+1),COLUMN($C$2:$C$33),4)))</f>
        <v>20</v>
      </c>
      <c r="P22" s="278" t="str">
        <f t="array" aca="1" ref="P22" ca="1">IF(ROW()-ROW($E$2:$E$33)+1&gt;ROWS($D$2:$D$33)-COUNTBLANK($D$2:$D$33),"",INDIRECT(ADDRESS(SMALL((IF($D$2:$D$33&gt;"",ROW($D$2:$D$33),ROW()+ROWS($D$2:$D$33))),ROW()-ROW($E$2:$E$33)+1),COLUMN($D$2:$D$33),4)))</f>
        <v>Lokale R0-Resektionen Rektum</v>
      </c>
      <c r="Q22" s="204" t="str">
        <f t="array" aca="1" ref="Q22" ca="1">IF(ROW()-ROW($F$2:$F$33)+1&gt;ROWS($E$2:$E$33)-COUNTBLANK($E$2:$E$33),"",INDIRECT(ADDRESS(SMALL((IF($E$2:$E$33&gt;"",ROW($E$2:$E$33),ROW()+ROWS($E$2:$E$33))),ROW()-ROW($F$2:$F$33)+1),COLUMN($E$2:$E$33),4)))</f>
        <v>-----</v>
      </c>
      <c r="R22" s="204" t="str">
        <f t="array" aca="1" ref="R22" ca="1">IF(ROW()-ROW($G$2:$G$33)+1&gt;ROWS($F$2:$F$33)-COUNTBLANK($F$2:$F$33),"",INDIRECT(ADDRESS(SMALL((IF($F$2:$F$33&gt;"",ROW($F$2:$F$33),ROW()+ROWS($F$2:$F$33))),ROW()-ROW($G$2:$G$33)+1),COLUMN($F$2:$F$33),4)))</f>
        <v>≥ 90%</v>
      </c>
      <c r="S22" s="204" t="str">
        <f t="array" aca="1" ref="S22" ca="1">IF(ROW()-ROW($H$2:$H$33)+1&gt;ROWS($G$2:$G$33)-COUNTBLANK($G$2:$G$33),"",INDIRECT(ADDRESS(SMALL((IF($G$2:$G$33&lt;&gt;"",ROW($G$2:$G$33),ROW()+ROWS($G$2:$G$33))),ROW()-ROW($H$2:$H$33)+1),COLUMN($G$2:$G$33),4)))</f>
        <v>-----</v>
      </c>
      <c r="T22" s="297" t="str">
        <f t="array" aca="1" ref="T22" ca="1">IF(ROW()-ROW($I$2:$I$33)+1&gt;ROWS($H$2:$H$33)-COUNTBLANK($H$2:$H$33),"",INDIRECT(ADDRESS(SMALL((IF($H$2:$H$33&lt;&gt;"",ROW($H$2:$H$33),ROW()+ROWS($H$2:$H$33))),ROW()-ROW($I$2:$I$33)+1),COLUMN($H$2:$H$33),4)))</f>
        <v>-----</v>
      </c>
      <c r="U22" s="297">
        <f t="array" aca="1" ref="U22" ca="1">IF(ROW()-ROW($J$2:$J$33)+1&gt;ROWS($I$2:$I$33)-COUNTBLANK($I$2:$I$33),"",INDIRECT(ADDRESS(SMALL((IF($I$2:$I$33&lt;&gt;"",ROW($I$2:$I$33),ROW()+ROWS($I$2:$I$33))),ROW()-ROW($J$2:$J$33)+1),COLUMN($I$2:$I$33),4)))</f>
        <v>0</v>
      </c>
      <c r="V22" s="279" t="str">
        <f t="array" aca="1" ref="V22" ca="1">IF(ROW()-ROW($K$2:$K$33)+1&gt;ROWS($J$2:$J$33)-COUNTBLANK($J$2:$J$33),"",INDIRECT(ADDRESS(SMALL((IF($J$2:$J$33&lt;&gt;"",ROW($J$2:$J$33),ROW()+ROWS($J$2:$J$33))),ROW()-ROW($K$2:$K$33)+1),COLUMN($J$2:$J$33),4)))</f>
        <v>n.d.</v>
      </c>
      <c r="W22" s="199" t="str">
        <f t="array" aca="1" ref="W22" ca="1">IF(ROW()-ROW($L$2:$L$33)+1&gt;ROWS($K$2:$K$33)-COUNTBLANK($K$2:$K$33),"",INDIRECT(ADDRESS(SMALL((IF($K$2:$K$33&lt;&gt;"",ROW($K$2:$K$33),ROW()+ROWS($K$2:$K$33))),ROW()-ROW($L$2:$L$33)+1),COLUMN($K$2:$K$33),4)))</f>
        <v>Unvollständig</v>
      </c>
      <c r="X22" s="278" t="str">
        <f t="array" aca="1" ref="X22" ca="1">IF(ROW()-ROW($M$2:$M$33)+1&gt;ROWS($L$2:$L$33)-COUNTBLANK($L$2:$L$33),"",INDIRECT(ADDRESS(SMALL((IF($L$2:$L$33&lt;&gt;"",ROW($L$2:$L$33),ROW()+ROWS($L$2:$L$33))),ROW()-ROW($M$2:$M$33)+1),COLUMN($L$2:$L$33),4)))</f>
        <v>-----</v>
      </c>
      <c r="Y22" s="278" t="str">
        <f t="array" aca="1" ref="Y22" ca="1">IF(ROW()-ROW($N$2:$N$33)+1&gt;ROWS($M$2:$M$33)-COUNTBLANK($M$2:$M$33),"",INDIRECT(ADDRESS(SMALL((IF($M$2:$M$33&lt;&gt;"",ROW($M$2:$M$33),ROW()+ROWS($M$2:$M$33))),ROW()-ROW($N$2:$N$33)+1),COLUMN($M$2:$M$33),4)))</f>
        <v>-----</v>
      </c>
    </row>
    <row r="23" spans="1:25" ht="54.95" customHeight="1" x14ac:dyDescent="0.25">
      <c r="A23" s="275" t="str">
        <f>IF('Kennzahlenbogen_(KB)'!P71=0,"",'Kennzahlenbogen_(KB)'!P71)</f>
        <v>Unvollständig</v>
      </c>
      <c r="B23" s="440">
        <v>22</v>
      </c>
      <c r="C23" s="34">
        <f>IF($A23="I.O.","",'Kennzahlenbogen_(KB)'!A71)</f>
        <v>21</v>
      </c>
      <c r="D23" s="123" t="str">
        <f>IF($A23="I.O.","",'Kennzahlenbogen_(KB)'!C71)</f>
        <v>Anzeichnung Stomaposition</v>
      </c>
      <c r="E23" s="283" t="str">
        <f>IF(AND('Kennzahlenbogen_(KB)'!J71="",$A23&lt;&gt;"I.O."),"-----",IF($A23="I.O.","",'Kennzahlenbogen_(KB)'!J71))</f>
        <v>-----</v>
      </c>
      <c r="F23" s="299" t="str">
        <f>IF($A23="I.O.","",'Kennzahlenbogen_(KB)'!K71)</f>
        <v>≥ 90%</v>
      </c>
      <c r="G23" s="283" t="str">
        <f>IF(AND('Kennzahlenbogen_(KB)'!M71="",$A23&lt;&gt;"I.O."),"-----",IF($A23="I.O.","",'Kennzahlenbogen_(KB)'!M71))</f>
        <v>-----</v>
      </c>
      <c r="H23" s="298" t="str">
        <f>IF($A23="I.O.","",IF('Kennzahlenbogen_(KB)'!O71="","-----",'Kennzahlenbogen_(KB)'!O71))</f>
        <v>-----</v>
      </c>
      <c r="I23" s="298" t="str">
        <f>IF($A23="I.O.","",IF('Kennzahlenbogen_(KB)'!O72="","-----",'Kennzahlenbogen_(KB)'!O72))</f>
        <v>-----</v>
      </c>
      <c r="J23" s="276" t="str">
        <f>IF($A23="I.O.","",IF('Kennzahlenbogen_(KB)'!O73="",0,'Kennzahlenbogen_(KB)'!O73))</f>
        <v>n.d.</v>
      </c>
      <c r="K23" s="230" t="str">
        <f>IF($A23="I.O.","",'Kennzahlenbogen_(KB)'!P71)</f>
        <v>Unvollständig</v>
      </c>
      <c r="L23" s="277" t="str">
        <f>IF(AND('Kennzahlenbogen_(KB)'!Q71="",$A23&lt;&gt;"I.O."),"-----",IF($A23="I.O.","",'Kennzahlenbogen_(KB)'!Q71))</f>
        <v>-----</v>
      </c>
      <c r="M23" s="277" t="str">
        <f>IF(AND('Kennzahlenbogen_(KB)'!R71="",$A23&lt;&gt;"I.O."),"-----",IF($A23="I.O.","",'Kennzahlenbogen_(KB)'!R71))</f>
        <v>-----</v>
      </c>
      <c r="O23" s="215">
        <f t="array" aca="1" ref="O23" ca="1">IF(ROW()-ROW($D$2:$D$33)+1&gt;ROWS($C$2:$C$33)-COUNTBLANK($C$2:$C$33),"",INDIRECT(ADDRESS(SMALL((IF($C$2:$C$33&lt;&gt;"",ROW($C$2:$C$33),ROW()+ROWS($C$2:$C$33))),ROW()-ROW($D$2:$D$33)+1),COLUMN($C$2:$C$33),4)))</f>
        <v>21</v>
      </c>
      <c r="P23" s="278" t="str">
        <f t="array" aca="1" ref="P23" ca="1">IF(ROW()-ROW($E$2:$E$33)+1&gt;ROWS($D$2:$D$33)-COUNTBLANK($D$2:$D$33),"",INDIRECT(ADDRESS(SMALL((IF($D$2:$D$33&gt;"",ROW($D$2:$D$33),ROW()+ROWS($D$2:$D$33))),ROW()-ROW($E$2:$E$33)+1),COLUMN($D$2:$D$33),4)))</f>
        <v>Anzeichnung Stomaposition</v>
      </c>
      <c r="Q23" s="204" t="str">
        <f t="array" aca="1" ref="Q23" ca="1">IF(ROW()-ROW($F$2:$F$33)+1&gt;ROWS($E$2:$E$33)-COUNTBLANK($E$2:$E$33),"",INDIRECT(ADDRESS(SMALL((IF($E$2:$E$33&gt;"",ROW($E$2:$E$33),ROW()+ROWS($E$2:$E$33))),ROW()-ROW($F$2:$F$33)+1),COLUMN($E$2:$E$33),4)))</f>
        <v>-----</v>
      </c>
      <c r="R23" s="204" t="str">
        <f t="array" aca="1" ref="R23" ca="1">IF(ROW()-ROW($G$2:$G$33)+1&gt;ROWS($F$2:$F$33)-COUNTBLANK($F$2:$F$33),"",INDIRECT(ADDRESS(SMALL((IF($F$2:$F$33&gt;"",ROW($F$2:$F$33),ROW()+ROWS($F$2:$F$33))),ROW()-ROW($G$2:$G$33)+1),COLUMN($F$2:$F$33),4)))</f>
        <v>≥ 90%</v>
      </c>
      <c r="S23" s="204" t="str">
        <f t="array" aca="1" ref="S23" ca="1">IF(ROW()-ROW($H$2:$H$33)+1&gt;ROWS($G$2:$G$33)-COUNTBLANK($G$2:$G$33),"",INDIRECT(ADDRESS(SMALL((IF($G$2:$G$33&lt;&gt;"",ROW($G$2:$G$33),ROW()+ROWS($G$2:$G$33))),ROW()-ROW($H$2:$H$33)+1),COLUMN($G$2:$G$33),4)))</f>
        <v>-----</v>
      </c>
      <c r="T23" s="297" t="str">
        <f t="array" aca="1" ref="T23" ca="1">IF(ROW()-ROW($I$2:$I$33)+1&gt;ROWS($H$2:$H$33)-COUNTBLANK($H$2:$H$33),"",INDIRECT(ADDRESS(SMALL((IF($H$2:$H$33&lt;&gt;"",ROW($H$2:$H$33),ROW()+ROWS($H$2:$H$33))),ROW()-ROW($I$2:$I$33)+1),COLUMN($H$2:$H$33),4)))</f>
        <v>-----</v>
      </c>
      <c r="U23" s="297" t="str">
        <f t="array" aca="1" ref="U23" ca="1">IF(ROW()-ROW($J$2:$J$33)+1&gt;ROWS($I$2:$I$33)-COUNTBLANK($I$2:$I$33),"",INDIRECT(ADDRESS(SMALL((IF($I$2:$I$33&lt;&gt;"",ROW($I$2:$I$33),ROW()+ROWS($I$2:$I$33))),ROW()-ROW($J$2:$J$33)+1),COLUMN($I$2:$I$33),4)))</f>
        <v>-----</v>
      </c>
      <c r="V23" s="279" t="str">
        <f t="array" aca="1" ref="V23" ca="1">IF(ROW()-ROW($K$2:$K$33)+1&gt;ROWS($J$2:$J$33)-COUNTBLANK($J$2:$J$33),"",INDIRECT(ADDRESS(SMALL((IF($J$2:$J$33&lt;&gt;"",ROW($J$2:$J$33),ROW()+ROWS($J$2:$J$33))),ROW()-ROW($K$2:$K$33)+1),COLUMN($J$2:$J$33),4)))</f>
        <v>n.d.</v>
      </c>
      <c r="W23" s="199" t="str">
        <f t="array" aca="1" ref="W23" ca="1">IF(ROW()-ROW($L$2:$L$33)+1&gt;ROWS($K$2:$K$33)-COUNTBLANK($K$2:$K$33),"",INDIRECT(ADDRESS(SMALL((IF($K$2:$K$33&lt;&gt;"",ROW($K$2:$K$33),ROW()+ROWS($K$2:$K$33))),ROW()-ROW($L$2:$L$33)+1),COLUMN($K$2:$K$33),4)))</f>
        <v>Unvollständig</v>
      </c>
      <c r="X23" s="278" t="str">
        <f t="array" aca="1" ref="X23" ca="1">IF(ROW()-ROW($M$2:$M$33)+1&gt;ROWS($L$2:$L$33)-COUNTBLANK($L$2:$L$33),"",INDIRECT(ADDRESS(SMALL((IF($L$2:$L$33&lt;&gt;"",ROW($L$2:$L$33),ROW()+ROWS($L$2:$L$33))),ROW()-ROW($M$2:$M$33)+1),COLUMN($L$2:$L$33),4)))</f>
        <v>-----</v>
      </c>
      <c r="Y23" s="278" t="str">
        <f t="array" aca="1" ref="Y23" ca="1">IF(ROW()-ROW($N$2:$N$33)+1&gt;ROWS($M$2:$M$33)-COUNTBLANK($M$2:$M$33),"",INDIRECT(ADDRESS(SMALL((IF($M$2:$M$33&lt;&gt;"",ROW($M$2:$M$33),ROW()+ROWS($M$2:$M$33))),ROW()-ROW($N$2:$N$33)+1),COLUMN($M$2:$M$33),4)))</f>
        <v>-----</v>
      </c>
    </row>
    <row r="24" spans="1:25" ht="54.95" customHeight="1" x14ac:dyDescent="0.25">
      <c r="A24" s="275" t="str">
        <f>IF('Kennzahlenbogen_(KB)'!P74=0,"",'Kennzahlenbogen_(KB)'!P74)</f>
        <v>Unvollständig</v>
      </c>
      <c r="B24" s="440">
        <v>23</v>
      </c>
      <c r="C24" s="495" t="str">
        <f>IF($A24="I.O.","",'Kennzahlenbogen_(KB)'!A74)</f>
        <v>22a</v>
      </c>
      <c r="D24" s="123" t="str">
        <f>IF($A24="I.O.","",'Kennzahlenbogen_(KB)'!C74)</f>
        <v>Lebermetastasenresektion</v>
      </c>
      <c r="E24" s="283" t="str">
        <f>IF(AND('Kennzahlenbogen_(KB)'!J74="",$A24&lt;&gt;"I.O."),"-----",IF($A24="I.O.","",'Kennzahlenbogen_(KB)'!J74))</f>
        <v>&lt; 20%</v>
      </c>
      <c r="F24" s="299" t="str">
        <f>IF($A24="I.O.","",'Kennzahlenbogen_(KB)'!K74)</f>
        <v>Derzeit keine Vorgaben</v>
      </c>
      <c r="G24" s="283" t="str">
        <f>IF(AND('Kennzahlenbogen_(KB)'!M74="",$A24&lt;&gt;"I.O."),"-----",IF($A24="I.O.","",'Kennzahlenbogen_(KB)'!M74))</f>
        <v>-----</v>
      </c>
      <c r="H24" s="298" t="str">
        <f>IF($A24="I.O.","",IF('Kennzahlenbogen_(KB)'!O74="","-----",'Kennzahlenbogen_(KB)'!O74))</f>
        <v>-----</v>
      </c>
      <c r="I24" s="298" t="str">
        <f>IF($A24="I.O.","",IF('Kennzahlenbogen_(KB)'!O75="","-----",'Kennzahlenbogen_(KB)'!O75))</f>
        <v>-----</v>
      </c>
      <c r="J24" s="276" t="str">
        <f>IF($A24="I.O.","",IF('Kennzahlenbogen_(KB)'!O76="","-----",'Kennzahlenbogen_(KB)'!O76))</f>
        <v>n.d.</v>
      </c>
      <c r="K24" s="230" t="str">
        <f>IF($A24="I.O.","",'Kennzahlenbogen_(KB)'!P74)</f>
        <v>Unvollständig</v>
      </c>
      <c r="L24" s="277" t="str">
        <f>IF(AND('Kennzahlenbogen_(KB)'!Q74="",$A24&lt;&gt;"I.O."),"-----",IF($A24="I.O.","",'Kennzahlenbogen_(KB)'!Q74))</f>
        <v>-----</v>
      </c>
      <c r="M24" s="277" t="str">
        <f>IF(AND('Kennzahlenbogen_(KB)'!R74="",$A24&lt;&gt;"I.O."),"-----",IF($A24="I.O.","",'Kennzahlenbogen_(KB)'!R74))</f>
        <v>-----</v>
      </c>
      <c r="O24" s="215" t="str">
        <f t="array" aca="1" ref="O24" ca="1">IF(ROW()-ROW($D$2:$D$33)+1&gt;ROWS($C$2:$C$33)-COUNTBLANK($C$2:$C$33),"",INDIRECT(ADDRESS(SMALL((IF($C$2:$C$33&lt;&gt;"",ROW($C$2:$C$33),ROW()+ROWS($C$2:$C$33))),ROW()-ROW($D$2:$D$33)+1),COLUMN($C$2:$C$33),4)))</f>
        <v>22a</v>
      </c>
      <c r="P24" s="278" t="str">
        <f t="array" aca="1" ref="P24" ca="1">IF(ROW()-ROW($E$2:$E$33)+1&gt;ROWS($D$2:$D$33)-COUNTBLANK($D$2:$D$33),"",INDIRECT(ADDRESS(SMALL((IF($D$2:$D$33&gt;"",ROW($D$2:$D$33),ROW()+ROWS($D$2:$D$33))),ROW()-ROW($E$2:$E$33)+1),COLUMN($D$2:$D$33),4)))</f>
        <v>Lebermetastasenresektion</v>
      </c>
      <c r="Q24" s="204" t="str">
        <f t="array" aca="1" ref="Q24" ca="1">IF(ROW()-ROW($F$2:$F$33)+1&gt;ROWS($E$2:$E$33)-COUNTBLANK($E$2:$E$33),"",INDIRECT(ADDRESS(SMALL((IF($E$2:$E$33&gt;"",ROW($E$2:$E$33),ROW()+ROWS($E$2:$E$33))),ROW()-ROW($F$2:$F$33)+1),COLUMN($E$2:$E$33),4)))</f>
        <v>&lt; 20%</v>
      </c>
      <c r="R24" s="204" t="str">
        <f t="array" aca="1" ref="R24" ca="1">IF(ROW()-ROW($G$2:$G$33)+1&gt;ROWS($F$2:$F$33)-COUNTBLANK($F$2:$F$33),"",INDIRECT(ADDRESS(SMALL((IF($F$2:$F$33&gt;"",ROW($F$2:$F$33),ROW()+ROWS($F$2:$F$33))),ROW()-ROW($G$2:$G$33)+1),COLUMN($F$2:$F$33),4)))</f>
        <v>Derzeit keine Vorgaben</v>
      </c>
      <c r="S24" s="204" t="str">
        <f t="array" aca="1" ref="S24" ca="1">IF(ROW()-ROW($H$2:$H$33)+1&gt;ROWS($G$2:$G$33)-COUNTBLANK($G$2:$G$33),"",INDIRECT(ADDRESS(SMALL((IF($G$2:$G$33&lt;&gt;"",ROW($G$2:$G$33),ROW()+ROWS($G$2:$G$33))),ROW()-ROW($H$2:$H$33)+1),COLUMN($G$2:$G$33),4)))</f>
        <v>-----</v>
      </c>
      <c r="T24" s="297" t="str">
        <f t="array" aca="1" ref="T24" ca="1">IF(ROW()-ROW($I$2:$I$33)+1&gt;ROWS($H$2:$H$33)-COUNTBLANK($H$2:$H$33),"",INDIRECT(ADDRESS(SMALL((IF($H$2:$H$33&lt;&gt;"",ROW($H$2:$H$33),ROW()+ROWS($H$2:$H$33))),ROW()-ROW($I$2:$I$33)+1),COLUMN($H$2:$H$33),4)))</f>
        <v>-----</v>
      </c>
      <c r="U24" s="297" t="str">
        <f t="array" aca="1" ref="U24" ca="1">IF(ROW()-ROW($J$2:$J$33)+1&gt;ROWS($I$2:$I$33)-COUNTBLANK($I$2:$I$33),"",INDIRECT(ADDRESS(SMALL((IF($I$2:$I$33&lt;&gt;"",ROW($I$2:$I$33),ROW()+ROWS($I$2:$I$33))),ROW()-ROW($J$2:$J$33)+1),COLUMN($I$2:$I$33),4)))</f>
        <v>-----</v>
      </c>
      <c r="V24" s="279" t="str">
        <f t="array" aca="1" ref="V24" ca="1">IF(ROW()-ROW($K$2:$K$33)+1&gt;ROWS($J$2:$J$33)-COUNTBLANK($J$2:$J$33),"",INDIRECT(ADDRESS(SMALL((IF($J$2:$J$33&lt;&gt;"",ROW($J$2:$J$33),ROW()+ROWS($J$2:$J$33))),ROW()-ROW($K$2:$K$33)+1),COLUMN($J$2:$J$33),4)))</f>
        <v>n.d.</v>
      </c>
      <c r="W24" s="199" t="str">
        <f t="array" aca="1" ref="W24" ca="1">IF(ROW()-ROW($L$2:$L$33)+1&gt;ROWS($K$2:$K$33)-COUNTBLANK($K$2:$K$33),"",INDIRECT(ADDRESS(SMALL((IF($K$2:$K$33&lt;&gt;"",ROW($K$2:$K$33),ROW()+ROWS($K$2:$K$33))),ROW()-ROW($L$2:$L$33)+1),COLUMN($K$2:$K$33),4)))</f>
        <v>Unvollständig</v>
      </c>
      <c r="X24" s="278" t="str">
        <f t="array" aca="1" ref="X24" ca="1">IF(ROW()-ROW($M$2:$M$33)+1&gt;ROWS($L$2:$L$33)-COUNTBLANK($L$2:$L$33),"",INDIRECT(ADDRESS(SMALL((IF($L$2:$L$33&lt;&gt;"",ROW($L$2:$L$33),ROW()+ROWS($L$2:$L$33))),ROW()-ROW($M$2:$M$33)+1),COLUMN($L$2:$L$33),4)))</f>
        <v>-----</v>
      </c>
      <c r="Y24" s="278" t="str">
        <f t="array" aca="1" ref="Y24" ca="1">IF(ROW()-ROW($N$2:$N$33)+1&gt;ROWS($M$2:$M$33)-COUNTBLANK($M$2:$M$33),"",INDIRECT(ADDRESS(SMALL((IF($M$2:$M$33&lt;&gt;"",ROW($M$2:$M$33),ROW()+ROWS($M$2:$M$33))),ROW()-ROW($N$2:$N$33)+1),COLUMN($M$2:$M$33),4)))</f>
        <v>-----</v>
      </c>
    </row>
    <row r="25" spans="1:25" ht="45" x14ac:dyDescent="0.25">
      <c r="A25" s="275" t="str">
        <f>IF('Kennzahlenbogen_(KB)'!P77=0,"",'Kennzahlenbogen_(KB)'!P77)</f>
        <v>Unvollständig</v>
      </c>
      <c r="B25" s="440">
        <v>24</v>
      </c>
      <c r="C25" s="34" t="str">
        <f>IF($A25="I.O.","",'Kennzahlenbogen_(KB)'!A77)</f>
        <v>22b</v>
      </c>
      <c r="D25" s="123" t="str">
        <f>IF($A25="I.O.","",'Kennzahlenbogen_(KB)'!C77)</f>
        <v>Lebermetastasenresektion am operativen Standort des Darmkrebszentrums</v>
      </c>
      <c r="E25" s="283" t="str">
        <f>IF(AND('Kennzahlenbogen_(KB)'!J77="",$A25&lt;&gt;"I.O."),"-----",IF($A25="I.O.","",'Kennzahlenbogen_(KB)'!J77))</f>
        <v>-----</v>
      </c>
      <c r="F25" s="299" t="str">
        <f>IF($A25="I.O.","",'Kennzahlenbogen_(KB)'!K77)</f>
        <v>Derzeit keine Vorgaben</v>
      </c>
      <c r="G25" s="283" t="str">
        <f>IF(AND('Kennzahlenbogen_(KB)'!M77="",$A25&lt;&gt;"I.O."),"-----",IF($A25="I.O.","",'Kennzahlenbogen_(KB)'!M77))</f>
        <v>-----</v>
      </c>
      <c r="H25" s="298" t="str">
        <f>IF($A25="I.O.","",IF('Kennzahlenbogen_(KB)'!O77="","-----",'Kennzahlenbogen_(KB)'!O77))</f>
        <v>-----</v>
      </c>
      <c r="I25" s="298" t="str">
        <f>IF($A25="I.O.","",IF('Kennzahlenbogen_(KB)'!O78="","-----",'Kennzahlenbogen_(KB)'!O78))</f>
        <v>-----</v>
      </c>
      <c r="J25" s="276" t="str">
        <f>IF($A25="I.O.","","-----")</f>
        <v>-----</v>
      </c>
      <c r="K25" s="230" t="str">
        <f>IF($A25="I.O.","",'Kennzahlenbogen_(KB)'!P77)</f>
        <v>Unvollständig</v>
      </c>
      <c r="L25" s="277" t="str">
        <f>IF(AND('Kennzahlenbogen_(KB)'!Q77="",$A25&lt;&gt;"I.O."),"-----",IF($A25="I.O.","",'Kennzahlenbogen_(KB)'!Q77))</f>
        <v>-----</v>
      </c>
      <c r="M25" s="277" t="str">
        <f>IF(AND('Kennzahlenbogen_(KB)'!R77="",$A25&lt;&gt;"I.O."),"-----",IF($A25="I.O.","",'Kennzahlenbogen_(KB)'!R77))</f>
        <v>-----</v>
      </c>
      <c r="O25" s="215" t="str">
        <f t="array" aca="1" ref="O25" ca="1">IF(ROW()-ROW($D$2:$D$33)+1&gt;ROWS($C$2:$C$33)-COUNTBLANK($C$2:$C$33),"",INDIRECT(ADDRESS(SMALL((IF($C$2:$C$33&lt;&gt;"",ROW($C$2:$C$33),ROW()+ROWS($C$2:$C$33))),ROW()-ROW($D$2:$D$33)+1),COLUMN($C$2:$C$33),4)))</f>
        <v>22b</v>
      </c>
      <c r="P25" s="278" t="str">
        <f t="array" aca="1" ref="P25" ca="1">IF(ROW()-ROW($E$2:$E$33)+1&gt;ROWS($D$2:$D$33)-COUNTBLANK($D$2:$D$33),"",INDIRECT(ADDRESS(SMALL((IF($D$2:$D$33&gt;"",ROW($D$2:$D$33),ROW()+ROWS($D$2:$D$33))),ROW()-ROW($E$2:$E$33)+1),COLUMN($D$2:$D$33),4)))</f>
        <v>Lebermetastasenresektion am operativen Standort des Darmkrebszentrums</v>
      </c>
      <c r="Q25" s="204" t="str">
        <f t="array" aca="1" ref="Q25" ca="1">IF(ROW()-ROW($F$2:$F$33)+1&gt;ROWS($E$2:$E$33)-COUNTBLANK($E$2:$E$33),"",INDIRECT(ADDRESS(SMALL((IF($E$2:$E$33&gt;"",ROW($E$2:$E$33),ROW()+ROWS($E$2:$E$33))),ROW()-ROW($F$2:$F$33)+1),COLUMN($E$2:$E$33),4)))</f>
        <v>-----</v>
      </c>
      <c r="R25" s="204" t="str">
        <f t="array" aca="1" ref="R25" ca="1">IF(ROW()-ROW($G$2:$G$33)+1&gt;ROWS($F$2:$F$33)-COUNTBLANK($F$2:$F$33),"",INDIRECT(ADDRESS(SMALL((IF($F$2:$F$33&gt;"",ROW($F$2:$F$33),ROW()+ROWS($F$2:$F$33))),ROW()-ROW($G$2:$G$33)+1),COLUMN($F$2:$F$33),4)))</f>
        <v>Derzeit keine Vorgaben</v>
      </c>
      <c r="S25" s="204" t="str">
        <f t="array" aca="1" ref="S25" ca="1">IF(ROW()-ROW($H$2:$H$33)+1&gt;ROWS($G$2:$G$33)-COUNTBLANK($G$2:$G$33),"",INDIRECT(ADDRESS(SMALL((IF($G$2:$G$33&lt;&gt;"",ROW($G$2:$G$33),ROW()+ROWS($G$2:$G$33))),ROW()-ROW($H$2:$H$33)+1),COLUMN($G$2:$G$33),4)))</f>
        <v>-----</v>
      </c>
      <c r="T25" s="297" t="str">
        <f t="array" aca="1" ref="T25" ca="1">IF(ROW()-ROW($I$2:$I$33)+1&gt;ROWS($H$2:$H$33)-COUNTBLANK($H$2:$H$33),"",INDIRECT(ADDRESS(SMALL((IF($H$2:$H$33&lt;&gt;"",ROW($H$2:$H$33),ROW()+ROWS($H$2:$H$33))),ROW()-ROW($I$2:$I$33)+1),COLUMN($H$2:$H$33),4)))</f>
        <v>-----</v>
      </c>
      <c r="U25" s="297" t="str">
        <f t="array" aca="1" ref="U25" ca="1">IF(ROW()-ROW($J$2:$J$33)+1&gt;ROWS($I$2:$I$33)-COUNTBLANK($I$2:$I$33),"",INDIRECT(ADDRESS(SMALL((IF($I$2:$I$33&lt;&gt;"",ROW($I$2:$I$33),ROW()+ROWS($I$2:$I$33))),ROW()-ROW($J$2:$J$33)+1),COLUMN($I$2:$I$33),4)))</f>
        <v>-----</v>
      </c>
      <c r="V25" s="279" t="str">
        <f t="array" aca="1" ref="V25" ca="1">IF(ROW()-ROW($K$2:$K$33)+1&gt;ROWS($J$2:$J$33)-COUNTBLANK($J$2:$J$33),"",INDIRECT(ADDRESS(SMALL((IF($J$2:$J$33&lt;&gt;"",ROW($J$2:$J$33),ROW()+ROWS($J$2:$J$33))),ROW()-ROW($K$2:$K$33)+1),COLUMN($J$2:$J$33),4)))</f>
        <v>-----</v>
      </c>
      <c r="W25" s="199" t="str">
        <f t="array" aca="1" ref="W25" ca="1">IF(ROW()-ROW($L$2:$L$33)+1&gt;ROWS($K$2:$K$33)-COUNTBLANK($K$2:$K$33),"",INDIRECT(ADDRESS(SMALL((IF($K$2:$K$33&lt;&gt;"",ROW($K$2:$K$33),ROW()+ROWS($K$2:$K$33))),ROW()-ROW($L$2:$L$33)+1),COLUMN($K$2:$K$33),4)))</f>
        <v>Unvollständig</v>
      </c>
      <c r="X25" s="278" t="str">
        <f t="array" aca="1" ref="X25" ca="1">IF(ROW()-ROW($M$2:$M$33)+1&gt;ROWS($L$2:$L$33)-COUNTBLANK($L$2:$L$33),"",INDIRECT(ADDRESS(SMALL((IF($L$2:$L$33&lt;&gt;"",ROW($L$2:$L$33),ROW()+ROWS($L$2:$L$33))),ROW()-ROW($M$2:$M$33)+1),COLUMN($L$2:$L$33),4)))</f>
        <v>-----</v>
      </c>
      <c r="Y25" s="278" t="str">
        <f t="array" aca="1" ref="Y25" ca="1">IF(ROW()-ROW($N$2:$N$33)+1&gt;ROWS($M$2:$M$33)-COUNTBLANK($M$2:$M$33),"",INDIRECT(ADDRESS(SMALL((IF($M$2:$M$33&lt;&gt;"",ROW($M$2:$M$33),ROW()+ROWS($M$2:$M$33))),ROW()-ROW($N$2:$N$33)+1),COLUMN($M$2:$M$33),4)))</f>
        <v>-----</v>
      </c>
    </row>
    <row r="26" spans="1:25" ht="56.25" x14ac:dyDescent="0.25">
      <c r="A26" s="275" t="str">
        <f>IF('Kennzahlenbogen_(KB)'!P80=0,"",'Kennzahlenbogen_(KB)'!P80)</f>
        <v>Unvollständig</v>
      </c>
      <c r="B26" s="440">
        <v>25</v>
      </c>
      <c r="C26" s="34" t="str">
        <f>IF($A26="I.O.","",'Kennzahlenbogen_(KB)'!A80)</f>
        <v>22c</v>
      </c>
      <c r="D26" s="123" t="str">
        <f>IF($A26="I.O.","",'Kennzahlenbogen_(KB)'!C80)</f>
        <v>Lebermetastasenresektion außerhalb des operativen Standortes des Darmkrebszentrums</v>
      </c>
      <c r="E26" s="283" t="str">
        <f>IF(AND('Kennzahlenbogen_(KB)'!J80="",$A26&lt;&gt;"I.O."),"-----",IF($A26="I.O.","",'Kennzahlenbogen_(KB)'!J80))</f>
        <v>-----</v>
      </c>
      <c r="F26" s="299" t="str">
        <f>IF($A26="I.O.","",'Kennzahlenbogen_(KB)'!K80)</f>
        <v>Derzeit keine Vorgaben</v>
      </c>
      <c r="G26" s="283" t="str">
        <f>IF(AND('Kennzahlenbogen_(KB)'!M80="",$A26&lt;&gt;"I.O."),"-----",IF($A26="I.O.","",'Kennzahlenbogen_(KB)'!M80))</f>
        <v>-----</v>
      </c>
      <c r="H26" s="298">
        <f>IF($A26="I.O.","",IF('Kennzahlenbogen_(KB)'!O80="","-----",'Kennzahlenbogen_(KB)'!O80))</f>
        <v>0</v>
      </c>
      <c r="I26" s="298" t="str">
        <f>IF($A26="I.O.","",IF('Kennzahlenbogen_(KB)'!O81="","-----",'Kennzahlenbogen_(KB)'!O81))</f>
        <v>-----</v>
      </c>
      <c r="J26" s="276" t="str">
        <f>IF($A26="I.O.","","-----")</f>
        <v>-----</v>
      </c>
      <c r="K26" s="230" t="str">
        <f>IF($A26="I.O.","",'Kennzahlenbogen_(KB)'!P80)</f>
        <v>Unvollständig</v>
      </c>
      <c r="L26" s="277" t="str">
        <f>IF(AND('Kennzahlenbogen_(KB)'!Q80="",$A26&lt;&gt;"I.O."),"-----",IF($A26="I.O.","",'Kennzahlenbogen_(KB)'!Q80))</f>
        <v>-----</v>
      </c>
      <c r="M26" s="277" t="str">
        <f>IF(AND('Kennzahlenbogen_(KB)'!R80="",$A26&lt;&gt;"I.O."),"-----",IF($A26="I.O.","",'Kennzahlenbogen_(KB)'!R80))</f>
        <v>-----</v>
      </c>
      <c r="O26" s="215" t="str">
        <f t="array" aca="1" ref="O26" ca="1">IF(ROW()-ROW($D$2:$D$33)+1&gt;ROWS($C$2:$C$33)-COUNTBLANK($C$2:$C$33),"",INDIRECT(ADDRESS(SMALL((IF($C$2:$C$33&lt;&gt;"",ROW($C$2:$C$33),ROW()+ROWS($C$2:$C$33))),ROW()-ROW($D$2:$D$33)+1),COLUMN($C$2:$C$33),4)))</f>
        <v>22c</v>
      </c>
      <c r="P26" s="278" t="str">
        <f t="array" aca="1" ref="P26" ca="1">IF(ROW()-ROW($E$2:$E$33)+1&gt;ROWS($D$2:$D$33)-COUNTBLANK($D$2:$D$33),"",INDIRECT(ADDRESS(SMALL((IF($D$2:$D$33&gt;"",ROW($D$2:$D$33),ROW()+ROWS($D$2:$D$33))),ROW()-ROW($E$2:$E$33)+1),COLUMN($D$2:$D$33),4)))</f>
        <v>Lebermetastasenresektion außerhalb des operativen Standortes des Darmkrebszentrums</v>
      </c>
      <c r="Q26" s="204" t="str">
        <f t="array" aca="1" ref="Q26" ca="1">IF(ROW()-ROW($F$2:$F$33)+1&gt;ROWS($E$2:$E$33)-COUNTBLANK($E$2:$E$33),"",INDIRECT(ADDRESS(SMALL((IF($E$2:$E$33&gt;"",ROW($E$2:$E$33),ROW()+ROWS($E$2:$E$33))),ROW()-ROW($F$2:$F$33)+1),COLUMN($E$2:$E$33),4)))</f>
        <v>-----</v>
      </c>
      <c r="R26" s="204" t="str">
        <f t="array" aca="1" ref="R26" ca="1">IF(ROW()-ROW($G$2:$G$33)+1&gt;ROWS($F$2:$F$33)-COUNTBLANK($F$2:$F$33),"",INDIRECT(ADDRESS(SMALL((IF($F$2:$F$33&gt;"",ROW($F$2:$F$33),ROW()+ROWS($F$2:$F$33))),ROW()-ROW($G$2:$G$33)+1),COLUMN($F$2:$F$33),4)))</f>
        <v>Derzeit keine Vorgaben</v>
      </c>
      <c r="S26" s="204" t="str">
        <f t="array" aca="1" ref="S26" ca="1">IF(ROW()-ROW($H$2:$H$33)+1&gt;ROWS($G$2:$G$33)-COUNTBLANK($G$2:$G$33),"",INDIRECT(ADDRESS(SMALL((IF($G$2:$G$33&lt;&gt;"",ROW($G$2:$G$33),ROW()+ROWS($G$2:$G$33))),ROW()-ROW($H$2:$H$33)+1),COLUMN($G$2:$G$33),4)))</f>
        <v>-----</v>
      </c>
      <c r="T26" s="297">
        <f t="array" aca="1" ref="T26" ca="1">IF(ROW()-ROW($I$2:$I$33)+1&gt;ROWS($H$2:$H$33)-COUNTBLANK($H$2:$H$33),"",INDIRECT(ADDRESS(SMALL((IF($H$2:$H$33&lt;&gt;"",ROW($H$2:$H$33),ROW()+ROWS($H$2:$H$33))),ROW()-ROW($I$2:$I$33)+1),COLUMN($H$2:$H$33),4)))</f>
        <v>0</v>
      </c>
      <c r="U26" s="297" t="str">
        <f t="array" aca="1" ref="U26" ca="1">IF(ROW()-ROW($J$2:$J$33)+1&gt;ROWS($I$2:$I$33)-COUNTBLANK($I$2:$I$33),"",INDIRECT(ADDRESS(SMALL((IF($I$2:$I$33&lt;&gt;"",ROW($I$2:$I$33),ROW()+ROWS($I$2:$I$33))),ROW()-ROW($J$2:$J$33)+1),COLUMN($I$2:$I$33),4)))</f>
        <v>-----</v>
      </c>
      <c r="V26" s="279" t="str">
        <f t="array" aca="1" ref="V26" ca="1">IF(ROW()-ROW($K$2:$K$33)+1&gt;ROWS($J$2:$J$33)-COUNTBLANK($J$2:$J$33),"",INDIRECT(ADDRESS(SMALL((IF($J$2:$J$33&lt;&gt;"",ROW($J$2:$J$33),ROW()+ROWS($J$2:$J$33))),ROW()-ROW($K$2:$K$33)+1),COLUMN($J$2:$J$33),4)))</f>
        <v>-----</v>
      </c>
      <c r="W26" s="199" t="str">
        <f t="array" aca="1" ref="W26" ca="1">IF(ROW()-ROW($L$2:$L$33)+1&gt;ROWS($K$2:$K$33)-COUNTBLANK($K$2:$K$33),"",INDIRECT(ADDRESS(SMALL((IF($K$2:$K$33&lt;&gt;"",ROW($K$2:$K$33),ROW()+ROWS($K$2:$K$33))),ROW()-ROW($L$2:$L$33)+1),COLUMN($K$2:$K$33),4)))</f>
        <v>Unvollständig</v>
      </c>
      <c r="X26" s="278" t="str">
        <f t="array" aca="1" ref="X26" ca="1">IF(ROW()-ROW($M$2:$M$33)+1&gt;ROWS($L$2:$L$33)-COUNTBLANK($L$2:$L$33),"",INDIRECT(ADDRESS(SMALL((IF($L$2:$L$33&lt;&gt;"",ROW($L$2:$L$33),ROW()+ROWS($L$2:$L$33))),ROW()-ROW($M$2:$M$33)+1),COLUMN($L$2:$L$33),4)))</f>
        <v>-----</v>
      </c>
      <c r="Y26" s="278" t="str">
        <f t="array" aca="1" ref="Y26" ca="1">IF(ROW()-ROW($N$2:$N$33)+1&gt;ROWS($M$2:$M$33)-COUNTBLANK($M$2:$M$33),"",INDIRECT(ADDRESS(SMALL((IF($M$2:$M$33&lt;&gt;"",ROW($M$2:$M$33),ROW()+ROWS($M$2:$M$33))),ROW()-ROW($N$2:$N$33)+1),COLUMN($M$2:$M$33),4)))</f>
        <v>-----</v>
      </c>
    </row>
    <row r="27" spans="1:25" ht="33.75" x14ac:dyDescent="0.25">
      <c r="A27" s="275" t="str">
        <f>IF('Kennzahlenbogen_(KB)'!P83=0,"",'Kennzahlenbogen_(KB)'!P83)</f>
        <v>Unvollständig</v>
      </c>
      <c r="B27" s="440">
        <v>26</v>
      </c>
      <c r="C27" s="495">
        <f>IF($A27="I.O.","",'Kennzahlenbogen_(KB)'!A83)</f>
        <v>23</v>
      </c>
      <c r="D27" s="123" t="str">
        <f>IF($A27="I.O.","",'Kennzahlenbogen_(KB)'!C83)</f>
        <v>Adjuvante Chemotherapien Kolon (UICC Stad. III)</v>
      </c>
      <c r="E27" s="283" t="str">
        <f>IF(AND('Kennzahlenbogen_(KB)'!J83="",$A27&lt;&gt;"I.O."),"-----",IF($A27="I.O.","",'Kennzahlenbogen_(KB)'!J83))</f>
        <v>-----</v>
      </c>
      <c r="F27" s="299" t="str">
        <f>IF($A27="I.O.","",'Kennzahlenbogen_(KB)'!K83)</f>
        <v>≥ 70%</v>
      </c>
      <c r="G27" s="283" t="str">
        <f>IF(AND('Kennzahlenbogen_(KB)'!M83="",$A27&lt;&gt;"I.O."),"-----",IF($A27="I.O.","",'Kennzahlenbogen_(KB)'!M83))</f>
        <v>-----</v>
      </c>
      <c r="H27" s="298" t="str">
        <f>IF($A27="I.O.","",IF('Kennzahlenbogen_(KB)'!O83="","-----",'Kennzahlenbogen_(KB)'!O83))</f>
        <v>-----</v>
      </c>
      <c r="I27" s="298" t="str">
        <f>IF($A27="I.O.","",IF('Kennzahlenbogen_(KB)'!O84="","-----",'Kennzahlenbogen_(KB)'!O84))</f>
        <v>-----</v>
      </c>
      <c r="J27" s="276" t="str">
        <f>IF($A27="I.O.","",IF('Kennzahlenbogen_(KB)'!O85="","-----",'Kennzahlenbogen_(KB)'!O85))</f>
        <v>n.d.</v>
      </c>
      <c r="K27" s="230" t="str">
        <f>IF($A27="I.O.","",'Kennzahlenbogen_(KB)'!P83)</f>
        <v>Unvollständig</v>
      </c>
      <c r="L27" s="277" t="str">
        <f>IF(AND('Kennzahlenbogen_(KB)'!Q83="",$A27&lt;&gt;"I.O."),"-----",IF($A27="I.O.","",'Kennzahlenbogen_(KB)'!Q83))</f>
        <v>-----</v>
      </c>
      <c r="M27" s="277" t="str">
        <f>IF(AND('Kennzahlenbogen_(KB)'!R83="",$A27&lt;&gt;"I.O."),"-----",IF($A27="I.O.","",'Kennzahlenbogen_(KB)'!R83))</f>
        <v>-----</v>
      </c>
      <c r="O27" s="215">
        <f t="array" aca="1" ref="O27" ca="1">IF(ROW()-ROW($D$2:$D$33)+1&gt;ROWS($C$2:$C$33)-COUNTBLANK($C$2:$C$33),"",INDIRECT(ADDRESS(SMALL((IF($C$2:$C$33&lt;&gt;"",ROW($C$2:$C$33),ROW()+ROWS($C$2:$C$33))),ROW()-ROW($D$2:$D$33)+1),COLUMN($C$2:$C$33),4)))</f>
        <v>23</v>
      </c>
      <c r="P27" s="278" t="str">
        <f t="array" aca="1" ref="P27" ca="1">IF(ROW()-ROW($E$2:$E$33)+1&gt;ROWS($D$2:$D$33)-COUNTBLANK($D$2:$D$33),"",INDIRECT(ADDRESS(SMALL((IF($D$2:$D$33&gt;"",ROW($D$2:$D$33),ROW()+ROWS($D$2:$D$33))),ROW()-ROW($E$2:$E$33)+1),COLUMN($D$2:$D$33),4)))</f>
        <v>Adjuvante Chemotherapien Kolon (UICC Stad. III)</v>
      </c>
      <c r="Q27" s="204" t="str">
        <f t="array" aca="1" ref="Q27" ca="1">IF(ROW()-ROW($F$2:$F$33)+1&gt;ROWS($E$2:$E$33)-COUNTBLANK($E$2:$E$33),"",INDIRECT(ADDRESS(SMALL((IF($E$2:$E$33&gt;"",ROW($E$2:$E$33),ROW()+ROWS($E$2:$E$33))),ROW()-ROW($F$2:$F$33)+1),COLUMN($E$2:$E$33),4)))</f>
        <v>-----</v>
      </c>
      <c r="R27" s="204" t="str">
        <f t="array" aca="1" ref="R27" ca="1">IF(ROW()-ROW($G$2:$G$33)+1&gt;ROWS($F$2:$F$33)-COUNTBLANK($F$2:$F$33),"",INDIRECT(ADDRESS(SMALL((IF($F$2:$F$33&gt;"",ROW($F$2:$F$33),ROW()+ROWS($F$2:$F$33))),ROW()-ROW($G$2:$G$33)+1),COLUMN($F$2:$F$33),4)))</f>
        <v>≥ 70%</v>
      </c>
      <c r="S27" s="204" t="str">
        <f t="array" aca="1" ref="S27" ca="1">IF(ROW()-ROW($H$2:$H$33)+1&gt;ROWS($G$2:$G$33)-COUNTBLANK($G$2:$G$33),"",INDIRECT(ADDRESS(SMALL((IF($G$2:$G$33&lt;&gt;"",ROW($G$2:$G$33),ROW()+ROWS($G$2:$G$33))),ROW()-ROW($H$2:$H$33)+1),COLUMN($G$2:$G$33),4)))</f>
        <v>-----</v>
      </c>
      <c r="T27" s="297" t="str">
        <f t="array" aca="1" ref="T27" ca="1">IF(ROW()-ROW($I$2:$I$33)+1&gt;ROWS($H$2:$H$33)-COUNTBLANK($H$2:$H$33),"",INDIRECT(ADDRESS(SMALL((IF($H$2:$H$33&lt;&gt;"",ROW($H$2:$H$33),ROW()+ROWS($H$2:$H$33))),ROW()-ROW($I$2:$I$33)+1),COLUMN($H$2:$H$33),4)))</f>
        <v>-----</v>
      </c>
      <c r="U27" s="297" t="str">
        <f t="array" aca="1" ref="U27" ca="1">IF(ROW()-ROW($J$2:$J$33)+1&gt;ROWS($I$2:$I$33)-COUNTBLANK($I$2:$I$33),"",INDIRECT(ADDRESS(SMALL((IF($I$2:$I$33&lt;&gt;"",ROW($I$2:$I$33),ROW()+ROWS($I$2:$I$33))),ROW()-ROW($J$2:$J$33)+1),COLUMN($I$2:$I$33),4)))</f>
        <v>-----</v>
      </c>
      <c r="V27" s="279" t="str">
        <f t="array" aca="1" ref="V27" ca="1">IF(ROW()-ROW($K$2:$K$33)+1&gt;ROWS($J$2:$J$33)-COUNTBLANK($J$2:$J$33),"",INDIRECT(ADDRESS(SMALL((IF($J$2:$J$33&lt;&gt;"",ROW($J$2:$J$33),ROW()+ROWS($J$2:$J$33))),ROW()-ROW($K$2:$K$33)+1),COLUMN($J$2:$J$33),4)))</f>
        <v>n.d.</v>
      </c>
      <c r="W27" s="199" t="str">
        <f t="array" aca="1" ref="W27" ca="1">IF(ROW()-ROW($L$2:$L$33)+1&gt;ROWS($K$2:$K$33)-COUNTBLANK($K$2:$K$33),"",INDIRECT(ADDRESS(SMALL((IF($K$2:$K$33&lt;&gt;"",ROW($K$2:$K$33),ROW()+ROWS($K$2:$K$33))),ROW()-ROW($L$2:$L$33)+1),COLUMN($K$2:$K$33),4)))</f>
        <v>Unvollständig</v>
      </c>
      <c r="X27" s="278" t="str">
        <f t="array" aca="1" ref="X27" ca="1">IF(ROW()-ROW($M$2:$M$33)+1&gt;ROWS($L$2:$L$33)-COUNTBLANK($L$2:$L$33),"",INDIRECT(ADDRESS(SMALL((IF($L$2:$L$33&lt;&gt;"",ROW($L$2:$L$33),ROW()+ROWS($L$2:$L$33))),ROW()-ROW($M$2:$M$33)+1),COLUMN($L$2:$L$33),4)))</f>
        <v>-----</v>
      </c>
      <c r="Y27" s="278" t="str">
        <f t="array" aca="1" ref="Y27" ca="1">IF(ROW()-ROW($N$2:$N$33)+1&gt;ROWS($M$2:$M$33)-COUNTBLANK($M$2:$M$33),"",INDIRECT(ADDRESS(SMALL((IF($M$2:$M$33&lt;&gt;"",ROW($M$2:$M$33),ROW()+ROWS($M$2:$M$33))),ROW()-ROW($N$2:$N$33)+1),COLUMN($M$2:$M$33),4)))</f>
        <v>-----</v>
      </c>
    </row>
    <row r="28" spans="1:25" ht="56.25" x14ac:dyDescent="0.25">
      <c r="A28" s="275" t="str">
        <f>IF('Kennzahlenbogen_(KB)'!P86=0,"",'Kennzahlenbogen_(KB)'!P86)</f>
        <v>Unvollständig</v>
      </c>
      <c r="B28" s="440">
        <v>27</v>
      </c>
      <c r="C28" s="495">
        <f>IF($A28="I.O.","",'Kennzahlenbogen_(KB)'!A86)</f>
        <v>24</v>
      </c>
      <c r="D28" s="123" t="str">
        <f>IF($A28="I.O.","",'Kennzahlenbogen_(KB)'!C86)</f>
        <v>Kombinationschemotherapie bei metastasiertem KRK mit systemischer Erstlinientherapie</v>
      </c>
      <c r="E28" s="283" t="str">
        <f>IF(AND('Kennzahlenbogen_(KB)'!J86="",$A28&lt;&gt;"I.O."),"-----",IF($A28="I.O.","",'Kennzahlenbogen_(KB)'!J86))</f>
        <v>&lt; 50%</v>
      </c>
      <c r="F28" s="299" t="str">
        <f>IF($A28="I.O.","",'Kennzahlenbogen_(KB)'!K86)</f>
        <v>Derzeit keine Vorgaben</v>
      </c>
      <c r="G28" s="283" t="str">
        <f>IF(AND('Kennzahlenbogen_(KB)'!M86="",$A28&lt;&gt;"I.O."),"-----",IF($A28="I.O.","",'Kennzahlenbogen_(KB)'!M86))</f>
        <v>-----</v>
      </c>
      <c r="H28" s="298" t="str">
        <f>IF($A28="I.O.","",IF('Kennzahlenbogen_(KB)'!O86="","-----",'Kennzahlenbogen_(KB)'!O86))</f>
        <v>-----</v>
      </c>
      <c r="I28" s="298" t="str">
        <f>IF($A28="I.O.","",IF('Kennzahlenbogen_(KB)'!O87="","-----",'Kennzahlenbogen_(KB)'!O87))</f>
        <v>-----</v>
      </c>
      <c r="J28" s="276" t="str">
        <f>IF($A28="I.O.","",IF('Kennzahlenbogen_(KB)'!O88="","-----",'Kennzahlenbogen_(KB)'!O88))</f>
        <v>n.d.</v>
      </c>
      <c r="K28" s="230" t="str">
        <f>IF($A28="I.O.","",'Kennzahlenbogen_(KB)'!P86)</f>
        <v>Unvollständig</v>
      </c>
      <c r="L28" s="277" t="str">
        <f>IF(AND('Kennzahlenbogen_(KB)'!Q86="",$A28&lt;&gt;"I.O."),"-----",IF($A28="I.O.","",'Kennzahlenbogen_(KB)'!Q86))</f>
        <v>-----</v>
      </c>
      <c r="M28" s="277" t="str">
        <f>IF(AND('Kennzahlenbogen_(KB)'!R86="",$A28&lt;&gt;"I.O."),"-----",IF($A28="I.O.","",'Kennzahlenbogen_(KB)'!R86))</f>
        <v>-----</v>
      </c>
      <c r="O28" s="215">
        <f t="array" aca="1" ref="O28" ca="1">IF(ROW()-ROW($D$2:$D$33)+1&gt;ROWS($C$2:$C$33)-COUNTBLANK($C$2:$C$33),"",INDIRECT(ADDRESS(SMALL((IF($C$2:$C$33&lt;&gt;"",ROW($C$2:$C$33),ROW()+ROWS($C$2:$C$33))),ROW()-ROW($D$2:$D$33)+1),COLUMN($C$2:$C$33),4)))</f>
        <v>24</v>
      </c>
      <c r="P28" s="278" t="str">
        <f t="array" aca="1" ref="P28" ca="1">IF(ROW()-ROW($E$2:$E$33)+1&gt;ROWS($D$2:$D$33)-COUNTBLANK($D$2:$D$33),"",INDIRECT(ADDRESS(SMALL((IF($D$2:$D$33&gt;"",ROW($D$2:$D$33),ROW()+ROWS($D$2:$D$33))),ROW()-ROW($E$2:$E$33)+1),COLUMN($D$2:$D$33),4)))</f>
        <v>Kombinationschemotherapie bei metastasiertem KRK mit systemischer Erstlinientherapie</v>
      </c>
      <c r="Q28" s="204" t="str">
        <f t="array" aca="1" ref="Q28" ca="1">IF(ROW()-ROW($F$2:$F$33)+1&gt;ROWS($E$2:$E$33)-COUNTBLANK($E$2:$E$33),"",INDIRECT(ADDRESS(SMALL((IF($E$2:$E$33&gt;"",ROW($E$2:$E$33),ROW()+ROWS($E$2:$E$33))),ROW()-ROW($F$2:$F$33)+1),COLUMN($E$2:$E$33),4)))</f>
        <v>&lt; 50%</v>
      </c>
      <c r="R28" s="204" t="str">
        <f t="array" aca="1" ref="R28" ca="1">IF(ROW()-ROW($G$2:$G$33)+1&gt;ROWS($F$2:$F$33)-COUNTBLANK($F$2:$F$33),"",INDIRECT(ADDRESS(SMALL((IF($F$2:$F$33&gt;"",ROW($F$2:$F$33),ROW()+ROWS($F$2:$F$33))),ROW()-ROW($G$2:$G$33)+1),COLUMN($F$2:$F$33),4)))</f>
        <v>Derzeit keine Vorgaben</v>
      </c>
      <c r="S28" s="204" t="str">
        <f t="array" aca="1" ref="S28" ca="1">IF(ROW()-ROW($H$2:$H$33)+1&gt;ROWS($G$2:$G$33)-COUNTBLANK($G$2:$G$33),"",INDIRECT(ADDRESS(SMALL((IF($G$2:$G$33&lt;&gt;"",ROW($G$2:$G$33),ROW()+ROWS($G$2:$G$33))),ROW()-ROW($H$2:$H$33)+1),COLUMN($G$2:$G$33),4)))</f>
        <v>-----</v>
      </c>
      <c r="T28" s="297" t="str">
        <f t="array" aca="1" ref="T28" ca="1">IF(ROW()-ROW($I$2:$I$33)+1&gt;ROWS($H$2:$H$33)-COUNTBLANK($H$2:$H$33),"",INDIRECT(ADDRESS(SMALL((IF($H$2:$H$33&lt;&gt;"",ROW($H$2:$H$33),ROW()+ROWS($H$2:$H$33))),ROW()-ROW($I$2:$I$33)+1),COLUMN($H$2:$H$33),4)))</f>
        <v>-----</v>
      </c>
      <c r="U28" s="297" t="str">
        <f t="array" aca="1" ref="U28" ca="1">IF(ROW()-ROW($J$2:$J$33)+1&gt;ROWS($I$2:$I$33)-COUNTBLANK($I$2:$I$33),"",INDIRECT(ADDRESS(SMALL((IF($I$2:$I$33&lt;&gt;"",ROW($I$2:$I$33),ROW()+ROWS($I$2:$I$33))),ROW()-ROW($J$2:$J$33)+1),COLUMN($I$2:$I$33),4)))</f>
        <v>-----</v>
      </c>
      <c r="V28" s="279" t="str">
        <f t="array" aca="1" ref="V28" ca="1">IF(ROW()-ROW($K$2:$K$33)+1&gt;ROWS($J$2:$J$33)-COUNTBLANK($J$2:$J$33),"",INDIRECT(ADDRESS(SMALL((IF($J$2:$J$33&lt;&gt;"",ROW($J$2:$J$33),ROW()+ROWS($J$2:$J$33))),ROW()-ROW($K$2:$K$33)+1),COLUMN($J$2:$J$33),4)))</f>
        <v>n.d.</v>
      </c>
      <c r="W28" s="199" t="str">
        <f t="array" aca="1" ref="W28" ca="1">IF(ROW()-ROW($L$2:$L$33)+1&gt;ROWS($K$2:$K$33)-COUNTBLANK($K$2:$K$33),"",INDIRECT(ADDRESS(SMALL((IF($K$2:$K$33&lt;&gt;"",ROW($K$2:$K$33),ROW()+ROWS($K$2:$K$33))),ROW()-ROW($L$2:$L$33)+1),COLUMN($K$2:$K$33),4)))</f>
        <v>Unvollständig</v>
      </c>
      <c r="X28" s="278" t="str">
        <f t="array" aca="1" ref="X28" ca="1">IF(ROW()-ROW($M$2:$M$33)+1&gt;ROWS($L$2:$L$33)-COUNTBLANK($L$2:$L$33),"",INDIRECT(ADDRESS(SMALL((IF($L$2:$L$33&lt;&gt;"",ROW($L$2:$L$33),ROW()+ROWS($L$2:$L$33))),ROW()-ROW($M$2:$M$33)+1),COLUMN($L$2:$L$33),4)))</f>
        <v>-----</v>
      </c>
      <c r="Y28" s="278" t="str">
        <f t="array" aca="1" ref="Y28" ca="1">IF(ROW()-ROW($N$2:$N$33)+1&gt;ROWS($M$2:$M$33)-COUNTBLANK($M$2:$M$33),"",INDIRECT(ADDRESS(SMALL((IF($M$2:$M$33&lt;&gt;"",ROW($M$2:$M$33),ROW()+ROWS($M$2:$M$33))),ROW()-ROW($N$2:$N$33)+1),COLUMN($M$2:$M$33),4)))</f>
        <v>-----</v>
      </c>
    </row>
    <row r="29" spans="1:25" ht="33.75" x14ac:dyDescent="0.25">
      <c r="A29" s="275" t="str">
        <f>IF('Kennzahlenbogen_(KB)'!P89=0,"",'Kennzahlenbogen_(KB)'!P89)</f>
        <v>Unvollständig</v>
      </c>
      <c r="B29" s="440">
        <v>28</v>
      </c>
      <c r="C29" s="34">
        <f>IF($A29="I.O.","",'Kennzahlenbogen_(KB)'!A89)</f>
        <v>25</v>
      </c>
      <c r="D29" s="123" t="str">
        <f>IF($A29="I.O.","",'Kennzahlenbogen_(KB)'!C89)</f>
        <v xml:space="preserve">Qualität des TME-Rektumpräparates (Angabe Pathologie) </v>
      </c>
      <c r="E29" s="283" t="str">
        <f>IF(AND('Kennzahlenbogen_(KB)'!J89="",$A29&lt;&gt;"I.O."),"-----",IF($A29="I.O.","",'Kennzahlenbogen_(KB)'!J89))</f>
        <v>-----</v>
      </c>
      <c r="F29" s="299" t="str">
        <f>IF($A29="I.O.","",'Kennzahlenbogen_(KB)'!K89)</f>
        <v>≥ 85%</v>
      </c>
      <c r="G29" s="283" t="str">
        <f>IF(AND('Kennzahlenbogen_(KB)'!M89="",$A29&lt;&gt;"I.O."),"-----",IF($A29="I.O.","",'Kennzahlenbogen_(KB)'!M89))</f>
        <v>-----</v>
      </c>
      <c r="H29" s="298" t="str">
        <f>IF($A29="I.O.","",IF('Kennzahlenbogen_(KB)'!O89="","-----",'Kennzahlenbogen_(KB)'!O89))</f>
        <v>-----</v>
      </c>
      <c r="I29" s="298" t="str">
        <f>IF($A29="I.O.","",IF('Kennzahlenbogen_(KB)'!O90="","-----",'Kennzahlenbogen_(KB)'!O90))</f>
        <v>-----</v>
      </c>
      <c r="J29" s="276" t="str">
        <f>IF($A29="I.O.","",IF('Kennzahlenbogen_(KB)'!O91="",0,'Kennzahlenbogen_(KB)'!O91))</f>
        <v>n.d.</v>
      </c>
      <c r="K29" s="230" t="str">
        <f>IF($A29="I.O.","",'Kennzahlenbogen_(KB)'!P89)</f>
        <v>Unvollständig</v>
      </c>
      <c r="L29" s="277" t="str">
        <f>IF(AND('Kennzahlenbogen_(KB)'!Q89="",$A29&lt;&gt;"I.O."),"-----",IF($A29="I.O.","",'Kennzahlenbogen_(KB)'!Q89))</f>
        <v>-----</v>
      </c>
      <c r="M29" s="277" t="str">
        <f>IF(AND('Kennzahlenbogen_(KB)'!R89="",$A29&lt;&gt;"I.O."),"-----",IF($A29="I.O.","",'Kennzahlenbogen_(KB)'!R89))</f>
        <v>-----</v>
      </c>
      <c r="O29" s="215">
        <f t="array" aca="1" ref="O29" ca="1">IF(ROW()-ROW($D$2:$D$33)+1&gt;ROWS($C$2:$C$33)-COUNTBLANK($C$2:$C$33),"",INDIRECT(ADDRESS(SMALL((IF($C$2:$C$33&lt;&gt;"",ROW($C$2:$C$33),ROW()+ROWS($C$2:$C$33))),ROW()-ROW($D$2:$D$33)+1),COLUMN($C$2:$C$33),4)))</f>
        <v>25</v>
      </c>
      <c r="P29" s="278" t="str">
        <f t="array" aca="1" ref="P29" ca="1">IF(ROW()-ROW($E$2:$E$33)+1&gt;ROWS($D$2:$D$33)-COUNTBLANK($D$2:$D$33),"",INDIRECT(ADDRESS(SMALL((IF($D$2:$D$33&gt;"",ROW($D$2:$D$33),ROW()+ROWS($D$2:$D$33))),ROW()-ROW($E$2:$E$33)+1),COLUMN($D$2:$D$33),4)))</f>
        <v xml:space="preserve">Qualität des TME-Rektumpräparates (Angabe Pathologie) </v>
      </c>
      <c r="Q29" s="204" t="str">
        <f t="array" aca="1" ref="Q29" ca="1">IF(ROW()-ROW($F$2:$F$33)+1&gt;ROWS($E$2:$E$33)-COUNTBLANK($E$2:$E$33),"",INDIRECT(ADDRESS(SMALL((IF($E$2:$E$33&gt;"",ROW($E$2:$E$33),ROW()+ROWS($E$2:$E$33))),ROW()-ROW($F$2:$F$33)+1),COLUMN($E$2:$E$33),4)))</f>
        <v>-----</v>
      </c>
      <c r="R29" s="204" t="str">
        <f t="array" aca="1" ref="R29" ca="1">IF(ROW()-ROW($G$2:$G$33)+1&gt;ROWS($F$2:$F$33)-COUNTBLANK($F$2:$F$33),"",INDIRECT(ADDRESS(SMALL((IF($F$2:$F$33&gt;"",ROW($F$2:$F$33),ROW()+ROWS($F$2:$F$33))),ROW()-ROW($G$2:$G$33)+1),COLUMN($F$2:$F$33),4)))</f>
        <v>≥ 85%</v>
      </c>
      <c r="S29" s="204" t="str">
        <f t="array" aca="1" ref="S29" ca="1">IF(ROW()-ROW($H$2:$H$33)+1&gt;ROWS($G$2:$G$33)-COUNTBLANK($G$2:$G$33),"",INDIRECT(ADDRESS(SMALL((IF($G$2:$G$33&lt;&gt;"",ROW($G$2:$G$33),ROW()+ROWS($G$2:$G$33))),ROW()-ROW($H$2:$H$33)+1),COLUMN($G$2:$G$33),4)))</f>
        <v>-----</v>
      </c>
      <c r="T29" s="297" t="str">
        <f t="array" aca="1" ref="T29" ca="1">IF(ROW()-ROW($I$2:$I$33)+1&gt;ROWS($H$2:$H$33)-COUNTBLANK($H$2:$H$33),"",INDIRECT(ADDRESS(SMALL((IF($H$2:$H$33&lt;&gt;"",ROW($H$2:$H$33),ROW()+ROWS($H$2:$H$33))),ROW()-ROW($I$2:$I$33)+1),COLUMN($H$2:$H$33),4)))</f>
        <v>-----</v>
      </c>
      <c r="U29" s="297" t="str">
        <f t="array" aca="1" ref="U29" ca="1">IF(ROW()-ROW($J$2:$J$33)+1&gt;ROWS($I$2:$I$33)-COUNTBLANK($I$2:$I$33),"",INDIRECT(ADDRESS(SMALL((IF($I$2:$I$33&lt;&gt;"",ROW($I$2:$I$33),ROW()+ROWS($I$2:$I$33))),ROW()-ROW($J$2:$J$33)+1),COLUMN($I$2:$I$33),4)))</f>
        <v>-----</v>
      </c>
      <c r="V29" s="279" t="str">
        <f t="array" aca="1" ref="V29" ca="1">IF(ROW()-ROW($K$2:$K$33)+1&gt;ROWS($J$2:$J$33)-COUNTBLANK($J$2:$J$33),"",INDIRECT(ADDRESS(SMALL((IF($J$2:$J$33&lt;&gt;"",ROW($J$2:$J$33),ROW()+ROWS($J$2:$J$33))),ROW()-ROW($K$2:$K$33)+1),COLUMN($J$2:$J$33),4)))</f>
        <v>n.d.</v>
      </c>
      <c r="W29" s="199" t="str">
        <f t="array" aca="1" ref="W29" ca="1">IF(ROW()-ROW($L$2:$L$33)+1&gt;ROWS($K$2:$K$33)-COUNTBLANK($K$2:$K$33),"",INDIRECT(ADDRESS(SMALL((IF($K$2:$K$33&lt;&gt;"",ROW($K$2:$K$33),ROW()+ROWS($K$2:$K$33))),ROW()-ROW($L$2:$L$33)+1),COLUMN($K$2:$K$33),4)))</f>
        <v>Unvollständig</v>
      </c>
      <c r="X29" s="278" t="str">
        <f t="array" aca="1" ref="X29" ca="1">IF(ROW()-ROW($M$2:$M$33)+1&gt;ROWS($L$2:$L$33)-COUNTBLANK($L$2:$L$33),"",INDIRECT(ADDRESS(SMALL((IF($L$2:$L$33&lt;&gt;"",ROW($L$2:$L$33),ROW()+ROWS($L$2:$L$33))),ROW()-ROW($M$2:$M$33)+1),COLUMN($L$2:$L$33),4)))</f>
        <v>-----</v>
      </c>
      <c r="Y29" s="278" t="str">
        <f t="array" aca="1" ref="Y29" ca="1">IF(ROW()-ROW($N$2:$N$33)+1&gt;ROWS($M$2:$M$33)-COUNTBLANK($M$2:$M$33),"",INDIRECT(ADDRESS(SMALL((IF($M$2:$M$33&lt;&gt;"",ROW($M$2:$M$33),ROW()+ROWS($M$2:$M$33))),ROW()-ROW($N$2:$N$33)+1),COLUMN($M$2:$M$33),4)))</f>
        <v>-----</v>
      </c>
    </row>
    <row r="30" spans="1:25" ht="33.75" x14ac:dyDescent="0.25">
      <c r="A30" s="275" t="str">
        <f>IF('Kennzahlenbogen_(KB)'!P92=0,"",'Kennzahlenbogen_(KB)'!P92)</f>
        <v>Unvollständig</v>
      </c>
      <c r="B30" s="440">
        <v>29</v>
      </c>
      <c r="C30" s="34">
        <f>IF($A30="I.O.","",'Kennzahlenbogen_(KB)'!A92)</f>
        <v>26</v>
      </c>
      <c r="D30" s="123" t="str">
        <f>IF($A30="I.O.","",'Kennzahlenbogen_(KB)'!C92)</f>
        <v>Befundbericht nach operativer Resektion bei KRK</v>
      </c>
      <c r="E30" s="283" t="str">
        <f>IF(AND('Kennzahlenbogen_(KB)'!J92="",$A30&lt;&gt;"I.O."),"-----",IF($A30="I.O.","",'Kennzahlenbogen_(KB)'!J92))</f>
        <v>-----</v>
      </c>
      <c r="F30" s="299" t="str">
        <f>IF($A30="I.O.","",'Kennzahlenbogen_(KB)'!K92)</f>
        <v>≥ 95%</v>
      </c>
      <c r="G30" s="283" t="str">
        <f>IF(AND('Kennzahlenbogen_(KB)'!M92="",$A30&lt;&gt;"I.O."),"-----",IF($A30="I.O.","",'Kennzahlenbogen_(KB)'!M92))</f>
        <v>-----</v>
      </c>
      <c r="H30" s="298" t="str">
        <f>IF($A30="I.O.","",IF('Kennzahlenbogen_(KB)'!O92="","-----",'Kennzahlenbogen_(KB)'!O92))</f>
        <v>-----</v>
      </c>
      <c r="I30" s="298" t="str">
        <f>IF($A30="I.O.","",IF('Kennzahlenbogen_(KB)'!O93="","-----",'Kennzahlenbogen_(KB)'!O93))</f>
        <v>-----</v>
      </c>
      <c r="J30" s="276" t="str">
        <f>IF($A30="I.O.","",IF('Kennzahlenbogen_(KB)'!O94="",0,'Kennzahlenbogen_(KB)'!O94))</f>
        <v>n.d.</v>
      </c>
      <c r="K30" s="230" t="str">
        <f>IF($A30="I.O.","",'Kennzahlenbogen_(KB)'!P92)</f>
        <v>Unvollständig</v>
      </c>
      <c r="L30" s="277" t="str">
        <f>IF(AND('Kennzahlenbogen_(KB)'!Q92="",$A30&lt;&gt;"I.O."),"-----",IF($A30="I.O.","",'Kennzahlenbogen_(KB)'!Q92))</f>
        <v>-----</v>
      </c>
      <c r="M30" s="277" t="str">
        <f>IF(AND('Kennzahlenbogen_(KB)'!R92="",$A30&lt;&gt;"I.O."),"-----",IF($A30="I.O.","",'Kennzahlenbogen_(KB)'!R92))</f>
        <v>-----</v>
      </c>
      <c r="O30" s="215">
        <f t="array" aca="1" ref="O30" ca="1">IF(ROW()-ROW($D$2:$D$33)+1&gt;ROWS($C$2:$C$33)-COUNTBLANK($C$2:$C$33),"",INDIRECT(ADDRESS(SMALL((IF($C$2:$C$33&lt;&gt;"",ROW($C$2:$C$33),ROW()+ROWS($C$2:$C$33))),ROW()-ROW($D$2:$D$33)+1),COLUMN($C$2:$C$33),4)))</f>
        <v>26</v>
      </c>
      <c r="P30" s="278" t="str">
        <f t="array" aca="1" ref="P30" ca="1">IF(ROW()-ROW($E$2:$E$33)+1&gt;ROWS($D$2:$D$33)-COUNTBLANK($D$2:$D$33),"",INDIRECT(ADDRESS(SMALL((IF($D$2:$D$33&gt;"",ROW($D$2:$D$33),ROW()+ROWS($D$2:$D$33))),ROW()-ROW($E$2:$E$33)+1),COLUMN($D$2:$D$33),4)))</f>
        <v>Befundbericht nach operativer Resektion bei KRK</v>
      </c>
      <c r="Q30" s="204" t="str">
        <f t="array" aca="1" ref="Q30" ca="1">IF(ROW()-ROW($F$2:$F$33)+1&gt;ROWS($E$2:$E$33)-COUNTBLANK($E$2:$E$33),"",INDIRECT(ADDRESS(SMALL((IF($E$2:$E$33&gt;"",ROW($E$2:$E$33),ROW()+ROWS($E$2:$E$33))),ROW()-ROW($F$2:$F$33)+1),COLUMN($E$2:$E$33),4)))</f>
        <v>-----</v>
      </c>
      <c r="R30" s="204" t="str">
        <f t="array" aca="1" ref="R30" ca="1">IF(ROW()-ROW($G$2:$G$33)+1&gt;ROWS($F$2:$F$33)-COUNTBLANK($F$2:$F$33),"",INDIRECT(ADDRESS(SMALL((IF($F$2:$F$33&gt;"",ROW($F$2:$F$33),ROW()+ROWS($F$2:$F$33))),ROW()-ROW($G$2:$G$33)+1),COLUMN($F$2:$F$33),4)))</f>
        <v>≥ 95%</v>
      </c>
      <c r="S30" s="204" t="str">
        <f t="array" aca="1" ref="S30" ca="1">IF(ROW()-ROW($H$2:$H$33)+1&gt;ROWS($G$2:$G$33)-COUNTBLANK($G$2:$G$33),"",INDIRECT(ADDRESS(SMALL((IF($G$2:$G$33&lt;&gt;"",ROW($G$2:$G$33),ROW()+ROWS($G$2:$G$33))),ROW()-ROW($H$2:$H$33)+1),COLUMN($G$2:$G$33),4)))</f>
        <v>-----</v>
      </c>
      <c r="T30" s="297" t="str">
        <f t="array" aca="1" ref="T30" ca="1">IF(ROW()-ROW($I$2:$I$33)+1&gt;ROWS($H$2:$H$33)-COUNTBLANK($H$2:$H$33),"",INDIRECT(ADDRESS(SMALL((IF($H$2:$H$33&lt;&gt;"",ROW($H$2:$H$33),ROW()+ROWS($H$2:$H$33))),ROW()-ROW($I$2:$I$33)+1),COLUMN($H$2:$H$33),4)))</f>
        <v>-----</v>
      </c>
      <c r="U30" s="297" t="str">
        <f t="array" aca="1" ref="U30" ca="1">IF(ROW()-ROW($J$2:$J$33)+1&gt;ROWS($I$2:$I$33)-COUNTBLANK($I$2:$I$33),"",INDIRECT(ADDRESS(SMALL((IF($I$2:$I$33&lt;&gt;"",ROW($I$2:$I$33),ROW()+ROWS($I$2:$I$33))),ROW()-ROW($J$2:$J$33)+1),COLUMN($I$2:$I$33),4)))</f>
        <v>-----</v>
      </c>
      <c r="V30" s="279" t="str">
        <f t="array" aca="1" ref="V30" ca="1">IF(ROW()-ROW($K$2:$K$33)+1&gt;ROWS($J$2:$J$33)-COUNTBLANK($J$2:$J$33),"",INDIRECT(ADDRESS(SMALL((IF($J$2:$J$33&lt;&gt;"",ROW($J$2:$J$33),ROW()+ROWS($J$2:$J$33))),ROW()-ROW($K$2:$K$33)+1),COLUMN($J$2:$J$33),4)))</f>
        <v>n.d.</v>
      </c>
      <c r="W30" s="199" t="str">
        <f t="array" aca="1" ref="W30" ca="1">IF(ROW()-ROW($L$2:$L$33)+1&gt;ROWS($K$2:$K$33)-COUNTBLANK($K$2:$K$33),"",INDIRECT(ADDRESS(SMALL((IF($K$2:$K$33&lt;&gt;"",ROW($K$2:$K$33),ROW()+ROWS($K$2:$K$33))),ROW()-ROW($L$2:$L$33)+1),COLUMN($K$2:$K$33),4)))</f>
        <v>Unvollständig</v>
      </c>
      <c r="X30" s="278" t="str">
        <f t="array" aca="1" ref="X30" ca="1">IF(ROW()-ROW($M$2:$M$33)+1&gt;ROWS($L$2:$L$33)-COUNTBLANK($L$2:$L$33),"",INDIRECT(ADDRESS(SMALL((IF($L$2:$L$33&lt;&gt;"",ROW($L$2:$L$33),ROW()+ROWS($L$2:$L$33))),ROW()-ROW($M$2:$M$33)+1),COLUMN($L$2:$L$33),4)))</f>
        <v>-----</v>
      </c>
      <c r="Y30" s="278" t="str">
        <f t="array" aca="1" ref="Y30" ca="1">IF(ROW()-ROW($N$2:$N$33)+1&gt;ROWS($M$2:$M$33)-COUNTBLANK($M$2:$M$33),"",INDIRECT(ADDRESS(SMALL((IF($M$2:$M$33&lt;&gt;"",ROW($M$2:$M$33),ROW()+ROWS($M$2:$M$33))),ROW()-ROW($N$2:$N$33)+1),COLUMN($M$2:$M$33),4)))</f>
        <v>-----</v>
      </c>
    </row>
    <row r="31" spans="1:25" ht="22.5" x14ac:dyDescent="0.25">
      <c r="A31" s="275" t="str">
        <f>IF('Kennzahlenbogen_(KB)'!P95=0,"",'Kennzahlenbogen_(KB)'!P95)</f>
        <v>Unvollständig</v>
      </c>
      <c r="B31" s="440">
        <v>30</v>
      </c>
      <c r="C31" s="34">
        <f>IF($A31="I.O.","",'Kennzahlenbogen_(KB)'!A95)</f>
        <v>27</v>
      </c>
      <c r="D31" s="123" t="str">
        <f>IF($A31="I.O.","",'Kennzahlenbogen_(KB)'!C95)</f>
        <v>Lymphknotenuntersuchung</v>
      </c>
      <c r="E31" s="283" t="str">
        <f>IF(AND('Kennzahlenbogen_(KB)'!J95="",$A31&lt;&gt;"I.O."),"-----",IF($A31="I.O.","",'Kennzahlenbogen_(KB)'!J95))</f>
        <v>-----</v>
      </c>
      <c r="F31" s="299" t="str">
        <f>IF($A31="I.O.","",'Kennzahlenbogen_(KB)'!K95)</f>
        <v xml:space="preserve">≥ 95% </v>
      </c>
      <c r="G31" s="283" t="str">
        <f>IF(AND('Kennzahlenbogen_(KB)'!M95="",$A31&lt;&gt;"I.O."),"-----",IF($A31="I.O.","",'Kennzahlenbogen_(KB)'!M95))</f>
        <v>-----</v>
      </c>
      <c r="H31" s="298" t="str">
        <f>IF($A31="I.O.","",IF('Kennzahlenbogen_(KB)'!O95="","-----",'Kennzahlenbogen_(KB)'!O95))</f>
        <v>-----</v>
      </c>
      <c r="I31" s="298" t="str">
        <f>IF($A31="I.O.","",IF('Kennzahlenbogen_(KB)'!O96="","-----",'Kennzahlenbogen_(KB)'!O96))</f>
        <v>-----</v>
      </c>
      <c r="J31" s="276" t="str">
        <f>IF($A31="I.O.","",IF('Kennzahlenbogen_(KB)'!O97="",0,'Kennzahlenbogen_(KB)'!O97))</f>
        <v>n.d.</v>
      </c>
      <c r="K31" s="230" t="str">
        <f>IF($A31="I.O.","",'Kennzahlenbogen_(KB)'!P95)</f>
        <v>Unvollständig</v>
      </c>
      <c r="L31" s="277" t="str">
        <f>IF(AND('Kennzahlenbogen_(KB)'!Q95="",$A31&lt;&gt;"I.O."),"-----",IF($A31="I.O.","",'Kennzahlenbogen_(KB)'!Q95))</f>
        <v>-----</v>
      </c>
      <c r="M31" s="277" t="str">
        <f>IF(AND('Kennzahlenbogen_(KB)'!R95="",$A31&lt;&gt;"I.O."),"-----",IF($A31="I.O.","",'Kennzahlenbogen_(KB)'!R95))</f>
        <v>-----</v>
      </c>
      <c r="O31" s="215">
        <f t="array" aca="1" ref="O31" ca="1">IF(ROW()-ROW($D$2:$D$33)+1&gt;ROWS($C$2:$C$33)-COUNTBLANK($C$2:$C$33),"",INDIRECT(ADDRESS(SMALL((IF($C$2:$C$33&lt;&gt;"",ROW($C$2:$C$33),ROW()+ROWS($C$2:$C$33))),ROW()-ROW($D$2:$D$33)+1),COLUMN($C$2:$C$33),4)))</f>
        <v>27</v>
      </c>
      <c r="P31" s="278" t="str">
        <f t="array" aca="1" ref="P31" ca="1">IF(ROW()-ROW($E$2:$E$33)+1&gt;ROWS($D$2:$D$33)-COUNTBLANK($D$2:$D$33),"",INDIRECT(ADDRESS(SMALL((IF($D$2:$D$33&gt;"",ROW($D$2:$D$33),ROW()+ROWS($D$2:$D$33))),ROW()-ROW($E$2:$E$33)+1),COLUMN($D$2:$D$33),4)))</f>
        <v>Lymphknotenuntersuchung</v>
      </c>
      <c r="Q31" s="204" t="str">
        <f t="array" aca="1" ref="Q31" ca="1">IF(ROW()-ROW($F$2:$F$33)+1&gt;ROWS($E$2:$E$33)-COUNTBLANK($E$2:$E$33),"",INDIRECT(ADDRESS(SMALL((IF($E$2:$E$33&gt;"",ROW($E$2:$E$33),ROW()+ROWS($E$2:$E$33))),ROW()-ROW($F$2:$F$33)+1),COLUMN($E$2:$E$33),4)))</f>
        <v>-----</v>
      </c>
      <c r="R31" s="204" t="str">
        <f t="array" aca="1" ref="R31" ca="1">IF(ROW()-ROW($G$2:$G$33)+1&gt;ROWS($F$2:$F$33)-COUNTBLANK($F$2:$F$33),"",INDIRECT(ADDRESS(SMALL((IF($F$2:$F$33&gt;"",ROW($F$2:$F$33),ROW()+ROWS($F$2:$F$33))),ROW()-ROW($G$2:$G$33)+1),COLUMN($F$2:$F$33),4)))</f>
        <v xml:space="preserve">≥ 95% </v>
      </c>
      <c r="S31" s="204" t="str">
        <f t="array" aca="1" ref="S31" ca="1">IF(ROW()-ROW($H$2:$H$33)+1&gt;ROWS($G$2:$G$33)-COUNTBLANK($G$2:$G$33),"",INDIRECT(ADDRESS(SMALL((IF($G$2:$G$33&lt;&gt;"",ROW($G$2:$G$33),ROW()+ROWS($G$2:$G$33))),ROW()-ROW($H$2:$H$33)+1),COLUMN($G$2:$G$33),4)))</f>
        <v>-----</v>
      </c>
      <c r="T31" s="297" t="str">
        <f t="array" aca="1" ref="T31" ca="1">IF(ROW()-ROW($I$2:$I$33)+1&gt;ROWS($H$2:$H$33)-COUNTBLANK($H$2:$H$33),"",INDIRECT(ADDRESS(SMALL((IF($H$2:$H$33&lt;&gt;"",ROW($H$2:$H$33),ROW()+ROWS($H$2:$H$33))),ROW()-ROW($I$2:$I$33)+1),COLUMN($H$2:$H$33),4)))</f>
        <v>-----</v>
      </c>
      <c r="U31" s="297" t="str">
        <f t="array" aca="1" ref="U31" ca="1">IF(ROW()-ROW($J$2:$J$33)+1&gt;ROWS($I$2:$I$33)-COUNTBLANK($I$2:$I$33),"",INDIRECT(ADDRESS(SMALL((IF($I$2:$I$33&lt;&gt;"",ROW($I$2:$I$33),ROW()+ROWS($I$2:$I$33))),ROW()-ROW($J$2:$J$33)+1),COLUMN($I$2:$I$33),4)))</f>
        <v>-----</v>
      </c>
      <c r="V31" s="279" t="str">
        <f t="array" aca="1" ref="V31" ca="1">IF(ROW()-ROW($K$2:$K$33)+1&gt;ROWS($J$2:$J$33)-COUNTBLANK($J$2:$J$33),"",INDIRECT(ADDRESS(SMALL((IF($J$2:$J$33&lt;&gt;"",ROW($J$2:$J$33),ROW()+ROWS($J$2:$J$33))),ROW()-ROW($K$2:$K$33)+1),COLUMN($J$2:$J$33),4)))</f>
        <v>n.d.</v>
      </c>
      <c r="W31" s="199" t="str">
        <f t="array" aca="1" ref="W31" ca="1">IF(ROW()-ROW($L$2:$L$33)+1&gt;ROWS($K$2:$K$33)-COUNTBLANK($K$2:$K$33),"",INDIRECT(ADDRESS(SMALL((IF($K$2:$K$33&lt;&gt;"",ROW($K$2:$K$33),ROW()+ROWS($K$2:$K$33))),ROW()-ROW($L$2:$L$33)+1),COLUMN($K$2:$K$33),4)))</f>
        <v>Unvollständig</v>
      </c>
      <c r="X31" s="278" t="str">
        <f t="array" aca="1" ref="X31" ca="1">IF(ROW()-ROW($M$2:$M$33)+1&gt;ROWS($L$2:$L$33)-COUNTBLANK($L$2:$L$33),"",INDIRECT(ADDRESS(SMALL((IF($L$2:$L$33&lt;&gt;"",ROW($L$2:$L$33),ROW()+ROWS($L$2:$L$33))),ROW()-ROW($M$2:$M$33)+1),COLUMN($L$2:$L$33),4)))</f>
        <v>-----</v>
      </c>
      <c r="Y31" s="278" t="str">
        <f t="array" aca="1" ref="Y31" ca="1">IF(ROW()-ROW($N$2:$N$33)+1&gt;ROWS($M$2:$M$33)-COUNTBLANK($M$2:$M$33),"",INDIRECT(ADDRESS(SMALL((IF($M$2:$M$33&lt;&gt;"",ROW($M$2:$M$33),ROW()+ROWS($M$2:$M$33))),ROW()-ROW($N$2:$N$33)+1),COLUMN($M$2:$M$33),4)))</f>
        <v>-----</v>
      </c>
    </row>
    <row r="32" spans="1:25" ht="33.75" x14ac:dyDescent="0.25">
      <c r="A32" s="275" t="str">
        <f>IF('Kennzahlenbogen_(KB)'!P98=0,"",'Kennzahlenbogen_(KB)'!P98)</f>
        <v>Unvollständig</v>
      </c>
      <c r="B32" s="440">
        <v>31</v>
      </c>
      <c r="C32" s="495">
        <f>IF($A32="I.O.","",'Kennzahlenbogen_(KB)'!A98)</f>
        <v>28</v>
      </c>
      <c r="D32" s="123" t="str">
        <f>IF($A32="I.O.","",'Kennzahlenbogen_(KB)'!C98)</f>
        <v>Beginn der adjuvanten systemischen Therapie</v>
      </c>
      <c r="E32" s="283" t="str">
        <f>IF(AND('Kennzahlenbogen_(KB)'!J98="",$A32&lt;&gt;"I.O."),"-----",IF($A32="I.O.","",'Kennzahlenbogen_(KB)'!J98))</f>
        <v>-----</v>
      </c>
      <c r="F32" s="299" t="str">
        <f>IF($A32="I.O.","",'Kennzahlenbogen_(KB)'!K98)</f>
        <v xml:space="preserve">≥ 80% </v>
      </c>
      <c r="G32" s="283" t="str">
        <f>IF(AND('Kennzahlenbogen_(KB)'!M98="",$A32&lt;&gt;"I.O."),"-----",IF($A32="I.O.","",'Kennzahlenbogen_(KB)'!M98))</f>
        <v>-----</v>
      </c>
      <c r="H32" s="298" t="str">
        <f>IF($A32="I.O.","",IF('Kennzahlenbogen_(KB)'!O98="","-----",'Kennzahlenbogen_(KB)'!O98))</f>
        <v>-----</v>
      </c>
      <c r="I32" s="298">
        <f>IF($A32="I.O.","",IF('Kennzahlenbogen_(KB)'!O99="","-----",'Kennzahlenbogen_(KB)'!O99))</f>
        <v>0</v>
      </c>
      <c r="J32" s="276" t="str">
        <f>IF($A32="I.O.","",IF('Kennzahlenbogen_(KB)'!O100="","-----",'Kennzahlenbogen_(KB)'!O100))</f>
        <v>n.d.</v>
      </c>
      <c r="K32" s="230" t="str">
        <f>IF($A32="I.O.","",'Kennzahlenbogen_(KB)'!P98)</f>
        <v>Unvollständig</v>
      </c>
      <c r="L32" s="277" t="str">
        <f>IF(AND('Kennzahlenbogen_(KB)'!Q98="",$A32&lt;&gt;"I.O."),"-----",IF($A32="I.O.","",'Kennzahlenbogen_(KB)'!Q98))</f>
        <v>-----</v>
      </c>
      <c r="M32" s="277" t="str">
        <f>IF(AND('Kennzahlenbogen_(KB)'!R98="",$A32&lt;&gt;"I.O."),"-----",IF($A32="I.O.","",'Kennzahlenbogen_(KB)'!R98))</f>
        <v>-----</v>
      </c>
      <c r="O32" s="215">
        <f t="array" aca="1" ref="O32" ca="1">IF(ROW()-ROW($D$2:$D$33)+1&gt;ROWS($C$2:$C$33)-COUNTBLANK($C$2:$C$33),"",INDIRECT(ADDRESS(SMALL((IF($C$2:$C$33&lt;&gt;"",ROW($C$2:$C$33),ROW()+ROWS($C$2:$C$33))),ROW()-ROW($D$2:$D$33)+1),COLUMN($C$2:$C$33),4)))</f>
        <v>28</v>
      </c>
      <c r="P32" s="278" t="str">
        <f t="array" aca="1" ref="P32" ca="1">IF(ROW()-ROW($E$2:$E$33)+1&gt;ROWS($D$2:$D$33)-COUNTBLANK($D$2:$D$33),"",INDIRECT(ADDRESS(SMALL((IF($D$2:$D$33&gt;"",ROW($D$2:$D$33),ROW()+ROWS($D$2:$D$33))),ROW()-ROW($E$2:$E$33)+1),COLUMN($D$2:$D$33),4)))</f>
        <v>Beginn der adjuvanten systemischen Therapie</v>
      </c>
      <c r="Q32" s="204" t="str">
        <f t="array" aca="1" ref="Q32" ca="1">IF(ROW()-ROW($F$2:$F$33)+1&gt;ROWS($E$2:$E$33)-COUNTBLANK($E$2:$E$33),"",INDIRECT(ADDRESS(SMALL((IF($E$2:$E$33&gt;"",ROW($E$2:$E$33),ROW()+ROWS($E$2:$E$33))),ROW()-ROW($F$2:$F$33)+1),COLUMN($E$2:$E$33),4)))</f>
        <v>-----</v>
      </c>
      <c r="R32" s="204" t="str">
        <f t="array" aca="1" ref="R32" ca="1">IF(ROW()-ROW($G$2:$G$33)+1&gt;ROWS($F$2:$F$33)-COUNTBLANK($F$2:$F$33),"",INDIRECT(ADDRESS(SMALL((IF($F$2:$F$33&gt;"",ROW($F$2:$F$33),ROW()+ROWS($F$2:$F$33))),ROW()-ROW($G$2:$G$33)+1),COLUMN($F$2:$F$33),4)))</f>
        <v xml:space="preserve">≥ 80% </v>
      </c>
      <c r="S32" s="204" t="str">
        <f t="array" aca="1" ref="S32" ca="1">IF(ROW()-ROW($H$2:$H$33)+1&gt;ROWS($G$2:$G$33)-COUNTBLANK($G$2:$G$33),"",INDIRECT(ADDRESS(SMALL((IF($G$2:$G$33&lt;&gt;"",ROW($G$2:$G$33),ROW()+ROWS($G$2:$G$33))),ROW()-ROW($H$2:$H$33)+1),COLUMN($G$2:$G$33),4)))</f>
        <v>-----</v>
      </c>
      <c r="T32" s="297" t="str">
        <f t="array" aca="1" ref="T32" ca="1">IF(ROW()-ROW($I$2:$I$33)+1&gt;ROWS($H$2:$H$33)-COUNTBLANK($H$2:$H$33),"",INDIRECT(ADDRESS(SMALL((IF($H$2:$H$33&lt;&gt;"",ROW($H$2:$H$33),ROW()+ROWS($H$2:$H$33))),ROW()-ROW($I$2:$I$33)+1),COLUMN($H$2:$H$33),4)))</f>
        <v>-----</v>
      </c>
      <c r="U32" s="297">
        <f t="array" aca="1" ref="U32" ca="1">IF(ROW()-ROW($J$2:$J$33)+1&gt;ROWS($I$2:$I$33)-COUNTBLANK($I$2:$I$33),"",INDIRECT(ADDRESS(SMALL((IF($I$2:$I$33&lt;&gt;"",ROW($I$2:$I$33),ROW()+ROWS($I$2:$I$33))),ROW()-ROW($J$2:$J$33)+1),COLUMN($I$2:$I$33),4)))</f>
        <v>0</v>
      </c>
      <c r="V32" s="279" t="str">
        <f t="array" aca="1" ref="V32" ca="1">IF(ROW()-ROW($K$2:$K$33)+1&gt;ROWS($J$2:$J$33)-COUNTBLANK($J$2:$J$33),"",INDIRECT(ADDRESS(SMALL((IF($J$2:$J$33&lt;&gt;"",ROW($J$2:$J$33),ROW()+ROWS($J$2:$J$33))),ROW()-ROW($K$2:$K$33)+1),COLUMN($J$2:$J$33),4)))</f>
        <v>n.d.</v>
      </c>
      <c r="W32" s="199" t="str">
        <f t="array" aca="1" ref="W32" ca="1">IF(ROW()-ROW($L$2:$L$33)+1&gt;ROWS($K$2:$K$33)-COUNTBLANK($K$2:$K$33),"",INDIRECT(ADDRESS(SMALL((IF($K$2:$K$33&lt;&gt;"",ROW($K$2:$K$33),ROW()+ROWS($K$2:$K$33))),ROW()-ROW($L$2:$L$33)+1),COLUMN($K$2:$K$33),4)))</f>
        <v>Unvollständig</v>
      </c>
      <c r="X32" s="278" t="str">
        <f t="array" aca="1" ref="X32" ca="1">IF(ROW()-ROW($M$2:$M$33)+1&gt;ROWS($L$2:$L$33)-COUNTBLANK($L$2:$L$33),"",INDIRECT(ADDRESS(SMALL((IF($L$2:$L$33&lt;&gt;"",ROW($L$2:$L$33),ROW()+ROWS($L$2:$L$33))),ROW()-ROW($M$2:$M$33)+1),COLUMN($L$2:$L$33),4)))</f>
        <v>-----</v>
      </c>
      <c r="Y32" s="278" t="str">
        <f t="array" aca="1" ref="Y32" ca="1">IF(ROW()-ROW($N$2:$N$33)+1&gt;ROWS($M$2:$M$33)-COUNTBLANK($M$2:$M$33),"",INDIRECT(ADDRESS(SMALL((IF($M$2:$M$33&lt;&gt;"",ROW($M$2:$M$33),ROW()+ROWS($M$2:$M$33))),ROW()-ROW($N$2:$N$33)+1),COLUMN($M$2:$M$33),4)))</f>
        <v>-----</v>
      </c>
    </row>
    <row r="33" spans="1:25" ht="45" x14ac:dyDescent="0.25">
      <c r="A33" s="275" t="str">
        <f>IF('Kennzahlenbogen_(KB)'!P101=0,"",'Kennzahlenbogen_(KB)'!P101)</f>
        <v>Unvollständig</v>
      </c>
      <c r="B33" s="440">
        <v>32</v>
      </c>
      <c r="C33" s="34">
        <f>IF($A33="I.O.","",'Kennzahlenbogen_(KB)'!A101)</f>
        <v>29</v>
      </c>
      <c r="D33" s="123" t="str">
        <f>IF($A33="I.O.","",'Kennzahlenbogen_(KB)'!C101)</f>
        <v>MTL22-Indikator (Mortalität, Transfer, postoperative Liegedauer)</v>
      </c>
      <c r="E33" s="283" t="str">
        <f>IF(AND('Kennzahlenbogen_(KB)'!J101="",$A33&lt;&gt;"I.O."),"-----",IF($A33="I.O.","",'Kennzahlenbogen_(KB)'!J101))</f>
        <v>-----</v>
      </c>
      <c r="F33" s="299" t="str">
        <f>IF($A33="I.O.","",'Kennzahlenbogen_(KB)'!K101)</f>
        <v>Derzeit keine Vorgaben</v>
      </c>
      <c r="G33" s="283" t="str">
        <f>IF(AND('Kennzahlenbogen_(KB)'!M101="",$A33&lt;&gt;"I.O."),"-----",IF($A33="I.O.","",'Kennzahlenbogen_(KB)'!M101))</f>
        <v>&gt; 10%</v>
      </c>
      <c r="H33" s="298" t="str">
        <f>IF($A33="I.O.","",IF('Kennzahlenbogen_(KB)'!O101="","-----",'Kennzahlenbogen_(KB)'!O101))</f>
        <v>-----</v>
      </c>
      <c r="I33" s="298">
        <f>IF($A33="I.O.","",IF('Kennzahlenbogen_(KB)'!O102="","-----",'Kennzahlenbogen_(KB)'!O102))</f>
        <v>0</v>
      </c>
      <c r="J33" s="276" t="str">
        <f>IF($A33="I.O.","",IF('Kennzahlenbogen_(KB)'!O103="",0,'Kennzahlenbogen_(KB)'!O103))</f>
        <v>n.d.</v>
      </c>
      <c r="K33" s="230" t="str">
        <f>IF($A33="I.O.","",'Kennzahlenbogen_(KB)'!P101)</f>
        <v>Unvollständig</v>
      </c>
      <c r="L33" s="277" t="str">
        <f>IF(AND('Kennzahlenbogen_(KB)'!Q101="",$A33&lt;&gt;"I.O."),"-----",IF($A33="I.O.","",'Kennzahlenbogen_(KB)'!Q101))</f>
        <v>-----</v>
      </c>
      <c r="M33" s="277" t="str">
        <f>IF(AND('Kennzahlenbogen_(KB)'!R101="",$A33&lt;&gt;"I.O."),"-----",IF($A33="I.O.","",'Kennzahlenbogen_(KB)'!R101))</f>
        <v>-----</v>
      </c>
      <c r="O33" s="215">
        <f t="array" aca="1" ref="O33" ca="1">IF(ROW()-ROW($D$2:$D$33)+1&gt;ROWS($C$2:$C$33)-COUNTBLANK($C$2:$C$33),"",INDIRECT(ADDRESS(SMALL((IF($C$2:$C$33&lt;&gt;"",ROW($C$2:$C$33),ROW()+ROWS($C$2:$C$33))),ROW()-ROW($D$2:$D$33)+1),COLUMN($C$2:$C$33),4)))</f>
        <v>29</v>
      </c>
      <c r="P33" s="278" t="str">
        <f t="array" aca="1" ref="P33" ca="1">IF(ROW()-ROW($E$2:$E$33)+1&gt;ROWS($D$2:$D$33)-COUNTBLANK($D$2:$D$33),"",INDIRECT(ADDRESS(SMALL((IF($D$2:$D$33&gt;"",ROW($D$2:$D$33),ROW()+ROWS($D$2:$D$33))),ROW()-ROW($E$2:$E$33)+1),COLUMN($D$2:$D$33),4)))</f>
        <v>MTL22-Indikator (Mortalität, Transfer, postoperative Liegedauer)</v>
      </c>
      <c r="Q33" s="204" t="str">
        <f t="array" aca="1" ref="Q33" ca="1">IF(ROW()-ROW($F$2:$F$33)+1&gt;ROWS($E$2:$E$33)-COUNTBLANK($E$2:$E$33),"",INDIRECT(ADDRESS(SMALL((IF($E$2:$E$33&gt;"",ROW($E$2:$E$33),ROW()+ROWS($E$2:$E$33))),ROW()-ROW($F$2:$F$33)+1),COLUMN($E$2:$E$33),4)))</f>
        <v>-----</v>
      </c>
      <c r="R33" s="204" t="str">
        <f t="array" aca="1" ref="R33" ca="1">IF(ROW()-ROW($G$2:$G$33)+1&gt;ROWS($F$2:$F$33)-COUNTBLANK($F$2:$F$33),"",INDIRECT(ADDRESS(SMALL((IF($F$2:$F$33&gt;"",ROW($F$2:$F$33),ROW()+ROWS($F$2:$F$33))),ROW()-ROW($G$2:$G$33)+1),COLUMN($F$2:$F$33),4)))</f>
        <v>Derzeit keine Vorgaben</v>
      </c>
      <c r="S33" s="204" t="str">
        <f t="array" aca="1" ref="S33" ca="1">IF(ROW()-ROW($H$2:$H$33)+1&gt;ROWS($G$2:$G$33)-COUNTBLANK($G$2:$G$33),"",INDIRECT(ADDRESS(SMALL((IF($G$2:$G$33&lt;&gt;"",ROW($G$2:$G$33),ROW()+ROWS($G$2:$G$33))),ROW()-ROW($H$2:$H$33)+1),COLUMN($G$2:$G$33),4)))</f>
        <v>&gt; 10%</v>
      </c>
      <c r="T33" s="297" t="str">
        <f t="array" aca="1" ref="T33" ca="1">IF(ROW()-ROW($I$2:$I$33)+1&gt;ROWS($H$2:$H$33)-COUNTBLANK($H$2:$H$33),"",INDIRECT(ADDRESS(SMALL((IF($H$2:$H$33&lt;&gt;"",ROW($H$2:$H$33),ROW()+ROWS($H$2:$H$33))),ROW()-ROW($I$2:$I$33)+1),COLUMN($H$2:$H$33),4)))</f>
        <v>-----</v>
      </c>
      <c r="U33" s="297">
        <f t="array" aca="1" ref="U33" ca="1">IF(ROW()-ROW($J$2:$J$33)+1&gt;ROWS($I$2:$I$33)-COUNTBLANK($I$2:$I$33),"",INDIRECT(ADDRESS(SMALL((IF($I$2:$I$33&lt;&gt;"",ROW($I$2:$I$33),ROW()+ROWS($I$2:$I$33))),ROW()-ROW($J$2:$J$33)+1),COLUMN($I$2:$I$33),4)))</f>
        <v>0</v>
      </c>
      <c r="V33" s="279" t="str">
        <f t="array" aca="1" ref="V33" ca="1">IF(ROW()-ROW($K$2:$K$33)+1&gt;ROWS($J$2:$J$33)-COUNTBLANK($J$2:$J$33),"",INDIRECT(ADDRESS(SMALL((IF($J$2:$J$33&lt;&gt;"",ROW($J$2:$J$33),ROW()+ROWS($J$2:$J$33))),ROW()-ROW($K$2:$K$33)+1),COLUMN($J$2:$J$33),4)))</f>
        <v>n.d.</v>
      </c>
      <c r="W33" s="199" t="str">
        <f t="array" aca="1" ref="W33" ca="1">IF(ROW()-ROW($L$2:$L$33)+1&gt;ROWS($K$2:$K$33)-COUNTBLANK($K$2:$K$33),"",INDIRECT(ADDRESS(SMALL((IF($K$2:$K$33&lt;&gt;"",ROW($K$2:$K$33),ROW()+ROWS($K$2:$K$33))),ROW()-ROW($L$2:$L$33)+1),COLUMN($K$2:$K$33),4)))</f>
        <v>Unvollständig</v>
      </c>
      <c r="X33" s="278" t="str">
        <f t="array" aca="1" ref="X33" ca="1">IF(ROW()-ROW($M$2:$M$33)+1&gt;ROWS($L$2:$L$33)-COUNTBLANK($L$2:$L$33),"",INDIRECT(ADDRESS(SMALL((IF($L$2:$L$33&lt;&gt;"",ROW($L$2:$L$33),ROW()+ROWS($L$2:$L$33))),ROW()-ROW($M$2:$M$33)+1),COLUMN($L$2:$L$33),4)))</f>
        <v>-----</v>
      </c>
      <c r="Y33" s="278" t="str">
        <f t="array" aca="1" ref="Y33" ca="1">IF(ROW()-ROW($N$2:$N$33)+1&gt;ROWS($M$2:$M$33)-COUNTBLANK($M$2:$M$33),"",INDIRECT(ADDRESS(SMALL((IF($M$2:$M$33&lt;&gt;"",ROW($M$2:$M$33),ROW()+ROWS($M$2:$M$33))),ROW()-ROW($N$2:$N$33)+1),COLUMN($M$2:$M$33),4)))</f>
        <v>-----</v>
      </c>
    </row>
  </sheetData>
  <sheetProtection formatColumns="0" formatRows="0" selectLockedCells="1" sort="0"/>
  <phoneticPr fontId="81" type="noConversion"/>
  <conditionalFormatting sqref="K2:K33">
    <cfRule type="cellIs" dxfId="143" priority="1" operator="equal">
      <formula>"Ausnahme (Plausibilität unklar)"</formula>
    </cfRule>
    <cfRule type="cellIs" dxfId="142" priority="123" stopIfTrue="1" operator="equal">
      <formula>"Sollvorgabe nicht erfüllt"</formula>
    </cfRule>
    <cfRule type="cellIs" dxfId="141" priority="124" stopIfTrue="1" operator="equal">
      <formula>"I.O. (Plausibilität unklar)"</formula>
    </cfRule>
    <cfRule type="expression" dxfId="140" priority="125" stopIfTrue="1">
      <formula>OR(K2="Unvollständig",K2="Inkorrekt")</formula>
    </cfRule>
    <cfRule type="cellIs" dxfId="139" priority="126" stopIfTrue="1" operator="equal">
      <formula>"I.O."</formula>
    </cfRule>
  </conditionalFormatting>
  <dataValidations count="1">
    <dataValidation allowBlank="1" showInputMessage="1" showErrorMessage="1" promptTitle="Hinweis" prompt="Übertrag erfolgt _x000a_automatisch aus _x000a_Kennzahlenbogen" sqref="L1:M33" xr:uid="{00000000-0002-0000-0B00-000000000000}"/>
  </dataValidations>
  <pageMargins left="7.8740157480315001E-2" right="3.9370078740157501E-2" top="0.27559055118110198" bottom="0.27559055118110198" header="0.118110236220472" footer="0.118110236220472"/>
  <pageSetup orientation="landscape" r:id="rId1"/>
  <headerFooter>
    <oddFooter>&amp;L&amp;"Arial,Standard"&amp;7&amp;F&amp;C&amp;"Arial,Standard"&amp;7 © DKG  Alle Rechte vorbehalten&amp;R&amp;"Arial,Standard"&amp;7&amp;P</oddFooter>
  </headerFooter>
  <ignoredErrors>
    <ignoredError sqref="F3" formula="1"/>
  </ignoredErrors>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Tabelle7"/>
  <dimension ref="A1:M45"/>
  <sheetViews>
    <sheetView showGridLines="0" showRuler="0" showWhiteSpace="0" topLeftCell="A2" zoomScaleNormal="100" zoomScaleSheetLayoutView="100" workbookViewId="0">
      <selection activeCell="Q7" sqref="Q7"/>
    </sheetView>
  </sheetViews>
  <sheetFormatPr defaultColWidth="9.140625" defaultRowHeight="15" x14ac:dyDescent="0.25"/>
  <cols>
    <col min="1" max="1" width="4.140625" customWidth="1"/>
    <col min="2" max="2" width="17" customWidth="1"/>
    <col min="3" max="3" width="6.5703125" customWidth="1"/>
    <col min="4" max="4" width="8.85546875" customWidth="1"/>
    <col min="5" max="5" width="6.85546875" customWidth="1"/>
    <col min="6" max="6" width="6.28515625" customWidth="1"/>
    <col min="7" max="7" width="6.42578125" customWidth="1"/>
    <col min="8" max="8" width="7" customWidth="1"/>
    <col min="9" max="9" width="10" customWidth="1"/>
    <col min="10" max="11" width="31.28515625" customWidth="1"/>
    <col min="12" max="12" width="5.28515625" customWidth="1"/>
    <col min="13" max="13" width="14.5703125" style="76" hidden="1" customWidth="1"/>
  </cols>
  <sheetData>
    <row r="1" spans="1:13" s="8" customFormat="1" ht="25.5" hidden="1" customHeight="1" x14ac:dyDescent="0.2">
      <c r="A1" s="11"/>
      <c r="B1" s="8" t="str">
        <f ca="1">IF(M11=TRUE,"A1:K18",CONCATENATE("A1:K",MATCH(0,A:A,-1)))</f>
        <v>A1:K45</v>
      </c>
      <c r="M1" s="16"/>
    </row>
    <row r="2" spans="1:13" s="8" customFormat="1" ht="21" customHeight="1" x14ac:dyDescent="0.2">
      <c r="A2" s="26" t="s">
        <v>1817</v>
      </c>
      <c r="M2" s="16"/>
    </row>
    <row r="3" spans="1:13" s="8" customFormat="1" ht="16.5" x14ac:dyDescent="0.25">
      <c r="A3" s="22" t="s">
        <v>204</v>
      </c>
      <c r="K3" s="23"/>
      <c r="M3" s="16"/>
    </row>
    <row r="4" spans="1:13" s="8" customFormat="1" ht="14.25" x14ac:dyDescent="0.2">
      <c r="K4" s="23"/>
      <c r="M4" s="16"/>
    </row>
    <row r="5" spans="1:13" s="8" customFormat="1" ht="9" customHeight="1" x14ac:dyDescent="0.2">
      <c r="C5" s="15"/>
      <c r="D5" s="15"/>
      <c r="E5" s="15"/>
      <c r="F5" s="15"/>
      <c r="G5" s="15"/>
      <c r="H5" s="15"/>
      <c r="I5" s="15"/>
      <c r="J5" s="15"/>
      <c r="K5" s="23"/>
      <c r="M5" s="16"/>
    </row>
    <row r="6" spans="1:13" s="26" customFormat="1" ht="15" customHeight="1" x14ac:dyDescent="0.25">
      <c r="B6" s="29" t="s">
        <v>398</v>
      </c>
      <c r="C6" s="701" t="str">
        <f>IF(Basisdaten!B8=0,"",Basisdaten!B8)</f>
        <v/>
      </c>
      <c r="D6" s="804"/>
      <c r="E6" s="804"/>
      <c r="F6" s="804"/>
      <c r="G6" s="804"/>
      <c r="H6" s="804"/>
      <c r="I6" s="804"/>
      <c r="J6" s="805"/>
      <c r="K6" s="23"/>
      <c r="M6" s="280"/>
    </row>
    <row r="7" spans="1:13" s="26" customFormat="1" ht="6.95" customHeight="1" x14ac:dyDescent="0.2">
      <c r="B7" s="10"/>
      <c r="C7" s="15"/>
      <c r="D7" s="15"/>
      <c r="E7" s="15"/>
      <c r="F7" s="15"/>
      <c r="G7" s="15"/>
      <c r="H7" s="15"/>
      <c r="I7" s="15"/>
      <c r="J7" s="15"/>
      <c r="K7" s="23"/>
      <c r="M7" s="280"/>
    </row>
    <row r="8" spans="1:13" s="26" customFormat="1" ht="15" customHeight="1" x14ac:dyDescent="0.25">
      <c r="B8" s="29" t="s">
        <v>346</v>
      </c>
      <c r="C8" s="701" t="str">
        <f>IF(Basisdaten!B6=0,"",Basisdaten!B6)</f>
        <v/>
      </c>
      <c r="D8" s="806"/>
      <c r="E8" s="805"/>
      <c r="F8" s="23"/>
      <c r="H8" s="9" t="s">
        <v>344</v>
      </c>
      <c r="J8" s="37" t="str">
        <f>IF(Basisdaten!G12=0,"",Basisdaten!G12)</f>
        <v/>
      </c>
      <c r="K8" s="23"/>
      <c r="M8" s="280"/>
    </row>
    <row r="9" spans="1:13" s="8" customFormat="1" ht="10.5" customHeight="1" x14ac:dyDescent="0.2">
      <c r="K9" s="23"/>
      <c r="M9" s="16"/>
    </row>
    <row r="10" spans="1:13" s="8" customFormat="1" ht="13.5" customHeight="1" x14ac:dyDescent="0.2">
      <c r="B10" s="317" t="str">
        <f ca="1">IF(M11=TRUE,"Kein Datendefizit vorhanden","")</f>
        <v/>
      </c>
      <c r="K10" s="23"/>
      <c r="M10" s="281" t="s">
        <v>252</v>
      </c>
    </row>
    <row r="11" spans="1:13" s="8" customFormat="1" ht="15.75" customHeight="1" x14ac:dyDescent="0.2">
      <c r="B11" s="270" t="str">
        <f ca="1">IF($M$11=TRUE,"","Übertragung erfolgt automatisch aus Kennzahlenbogen (Ist-Werte, Begründungen und Aktionen)")</f>
        <v>Übertragung erfolgt automatisch aus Kennzahlenbogen (Ist-Werte, Begründungen und Aktionen)</v>
      </c>
      <c r="K11" s="23"/>
      <c r="M11" s="281" t="b">
        <f t="array" aca="1" ref="M11" ca="1">A14:K45=""</f>
        <v>0</v>
      </c>
    </row>
    <row r="12" spans="1:13" ht="15.75" customHeight="1" x14ac:dyDescent="0.25">
      <c r="A12" s="807" t="str">
        <f ca="1">IF($M$11=TRUE,"","KN")</f>
        <v>KN</v>
      </c>
      <c r="B12" s="809" t="str">
        <f ca="1">IF($M$11=TRUE,"","Kennzahlendefinition")</f>
        <v>Kennzahlendefinition</v>
      </c>
      <c r="C12" s="807" t="str">
        <f ca="1">IF($M$11=TRUE,"","Vorgaben Datenqualität")</f>
        <v>Vorgaben Datenqualität</v>
      </c>
      <c r="D12" s="811"/>
      <c r="E12" s="811"/>
      <c r="F12" s="807" t="str">
        <f ca="1">IF($M$11=TRUE,"","Ist-Werte")</f>
        <v>Ist-Werte</v>
      </c>
      <c r="G12" s="811"/>
      <c r="H12" s="811"/>
      <c r="I12" s="807" t="str">
        <f ca="1">IF($M$11=TRUE,"","Daten-qualität")</f>
        <v>Daten-qualität</v>
      </c>
      <c r="J12" s="807" t="str">
        <f ca="1">IF($M$11=TRUE,"","Verifizierung Zentrum")</f>
        <v>Verifizierung Zentrum</v>
      </c>
      <c r="K12" s="807"/>
    </row>
    <row r="13" spans="1:13" ht="21" customHeight="1" x14ac:dyDescent="0.25">
      <c r="A13" s="808"/>
      <c r="B13" s="810"/>
      <c r="C13" s="205" t="str">
        <f ca="1">IF($M$11=TRUE,"","Plausi unklar")</f>
        <v>Plausi unklar</v>
      </c>
      <c r="D13" s="205" t="str">
        <f ca="1">IF($M$11=TRUE,"","Sollvorgabe")</f>
        <v>Sollvorgabe</v>
      </c>
      <c r="E13" s="205" t="str">
        <f ca="1">IF($M$11=TRUE,"","Plausi unklar")</f>
        <v>Plausi unklar</v>
      </c>
      <c r="F13" s="205" t="str">
        <f ca="1">IF($M$11=TRUE,"","Zähler / Anzahl")</f>
        <v>Zähler / Anzahl</v>
      </c>
      <c r="G13" s="265" t="str">
        <f ca="1">IF($M$11=TRUE,"","Nenner")</f>
        <v>Nenner</v>
      </c>
      <c r="H13" s="265" t="str">
        <f ca="1">IF($M$11=TRUE,"","Quote")</f>
        <v>Quote</v>
      </c>
      <c r="I13" s="808"/>
      <c r="J13" s="265" t="str">
        <f ca="1">IF($M$11=TRUE,"","Begründung / Ursache")</f>
        <v>Begründung / Ursache</v>
      </c>
      <c r="K13" s="265" t="str">
        <f ca="1">IF($M$11=TRUE,"","Eingeleitete / geplante Aktionen")</f>
        <v>Eingeleitete / geplante Aktionen</v>
      </c>
    </row>
    <row r="14" spans="1:13" ht="170.1" customHeight="1" x14ac:dyDescent="0.25">
      <c r="A14" s="265">
        <f ca="1">'Hilfstabelle DatendefKB'!O2</f>
        <v>1</v>
      </c>
      <c r="B14" s="266" t="str">
        <f ca="1">'Hilfstabelle DatendefKB'!P2</f>
        <v>Pat. mit neuaufgetretenem Rezidiv und/ oder Fernmetastasen</v>
      </c>
      <c r="C14" s="296" t="str">
        <f ca="1">'Hilfstabelle DatendefKB'!Q2</f>
        <v>-----</v>
      </c>
      <c r="D14" s="296" t="str">
        <f ca="1">'Hilfstabelle DatendefKB'!R2</f>
        <v>Derzeit keine Vorgaben</v>
      </c>
      <c r="E14" s="296" t="str">
        <f ca="1">'Hilfstabelle DatendefKB'!S2</f>
        <v>-----</v>
      </c>
      <c r="F14" s="271" t="str">
        <f ca="1">'Hilfstabelle DatendefKB'!T2</f>
        <v>-----</v>
      </c>
      <c r="G14" s="267" t="str">
        <f ca="1">'Hilfstabelle DatendefKB'!U2</f>
        <v>-----</v>
      </c>
      <c r="H14" s="295" t="str">
        <f ca="1">'Hilfstabelle DatendefKB'!V2</f>
        <v>-----</v>
      </c>
      <c r="I14" s="268" t="str">
        <f ca="1">'Hilfstabelle DatendefKB'!W2</f>
        <v>Unvollständig</v>
      </c>
      <c r="J14" s="269" t="str">
        <f ca="1">'Hilfstabelle DatendefKB'!X2</f>
        <v>-----</v>
      </c>
      <c r="K14" s="269" t="str">
        <f ca="1">'Hilfstabelle DatendefKB'!Y2</f>
        <v>-----</v>
      </c>
    </row>
    <row r="15" spans="1:13" ht="170.1" customHeight="1" x14ac:dyDescent="0.25">
      <c r="A15" s="265" t="str">
        <f ca="1">'Hilfstabelle DatendefKB'!O3</f>
        <v>2a</v>
      </c>
      <c r="B15" s="266" t="str">
        <f ca="1">'Hilfstabelle DatendefKB'!P3</f>
        <v>Prätherapeutische Fallvorstellung</v>
      </c>
      <c r="C15" s="296" t="str">
        <f ca="1">'Hilfstabelle DatendefKB'!Q3</f>
        <v>-----</v>
      </c>
      <c r="D15" s="296" t="str">
        <f ca="1">'Hilfstabelle DatendefKB'!R3</f>
        <v>≥ 95%</v>
      </c>
      <c r="E15" s="296" t="str">
        <f ca="1">'Hilfstabelle DatendefKB'!S3</f>
        <v>-----</v>
      </c>
      <c r="F15" s="271" t="str">
        <f ca="1">'Hilfstabelle DatendefKB'!T3</f>
        <v>-----</v>
      </c>
      <c r="G15" s="267" t="str">
        <f ca="1">'Hilfstabelle DatendefKB'!U3</f>
        <v>-----</v>
      </c>
      <c r="H15" s="295" t="str">
        <f ca="1">'Hilfstabelle DatendefKB'!V3</f>
        <v>n.d.</v>
      </c>
      <c r="I15" s="268" t="str">
        <f ca="1">'Hilfstabelle DatendefKB'!W3</f>
        <v>Unvollständig</v>
      </c>
      <c r="J15" s="269" t="str">
        <f ca="1">'Hilfstabelle DatendefKB'!X3</f>
        <v>-----</v>
      </c>
      <c r="K15" s="269" t="str">
        <f ca="1">'Hilfstabelle DatendefKB'!Y3</f>
        <v>-----</v>
      </c>
    </row>
    <row r="16" spans="1:13" ht="170.1" customHeight="1" x14ac:dyDescent="0.25">
      <c r="A16" s="265" t="str">
        <f ca="1">'Hilfstabelle DatendefKB'!O4</f>
        <v>2b</v>
      </c>
      <c r="B16" s="266" t="str">
        <f ca="1">'Hilfstabelle DatendefKB'!P4</f>
        <v>Prätherapeutische Fallvorstellung Rezidiv/ metachrone Metastasen</v>
      </c>
      <c r="C16" s="296" t="str">
        <f ca="1">'Hilfstabelle DatendefKB'!Q4</f>
        <v>-----</v>
      </c>
      <c r="D16" s="296" t="str">
        <f ca="1">'Hilfstabelle DatendefKB'!R4</f>
        <v>≥ 95%</v>
      </c>
      <c r="E16" s="296" t="str">
        <f ca="1">'Hilfstabelle DatendefKB'!S4</f>
        <v>-----</v>
      </c>
      <c r="F16" s="271" t="str">
        <f ca="1">'Hilfstabelle DatendefKB'!T4</f>
        <v>-----</v>
      </c>
      <c r="G16" s="267">
        <f ca="1">'Hilfstabelle DatendefKB'!U4</f>
        <v>0</v>
      </c>
      <c r="H16" s="295" t="str">
        <f ca="1">'Hilfstabelle DatendefKB'!V4</f>
        <v>n.d.</v>
      </c>
      <c r="I16" s="268" t="str">
        <f ca="1">'Hilfstabelle DatendefKB'!W4</f>
        <v>Unvollständig</v>
      </c>
      <c r="J16" s="269" t="str">
        <f ca="1">'Hilfstabelle DatendefKB'!X4</f>
        <v>-----</v>
      </c>
      <c r="K16" s="269" t="str">
        <f ca="1">'Hilfstabelle DatendefKB'!Y4</f>
        <v>-----</v>
      </c>
    </row>
    <row r="17" spans="1:13" ht="170.1" customHeight="1" x14ac:dyDescent="0.25">
      <c r="A17" s="265">
        <f ca="1">'Hilfstabelle DatendefKB'!O5</f>
        <v>3</v>
      </c>
      <c r="B17" s="266" t="str">
        <f ca="1">'Hilfstabelle DatendefKB'!P5</f>
        <v>Postoperative Fallvorstellung</v>
      </c>
      <c r="C17" s="296" t="str">
        <f ca="1">'Hilfstabelle DatendefKB'!Q5</f>
        <v>-----</v>
      </c>
      <c r="D17" s="296" t="str">
        <f ca="1">'Hilfstabelle DatendefKB'!R5</f>
        <v>≥ 95%</v>
      </c>
      <c r="E17" s="296" t="str">
        <f ca="1">'Hilfstabelle DatendefKB'!S5</f>
        <v>-----</v>
      </c>
      <c r="F17" s="271" t="str">
        <f ca="1">'Hilfstabelle DatendefKB'!T5</f>
        <v>-----</v>
      </c>
      <c r="G17" s="267">
        <f ca="1">'Hilfstabelle DatendefKB'!U5</f>
        <v>0</v>
      </c>
      <c r="H17" s="295" t="str">
        <f ca="1">'Hilfstabelle DatendefKB'!V5</f>
        <v>n.d.</v>
      </c>
      <c r="I17" s="268" t="str">
        <f ca="1">'Hilfstabelle DatendefKB'!W5</f>
        <v>Unvollständig</v>
      </c>
      <c r="J17" s="269" t="str">
        <f ca="1">'Hilfstabelle DatendefKB'!X5</f>
        <v>-----</v>
      </c>
      <c r="K17" s="269" t="str">
        <f ca="1">'Hilfstabelle DatendefKB'!Y5</f>
        <v>-----</v>
      </c>
      <c r="M17" s="16"/>
    </row>
    <row r="18" spans="1:13" ht="170.1" customHeight="1" x14ac:dyDescent="0.25">
      <c r="A18" s="265">
        <f ca="1">'Hilfstabelle DatendefKB'!O6</f>
        <v>4</v>
      </c>
      <c r="B18" s="266" t="str">
        <f ca="1">'Hilfstabelle DatendefKB'!P6</f>
        <v>Psychoonkologisches Distress-Screening</v>
      </c>
      <c r="C18" s="296" t="str">
        <f ca="1">'Hilfstabelle DatendefKB'!Q6</f>
        <v>-----</v>
      </c>
      <c r="D18" s="296" t="str">
        <f ca="1">'Hilfstabelle DatendefKB'!R6</f>
        <v>≥ 65%</v>
      </c>
      <c r="E18" s="296" t="str">
        <f ca="1">'Hilfstabelle DatendefKB'!S6</f>
        <v>-----</v>
      </c>
      <c r="F18" s="271" t="str">
        <f ca="1">'Hilfstabelle DatendefKB'!T6</f>
        <v>-----</v>
      </c>
      <c r="G18" s="267">
        <f ca="1">'Hilfstabelle DatendefKB'!U6</f>
        <v>0</v>
      </c>
      <c r="H18" s="295" t="str">
        <f ca="1">'Hilfstabelle DatendefKB'!V6</f>
        <v>n.d.</v>
      </c>
      <c r="I18" s="268" t="str">
        <f ca="1">'Hilfstabelle DatendefKB'!W6</f>
        <v>Unvollständig</v>
      </c>
      <c r="J18" s="269" t="str">
        <f ca="1">'Hilfstabelle DatendefKB'!X6</f>
        <v>-----</v>
      </c>
      <c r="K18" s="269" t="str">
        <f ca="1">'Hilfstabelle DatendefKB'!Y6</f>
        <v>-----</v>
      </c>
      <c r="M18" s="16"/>
    </row>
    <row r="19" spans="1:13" ht="170.1" customHeight="1" x14ac:dyDescent="0.25">
      <c r="A19" s="265">
        <f ca="1">'Hilfstabelle DatendefKB'!O7</f>
        <v>5</v>
      </c>
      <c r="B19" s="266" t="str">
        <f ca="1">'Hilfstabelle DatendefKB'!P7</f>
        <v>Beratung Sozialdienst</v>
      </c>
      <c r="C19" s="296" t="str">
        <f ca="1">'Hilfstabelle DatendefKB'!Q7</f>
        <v>&lt; 50%</v>
      </c>
      <c r="D19" s="296" t="str">
        <f ca="1">'Hilfstabelle DatendefKB'!R7</f>
        <v>Derzeit keine Vorgaben</v>
      </c>
      <c r="E19" s="296" t="str">
        <f ca="1">'Hilfstabelle DatendefKB'!S7</f>
        <v>-----</v>
      </c>
      <c r="F19" s="271" t="str">
        <f ca="1">'Hilfstabelle DatendefKB'!T7</f>
        <v>-----</v>
      </c>
      <c r="G19" s="267">
        <f ca="1">'Hilfstabelle DatendefKB'!U7</f>
        <v>0</v>
      </c>
      <c r="H19" s="295" t="str">
        <f ca="1">'Hilfstabelle DatendefKB'!V7</f>
        <v>n.d.</v>
      </c>
      <c r="I19" s="268" t="str">
        <f ca="1">'Hilfstabelle DatendefKB'!W7</f>
        <v>Unvollständig</v>
      </c>
      <c r="J19" s="269" t="str">
        <f ca="1">'Hilfstabelle DatendefKB'!X7</f>
        <v>-----</v>
      </c>
      <c r="K19" s="269" t="str">
        <f ca="1">'Hilfstabelle DatendefKB'!Y7</f>
        <v>-----</v>
      </c>
    </row>
    <row r="20" spans="1:13" ht="170.1" customHeight="1" x14ac:dyDescent="0.25">
      <c r="A20" s="265">
        <f ca="1">'Hilfstabelle DatendefKB'!O8</f>
        <v>6</v>
      </c>
      <c r="B20" s="266" t="str">
        <f ca="1">'Hilfstabelle DatendefKB'!P8</f>
        <v>Anteil Studienpat.</v>
      </c>
      <c r="C20" s="296" t="str">
        <f ca="1">'Hilfstabelle DatendefKB'!Q8</f>
        <v>-----</v>
      </c>
      <c r="D20" s="296" t="str">
        <f ca="1">'Hilfstabelle DatendefKB'!R8</f>
        <v>≥ 5%</v>
      </c>
      <c r="E20" s="296" t="str">
        <f ca="1">'Hilfstabelle DatendefKB'!S8</f>
        <v>-----</v>
      </c>
      <c r="F20" s="271">
        <f ca="1">'Hilfstabelle DatendefKB'!T8</f>
        <v>0</v>
      </c>
      <c r="G20" s="267">
        <f ca="1">'Hilfstabelle DatendefKB'!U8</f>
        <v>0</v>
      </c>
      <c r="H20" s="295" t="str">
        <f ca="1">'Hilfstabelle DatendefKB'!V8</f>
        <v>n.d.</v>
      </c>
      <c r="I20" s="268" t="str">
        <f ca="1">'Hilfstabelle DatendefKB'!W8</f>
        <v>Unvollständig</v>
      </c>
      <c r="J20" s="269" t="str">
        <f ca="1">'Hilfstabelle DatendefKB'!X8</f>
        <v>-----</v>
      </c>
      <c r="K20" s="269" t="str">
        <f ca="1">'Hilfstabelle DatendefKB'!Y8</f>
        <v>-----</v>
      </c>
    </row>
    <row r="21" spans="1:13" ht="170.1" customHeight="1" x14ac:dyDescent="0.25">
      <c r="A21" s="265" t="str">
        <f ca="1">'Hilfstabelle DatendefKB'!O9</f>
        <v>7</v>
      </c>
      <c r="B21" s="266" t="str">
        <f ca="1">'Hilfstabelle DatendefKB'!P9</f>
        <v>KRK-Pat. mit Erfassung Familienanamnese</v>
      </c>
      <c r="C21" s="296" t="str">
        <f ca="1">'Hilfstabelle DatendefKB'!Q9</f>
        <v>-----</v>
      </c>
      <c r="D21" s="296" t="str">
        <f ca="1">'Hilfstabelle DatendefKB'!R9</f>
        <v>≥ 90%</v>
      </c>
      <c r="E21" s="296" t="str">
        <f ca="1">'Hilfstabelle DatendefKB'!S9</f>
        <v>-----</v>
      </c>
      <c r="F21" s="271" t="str">
        <f ca="1">'Hilfstabelle DatendefKB'!T9</f>
        <v>-----</v>
      </c>
      <c r="G21" s="267">
        <f ca="1">'Hilfstabelle DatendefKB'!U9</f>
        <v>0</v>
      </c>
      <c r="H21" s="295" t="str">
        <f ca="1">'Hilfstabelle DatendefKB'!V9</f>
        <v>n.d.</v>
      </c>
      <c r="I21" s="268" t="str">
        <f ca="1">'Hilfstabelle DatendefKB'!W9</f>
        <v>Unvollständig</v>
      </c>
      <c r="J21" s="269" t="str">
        <f ca="1">'Hilfstabelle DatendefKB'!X9</f>
        <v>-----</v>
      </c>
      <c r="K21" s="269" t="str">
        <f ca="1">'Hilfstabelle DatendefKB'!Y9</f>
        <v>-----</v>
      </c>
    </row>
    <row r="22" spans="1:13" ht="170.1" customHeight="1" x14ac:dyDescent="0.25">
      <c r="A22" s="265" t="str">
        <f ca="1">'Hilfstabelle DatendefKB'!O10</f>
        <v>8</v>
      </c>
      <c r="B22" s="266" t="str">
        <f ca="1">'Hilfstabelle DatendefKB'!P10</f>
        <v>Genetische Beratung</v>
      </c>
      <c r="C22" s="296" t="str">
        <f ca="1">'Hilfstabelle DatendefKB'!Q10</f>
        <v>-----</v>
      </c>
      <c r="D22" s="296" t="str">
        <f ca="1">'Hilfstabelle DatendefKB'!R10</f>
        <v>≥ 90%</v>
      </c>
      <c r="E22" s="296" t="str">
        <f ca="1">'Hilfstabelle DatendefKB'!S10</f>
        <v>-----</v>
      </c>
      <c r="F22" s="271" t="str">
        <f ca="1">'Hilfstabelle DatendefKB'!T10</f>
        <v>-----</v>
      </c>
      <c r="G22" s="267" t="str">
        <f ca="1">'Hilfstabelle DatendefKB'!U10</f>
        <v>-----</v>
      </c>
      <c r="H22" s="295" t="str">
        <f ca="1">'Hilfstabelle DatendefKB'!V10</f>
        <v>n.d.</v>
      </c>
      <c r="I22" s="268" t="str">
        <f ca="1">'Hilfstabelle DatendefKB'!W10</f>
        <v>Unvollständig</v>
      </c>
      <c r="J22" s="269" t="str">
        <f ca="1">'Hilfstabelle DatendefKB'!X10</f>
        <v>-----</v>
      </c>
      <c r="K22" s="269" t="str">
        <f ca="1">'Hilfstabelle DatendefKB'!Y10</f>
        <v>-----</v>
      </c>
    </row>
    <row r="23" spans="1:13" ht="170.1" customHeight="1" x14ac:dyDescent="0.25">
      <c r="A23" s="265" t="str">
        <f ca="1">'Hilfstabelle DatendefKB'!O11</f>
        <v>9</v>
      </c>
      <c r="B23" s="266" t="str">
        <f ca="1">'Hilfstabelle DatendefKB'!P11</f>
        <v>Immunhistochemische Bestimmung der MMR-Proteine</v>
      </c>
      <c r="C23" s="296" t="str">
        <f ca="1">'Hilfstabelle DatendefKB'!Q11</f>
        <v>-----</v>
      </c>
      <c r="D23" s="296" t="str">
        <f ca="1">'Hilfstabelle DatendefKB'!R11</f>
        <v>≥ 90%</v>
      </c>
      <c r="E23" s="296" t="str">
        <f ca="1">'Hilfstabelle DatendefKB'!S11</f>
        <v>-----</v>
      </c>
      <c r="F23" s="271" t="str">
        <f ca="1">'Hilfstabelle DatendefKB'!T11</f>
        <v>-----</v>
      </c>
      <c r="G23" s="267" t="str">
        <f ca="1">'Hilfstabelle DatendefKB'!U11</f>
        <v>-----</v>
      </c>
      <c r="H23" s="295" t="str">
        <f ca="1">'Hilfstabelle DatendefKB'!V11</f>
        <v>n.d.</v>
      </c>
      <c r="I23" s="268" t="str">
        <f ca="1">'Hilfstabelle DatendefKB'!W11</f>
        <v>Unvollständig</v>
      </c>
      <c r="J23" s="269" t="str">
        <f ca="1">'Hilfstabelle DatendefKB'!X11</f>
        <v>-----</v>
      </c>
      <c r="K23" s="269" t="str">
        <f ca="1">'Hilfstabelle DatendefKB'!Y11</f>
        <v>-----</v>
      </c>
    </row>
    <row r="24" spans="1:13" ht="170.1" customHeight="1" x14ac:dyDescent="0.25">
      <c r="A24" s="265">
        <f ca="1">'Hilfstabelle DatendefKB'!O12</f>
        <v>10</v>
      </c>
      <c r="B24" s="266" t="str">
        <f ca="1">'Hilfstabelle DatendefKB'!P12</f>
        <v>RAS- und BRAF-Bestimmung zu Beginn Erstlinientherapie bei metastasiertem KRK</v>
      </c>
      <c r="C24" s="296" t="str">
        <f ca="1">'Hilfstabelle DatendefKB'!Q12</f>
        <v>-----</v>
      </c>
      <c r="D24" s="296" t="str">
        <f ca="1">'Hilfstabelle DatendefKB'!R12</f>
        <v>≥ 50%</v>
      </c>
      <c r="E24" s="296" t="str">
        <f ca="1">'Hilfstabelle DatendefKB'!S12</f>
        <v>-----</v>
      </c>
      <c r="F24" s="271" t="str">
        <f ca="1">'Hilfstabelle DatendefKB'!T12</f>
        <v>-----</v>
      </c>
      <c r="G24" s="267" t="str">
        <f ca="1">'Hilfstabelle DatendefKB'!U12</f>
        <v>-----</v>
      </c>
      <c r="H24" s="295" t="str">
        <f ca="1">'Hilfstabelle DatendefKB'!V12</f>
        <v>n.d.</v>
      </c>
      <c r="I24" s="268" t="str">
        <f ca="1">'Hilfstabelle DatendefKB'!W12</f>
        <v>Unvollständig</v>
      </c>
      <c r="J24" s="269" t="str">
        <f ca="1">'Hilfstabelle DatendefKB'!X12</f>
        <v>-----</v>
      </c>
      <c r="K24" s="269" t="str">
        <f ca="1">'Hilfstabelle DatendefKB'!Y12</f>
        <v>-----</v>
      </c>
    </row>
    <row r="25" spans="1:13" ht="170.1" customHeight="1" x14ac:dyDescent="0.25">
      <c r="A25" s="265">
        <f ca="1">'Hilfstabelle DatendefKB'!O13</f>
        <v>11</v>
      </c>
      <c r="B25" s="266" t="str">
        <f ca="1">'Hilfstabelle DatendefKB'!P13</f>
        <v>Komplikationsrate therapeutische Koloskopien</v>
      </c>
      <c r="C25" s="296" t="str">
        <f ca="1">'Hilfstabelle DatendefKB'!Q13</f>
        <v>&lt; 0,01%</v>
      </c>
      <c r="D25" s="296" t="str">
        <f ca="1">'Hilfstabelle DatendefKB'!R13</f>
        <v>≤ 1%</v>
      </c>
      <c r="E25" s="296" t="str">
        <f ca="1">'Hilfstabelle DatendefKB'!S13</f>
        <v>-----</v>
      </c>
      <c r="F25" s="271" t="str">
        <f ca="1">'Hilfstabelle DatendefKB'!T13</f>
        <v>-----</v>
      </c>
      <c r="G25" s="267" t="str">
        <f ca="1">'Hilfstabelle DatendefKB'!U13</f>
        <v>-----</v>
      </c>
      <c r="H25" s="295" t="str">
        <f ca="1">'Hilfstabelle DatendefKB'!V13</f>
        <v>n.d.</v>
      </c>
      <c r="I25" s="268" t="str">
        <f ca="1">'Hilfstabelle DatendefKB'!W13</f>
        <v>Unvollständig</v>
      </c>
      <c r="J25" s="269" t="str">
        <f ca="1">'Hilfstabelle DatendefKB'!X13</f>
        <v>-----</v>
      </c>
      <c r="K25" s="269" t="str">
        <f ca="1">'Hilfstabelle DatendefKB'!Y13</f>
        <v>-----</v>
      </c>
    </row>
    <row r="26" spans="1:13" ht="170.1" customHeight="1" x14ac:dyDescent="0.25">
      <c r="A26" s="265">
        <f ca="1">'Hilfstabelle DatendefKB'!O14</f>
        <v>12</v>
      </c>
      <c r="B26" s="266" t="str">
        <f ca="1">'Hilfstabelle DatendefKB'!P14</f>
        <v>Angabe Abstand mesorektale Faszie bei RK im unteren und mittleren Drittel</v>
      </c>
      <c r="C26" s="296" t="str">
        <f ca="1">'Hilfstabelle DatendefKB'!Q14</f>
        <v>-----</v>
      </c>
      <c r="D26" s="296" t="str">
        <f ca="1">'Hilfstabelle DatendefKB'!R14</f>
        <v>≥ 90%</v>
      </c>
      <c r="E26" s="296" t="str">
        <f ca="1">'Hilfstabelle DatendefKB'!S14</f>
        <v>-----</v>
      </c>
      <c r="F26" s="271" t="str">
        <f ca="1">'Hilfstabelle DatendefKB'!T14</f>
        <v>-----</v>
      </c>
      <c r="G26" s="267" t="str">
        <f ca="1">'Hilfstabelle DatendefKB'!U14</f>
        <v>-----</v>
      </c>
      <c r="H26" s="295" t="str">
        <f ca="1">'Hilfstabelle DatendefKB'!V14</f>
        <v>n.d.</v>
      </c>
      <c r="I26" s="268" t="str">
        <f ca="1">'Hilfstabelle DatendefKB'!W14</f>
        <v>Unvollständig</v>
      </c>
      <c r="J26" s="269" t="str">
        <f ca="1">'Hilfstabelle DatendefKB'!X14</f>
        <v>-----</v>
      </c>
      <c r="K26" s="269" t="str">
        <f ca="1">'Hilfstabelle DatendefKB'!Y14</f>
        <v>-----</v>
      </c>
    </row>
    <row r="27" spans="1:13" ht="170.1" customHeight="1" x14ac:dyDescent="0.25">
      <c r="A27" s="265">
        <f ca="1">'Hilfstabelle DatendefKB'!O15</f>
        <v>13</v>
      </c>
      <c r="B27" s="266" t="str">
        <f ca="1">'Hilfstabelle DatendefKB'!P15</f>
        <v>Operative Primärfälle Kolon</v>
      </c>
      <c r="C27" s="296" t="str">
        <f ca="1">'Hilfstabelle DatendefKB'!Q15</f>
        <v>-----</v>
      </c>
      <c r="D27" s="296" t="str">
        <f ca="1">'Hilfstabelle DatendefKB'!R15</f>
        <v>≥ 30</v>
      </c>
      <c r="E27" s="296" t="str">
        <f ca="1">'Hilfstabelle DatendefKB'!S15</f>
        <v>-----</v>
      </c>
      <c r="F27" s="271">
        <f ca="1">'Hilfstabelle DatendefKB'!T15</f>
        <v>0</v>
      </c>
      <c r="G27" s="267" t="str">
        <f ca="1">'Hilfstabelle DatendefKB'!U15</f>
        <v>-----</v>
      </c>
      <c r="H27" s="295" t="str">
        <f ca="1">'Hilfstabelle DatendefKB'!V15</f>
        <v>-----</v>
      </c>
      <c r="I27" s="268" t="str">
        <f ca="1">'Hilfstabelle DatendefKB'!W15</f>
        <v>Unvollständig</v>
      </c>
      <c r="J27" s="269" t="str">
        <f ca="1">'Hilfstabelle DatendefKB'!X15</f>
        <v>-----</v>
      </c>
      <c r="K27" s="269" t="str">
        <f ca="1">'Hilfstabelle DatendefKB'!Y15</f>
        <v>-----</v>
      </c>
    </row>
    <row r="28" spans="1:13" ht="170.1" customHeight="1" x14ac:dyDescent="0.25">
      <c r="A28" s="265">
        <f ca="1">'Hilfstabelle DatendefKB'!O16</f>
        <v>14</v>
      </c>
      <c r="B28" s="266" t="str">
        <f ca="1">'Hilfstabelle DatendefKB'!P16</f>
        <v>Operative Primärfälle Rektum</v>
      </c>
      <c r="C28" s="296" t="str">
        <f ca="1">'Hilfstabelle DatendefKB'!Q16</f>
        <v>-----</v>
      </c>
      <c r="D28" s="296" t="str">
        <f ca="1">'Hilfstabelle DatendefKB'!R16</f>
        <v>≥ 20</v>
      </c>
      <c r="E28" s="296" t="str">
        <f ca="1">'Hilfstabelle DatendefKB'!S16</f>
        <v>-----</v>
      </c>
      <c r="F28" s="271">
        <f ca="1">'Hilfstabelle DatendefKB'!T16</f>
        <v>0</v>
      </c>
      <c r="G28" s="267" t="str">
        <f ca="1">'Hilfstabelle DatendefKB'!U16</f>
        <v>-----</v>
      </c>
      <c r="H28" s="295" t="str">
        <f ca="1">'Hilfstabelle DatendefKB'!V16</f>
        <v>-----</v>
      </c>
      <c r="I28" s="268" t="str">
        <f ca="1">'Hilfstabelle DatendefKB'!W16</f>
        <v>Unvollständig</v>
      </c>
      <c r="J28" s="269" t="str">
        <f ca="1">'Hilfstabelle DatendefKB'!X16</f>
        <v>-----</v>
      </c>
      <c r="K28" s="269" t="str">
        <f ca="1">'Hilfstabelle DatendefKB'!Y16</f>
        <v>-----</v>
      </c>
    </row>
    <row r="29" spans="1:13" ht="170.1" customHeight="1" x14ac:dyDescent="0.25">
      <c r="A29" s="265">
        <f ca="1">'Hilfstabelle DatendefKB'!O17</f>
        <v>15</v>
      </c>
      <c r="B29" s="266" t="str">
        <f ca="1">'Hilfstabelle DatendefKB'!P17</f>
        <v>Revisions-OP's Kolon</v>
      </c>
      <c r="C29" s="296" t="str">
        <f ca="1">'Hilfstabelle DatendefKB'!Q17</f>
        <v>&lt; 0,01%</v>
      </c>
      <c r="D29" s="296" t="str">
        <f ca="1">'Hilfstabelle DatendefKB'!R17</f>
        <v>≤ 15%</v>
      </c>
      <c r="E29" s="296" t="str">
        <f ca="1">'Hilfstabelle DatendefKB'!S17</f>
        <v>&gt;10%</v>
      </c>
      <c r="F29" s="271" t="str">
        <f ca="1">'Hilfstabelle DatendefKB'!T17</f>
        <v>-----</v>
      </c>
      <c r="G29" s="267">
        <f ca="1">'Hilfstabelle DatendefKB'!U17</f>
        <v>0</v>
      </c>
      <c r="H29" s="295" t="str">
        <f ca="1">'Hilfstabelle DatendefKB'!V17</f>
        <v>n.d.</v>
      </c>
      <c r="I29" s="268" t="str">
        <f ca="1">'Hilfstabelle DatendefKB'!W17</f>
        <v>Unvollständig</v>
      </c>
      <c r="J29" s="269" t="str">
        <f ca="1">'Hilfstabelle DatendefKB'!X17</f>
        <v>-----</v>
      </c>
      <c r="K29" s="269" t="str">
        <f ca="1">'Hilfstabelle DatendefKB'!Y17</f>
        <v>-----</v>
      </c>
    </row>
    <row r="30" spans="1:13" ht="170.1" customHeight="1" x14ac:dyDescent="0.25">
      <c r="A30" s="265">
        <f ca="1">'Hilfstabelle DatendefKB'!O18</f>
        <v>16</v>
      </c>
      <c r="B30" s="266" t="str">
        <f ca="1">'Hilfstabelle DatendefKB'!P18</f>
        <v xml:space="preserve">Revisions-OP's Rektum </v>
      </c>
      <c r="C30" s="296" t="str">
        <f ca="1">'Hilfstabelle DatendefKB'!Q18</f>
        <v>&lt; 0,01%</v>
      </c>
      <c r="D30" s="296" t="str">
        <f ca="1">'Hilfstabelle DatendefKB'!R18</f>
        <v>≤ 15%</v>
      </c>
      <c r="E30" s="296" t="str">
        <f ca="1">'Hilfstabelle DatendefKB'!S18</f>
        <v>&gt;10%</v>
      </c>
      <c r="F30" s="271" t="str">
        <f ca="1">'Hilfstabelle DatendefKB'!T18</f>
        <v>-----</v>
      </c>
      <c r="G30" s="267">
        <f ca="1">'Hilfstabelle DatendefKB'!U18</f>
        <v>0</v>
      </c>
      <c r="H30" s="295" t="str">
        <f ca="1">'Hilfstabelle DatendefKB'!V18</f>
        <v>n.d.</v>
      </c>
      <c r="I30" s="268" t="str">
        <f ca="1">'Hilfstabelle DatendefKB'!W18</f>
        <v>Unvollständig</v>
      </c>
      <c r="J30" s="269" t="str">
        <f ca="1">'Hilfstabelle DatendefKB'!X18</f>
        <v>-----</v>
      </c>
      <c r="K30" s="269" t="str">
        <f ca="1">'Hilfstabelle DatendefKB'!Y18</f>
        <v>-----</v>
      </c>
    </row>
    <row r="31" spans="1:13" ht="170.1" customHeight="1" x14ac:dyDescent="0.25">
      <c r="A31" s="265">
        <f ca="1">'Hilfstabelle DatendefKB'!O19</f>
        <v>17</v>
      </c>
      <c r="B31" s="266" t="str">
        <f ca="1">'Hilfstabelle DatendefKB'!P19</f>
        <v xml:space="preserve">Anastomoseninsuffizienzen Kolon </v>
      </c>
      <c r="C31" s="296" t="str">
        <f ca="1">'Hilfstabelle DatendefKB'!Q19</f>
        <v>&lt; 0,01%</v>
      </c>
      <c r="D31" s="296" t="str">
        <f ca="1">'Hilfstabelle DatendefKB'!R19</f>
        <v>≤ 6%</v>
      </c>
      <c r="E31" s="296" t="str">
        <f ca="1">'Hilfstabelle DatendefKB'!S19</f>
        <v>-----</v>
      </c>
      <c r="F31" s="271" t="str">
        <f ca="1">'Hilfstabelle DatendefKB'!T19</f>
        <v>-----</v>
      </c>
      <c r="G31" s="267" t="str">
        <f ca="1">'Hilfstabelle DatendefKB'!U19</f>
        <v>-----</v>
      </c>
      <c r="H31" s="295" t="str">
        <f ca="1">'Hilfstabelle DatendefKB'!V19</f>
        <v>n.d.</v>
      </c>
      <c r="I31" s="268" t="str">
        <f ca="1">'Hilfstabelle DatendefKB'!W19</f>
        <v>Unvollständig</v>
      </c>
      <c r="J31" s="269" t="str">
        <f ca="1">'Hilfstabelle DatendefKB'!X19</f>
        <v>-----</v>
      </c>
      <c r="K31" s="269" t="str">
        <f ca="1">'Hilfstabelle DatendefKB'!Y19</f>
        <v>-----</v>
      </c>
    </row>
    <row r="32" spans="1:13" ht="170.1" customHeight="1" x14ac:dyDescent="0.25">
      <c r="A32" s="265">
        <f ca="1">'Hilfstabelle DatendefKB'!O20</f>
        <v>18</v>
      </c>
      <c r="B32" s="266" t="str">
        <f ca="1">'Hilfstabelle DatendefKB'!P20</f>
        <v>Anastomoseninsuffizienzen Rektum</v>
      </c>
      <c r="C32" s="296" t="str">
        <f ca="1">'Hilfstabelle DatendefKB'!Q20</f>
        <v>&lt; 0,01%</v>
      </c>
      <c r="D32" s="296" t="str">
        <f ca="1">'Hilfstabelle DatendefKB'!R20</f>
        <v>≤ 15%</v>
      </c>
      <c r="E32" s="296" t="str">
        <f ca="1">'Hilfstabelle DatendefKB'!S20</f>
        <v>-----</v>
      </c>
      <c r="F32" s="271" t="str">
        <f ca="1">'Hilfstabelle DatendefKB'!T20</f>
        <v>-----</v>
      </c>
      <c r="G32" s="267" t="str">
        <f ca="1">'Hilfstabelle DatendefKB'!U20</f>
        <v>-----</v>
      </c>
      <c r="H32" s="295" t="str">
        <f ca="1">'Hilfstabelle DatendefKB'!V20</f>
        <v>n.d.</v>
      </c>
      <c r="I32" s="268" t="str">
        <f ca="1">'Hilfstabelle DatendefKB'!W20</f>
        <v>Unvollständig</v>
      </c>
      <c r="J32" s="269" t="str">
        <f ca="1">'Hilfstabelle DatendefKB'!X20</f>
        <v>-----</v>
      </c>
      <c r="K32" s="269" t="str">
        <f ca="1">'Hilfstabelle DatendefKB'!Y20</f>
        <v>-----</v>
      </c>
    </row>
    <row r="33" spans="1:11" ht="170.1" customHeight="1" x14ac:dyDescent="0.25">
      <c r="A33" s="265">
        <f ca="1">'Hilfstabelle DatendefKB'!O21</f>
        <v>19</v>
      </c>
      <c r="B33" s="266" t="str">
        <f ca="1">'Hilfstabelle DatendefKB'!P21</f>
        <v>Mortalität postoperativ</v>
      </c>
      <c r="C33" s="296" t="str">
        <f ca="1">'Hilfstabelle DatendefKB'!Q21</f>
        <v>&lt; 0,01%</v>
      </c>
      <c r="D33" s="296" t="str">
        <f ca="1">'Hilfstabelle DatendefKB'!R21</f>
        <v>≤ 5%</v>
      </c>
      <c r="E33" s="296" t="str">
        <f ca="1">'Hilfstabelle DatendefKB'!S21</f>
        <v>-----</v>
      </c>
      <c r="F33" s="271" t="str">
        <f ca="1">'Hilfstabelle DatendefKB'!T21</f>
        <v>-----</v>
      </c>
      <c r="G33" s="267">
        <f ca="1">'Hilfstabelle DatendefKB'!U21</f>
        <v>0</v>
      </c>
      <c r="H33" s="295" t="str">
        <f ca="1">'Hilfstabelle DatendefKB'!V21</f>
        <v>n.d.</v>
      </c>
      <c r="I33" s="268" t="str">
        <f ca="1">'Hilfstabelle DatendefKB'!W21</f>
        <v>Unvollständig</v>
      </c>
      <c r="J33" s="269" t="str">
        <f ca="1">'Hilfstabelle DatendefKB'!X21</f>
        <v>-----</v>
      </c>
      <c r="K33" s="269" t="str">
        <f ca="1">'Hilfstabelle DatendefKB'!Y21</f>
        <v>-----</v>
      </c>
    </row>
    <row r="34" spans="1:11" ht="170.1" customHeight="1" x14ac:dyDescent="0.25">
      <c r="A34" s="265">
        <f ca="1">'Hilfstabelle DatendefKB'!O22</f>
        <v>20</v>
      </c>
      <c r="B34" s="266" t="str">
        <f ca="1">'Hilfstabelle DatendefKB'!P22</f>
        <v>Lokale R0-Resektionen Rektum</v>
      </c>
      <c r="C34" s="296" t="str">
        <f ca="1">'Hilfstabelle DatendefKB'!Q22</f>
        <v>-----</v>
      </c>
      <c r="D34" s="296" t="str">
        <f ca="1">'Hilfstabelle DatendefKB'!R22</f>
        <v>≥ 90%</v>
      </c>
      <c r="E34" s="296" t="str">
        <f ca="1">'Hilfstabelle DatendefKB'!S22</f>
        <v>-----</v>
      </c>
      <c r="F34" s="271" t="str">
        <f ca="1">'Hilfstabelle DatendefKB'!T22</f>
        <v>-----</v>
      </c>
      <c r="G34" s="267">
        <f ca="1">'Hilfstabelle DatendefKB'!U22</f>
        <v>0</v>
      </c>
      <c r="H34" s="295" t="str">
        <f ca="1">'Hilfstabelle DatendefKB'!V22</f>
        <v>n.d.</v>
      </c>
      <c r="I34" s="268" t="str">
        <f ca="1">'Hilfstabelle DatendefKB'!W22</f>
        <v>Unvollständig</v>
      </c>
      <c r="J34" s="269" t="str">
        <f ca="1">'Hilfstabelle DatendefKB'!X22</f>
        <v>-----</v>
      </c>
      <c r="K34" s="269" t="str">
        <f ca="1">'Hilfstabelle DatendefKB'!Y22</f>
        <v>-----</v>
      </c>
    </row>
    <row r="35" spans="1:11" ht="170.1" customHeight="1" x14ac:dyDescent="0.25">
      <c r="A35" s="265">
        <f ca="1">'Hilfstabelle DatendefKB'!O23</f>
        <v>21</v>
      </c>
      <c r="B35" s="266" t="str">
        <f ca="1">'Hilfstabelle DatendefKB'!P23</f>
        <v>Anzeichnung Stomaposition</v>
      </c>
      <c r="C35" s="296" t="str">
        <f ca="1">'Hilfstabelle DatendefKB'!Q23</f>
        <v>-----</v>
      </c>
      <c r="D35" s="296" t="str">
        <f ca="1">'Hilfstabelle DatendefKB'!R23</f>
        <v>≥ 90%</v>
      </c>
      <c r="E35" s="296" t="str">
        <f ca="1">'Hilfstabelle DatendefKB'!S23</f>
        <v>-----</v>
      </c>
      <c r="F35" s="271" t="str">
        <f ca="1">'Hilfstabelle DatendefKB'!T23</f>
        <v>-----</v>
      </c>
      <c r="G35" s="267" t="str">
        <f ca="1">'Hilfstabelle DatendefKB'!U23</f>
        <v>-----</v>
      </c>
      <c r="H35" s="295" t="str">
        <f ca="1">'Hilfstabelle DatendefKB'!V23</f>
        <v>n.d.</v>
      </c>
      <c r="I35" s="268" t="str">
        <f ca="1">'Hilfstabelle DatendefKB'!W23</f>
        <v>Unvollständig</v>
      </c>
      <c r="J35" s="269" t="str">
        <f ca="1">'Hilfstabelle DatendefKB'!X23</f>
        <v>-----</v>
      </c>
      <c r="K35" s="269" t="str">
        <f ca="1">'Hilfstabelle DatendefKB'!Y23</f>
        <v>-----</v>
      </c>
    </row>
    <row r="36" spans="1:11" ht="170.1" customHeight="1" x14ac:dyDescent="0.25">
      <c r="A36" s="265" t="str">
        <f ca="1">'Hilfstabelle DatendefKB'!O24</f>
        <v>22a</v>
      </c>
      <c r="B36" s="266" t="str">
        <f ca="1">'Hilfstabelle DatendefKB'!P24</f>
        <v>Lebermetastasenresektion</v>
      </c>
      <c r="C36" s="296" t="str">
        <f ca="1">'Hilfstabelle DatendefKB'!Q24</f>
        <v>&lt; 20%</v>
      </c>
      <c r="D36" s="296" t="str">
        <f ca="1">'Hilfstabelle DatendefKB'!R24</f>
        <v>Derzeit keine Vorgaben</v>
      </c>
      <c r="E36" s="296" t="str">
        <f ca="1">'Hilfstabelle DatendefKB'!S24</f>
        <v>-----</v>
      </c>
      <c r="F36" s="271" t="str">
        <f ca="1">'Hilfstabelle DatendefKB'!T24</f>
        <v>-----</v>
      </c>
      <c r="G36" s="267" t="str">
        <f ca="1">'Hilfstabelle DatendefKB'!U24</f>
        <v>-----</v>
      </c>
      <c r="H36" s="295" t="str">
        <f ca="1">'Hilfstabelle DatendefKB'!V24</f>
        <v>n.d.</v>
      </c>
      <c r="I36" s="268" t="str">
        <f ca="1">'Hilfstabelle DatendefKB'!W24</f>
        <v>Unvollständig</v>
      </c>
      <c r="J36" s="269" t="str">
        <f ca="1">'Hilfstabelle DatendefKB'!X24</f>
        <v>-----</v>
      </c>
      <c r="K36" s="269" t="str">
        <f ca="1">'Hilfstabelle DatendefKB'!Y24</f>
        <v>-----</v>
      </c>
    </row>
    <row r="37" spans="1:11" ht="170.1" customHeight="1" x14ac:dyDescent="0.25">
      <c r="A37" s="265" t="str">
        <f ca="1">'Hilfstabelle DatendefKB'!O25</f>
        <v>22b</v>
      </c>
      <c r="B37" s="266" t="str">
        <f ca="1">'Hilfstabelle DatendefKB'!P25</f>
        <v>Lebermetastasenresektion am operativen Standort des Darmkrebszentrums</v>
      </c>
      <c r="C37" s="296" t="str">
        <f ca="1">'Hilfstabelle DatendefKB'!Q25</f>
        <v>-----</v>
      </c>
      <c r="D37" s="296" t="str">
        <f ca="1">'Hilfstabelle DatendefKB'!R25</f>
        <v>Derzeit keine Vorgaben</v>
      </c>
      <c r="E37" s="296" t="str">
        <f ca="1">'Hilfstabelle DatendefKB'!S25</f>
        <v>-----</v>
      </c>
      <c r="F37" s="271" t="str">
        <f ca="1">'Hilfstabelle DatendefKB'!T25</f>
        <v>-----</v>
      </c>
      <c r="G37" s="267" t="str">
        <f ca="1">'Hilfstabelle DatendefKB'!U25</f>
        <v>-----</v>
      </c>
      <c r="H37" s="295" t="str">
        <f ca="1">'Hilfstabelle DatendefKB'!V25</f>
        <v>-----</v>
      </c>
      <c r="I37" s="268" t="str">
        <f ca="1">'Hilfstabelle DatendefKB'!W25</f>
        <v>Unvollständig</v>
      </c>
      <c r="J37" s="269" t="str">
        <f ca="1">'Hilfstabelle DatendefKB'!X25</f>
        <v>-----</v>
      </c>
      <c r="K37" s="269" t="str">
        <f ca="1">'Hilfstabelle DatendefKB'!Y25</f>
        <v>-----</v>
      </c>
    </row>
    <row r="38" spans="1:11" ht="170.1" customHeight="1" x14ac:dyDescent="0.25">
      <c r="A38" s="265" t="str">
        <f ca="1">'Hilfstabelle DatendefKB'!O26</f>
        <v>22c</v>
      </c>
      <c r="B38" s="266" t="str">
        <f ca="1">'Hilfstabelle DatendefKB'!P26</f>
        <v>Lebermetastasenresektion außerhalb des operativen Standortes des Darmkrebszentrums</v>
      </c>
      <c r="C38" s="296" t="str">
        <f ca="1">'Hilfstabelle DatendefKB'!Q26</f>
        <v>-----</v>
      </c>
      <c r="D38" s="296" t="str">
        <f ca="1">'Hilfstabelle DatendefKB'!R26</f>
        <v>Derzeit keine Vorgaben</v>
      </c>
      <c r="E38" s="296" t="str">
        <f ca="1">'Hilfstabelle DatendefKB'!S26</f>
        <v>-----</v>
      </c>
      <c r="F38" s="271">
        <f ca="1">'Hilfstabelle DatendefKB'!T26</f>
        <v>0</v>
      </c>
      <c r="G38" s="267" t="str">
        <f ca="1">'Hilfstabelle DatendefKB'!U26</f>
        <v>-----</v>
      </c>
      <c r="H38" s="295" t="str">
        <f ca="1">'Hilfstabelle DatendefKB'!V26</f>
        <v>-----</v>
      </c>
      <c r="I38" s="268" t="str">
        <f ca="1">'Hilfstabelle DatendefKB'!W26</f>
        <v>Unvollständig</v>
      </c>
      <c r="J38" s="269" t="str">
        <f ca="1">'Hilfstabelle DatendefKB'!X26</f>
        <v>-----</v>
      </c>
      <c r="K38" s="269" t="str">
        <f ca="1">'Hilfstabelle DatendefKB'!Y26</f>
        <v>-----</v>
      </c>
    </row>
    <row r="39" spans="1:11" ht="170.1" customHeight="1" x14ac:dyDescent="0.25">
      <c r="A39" s="265">
        <f ca="1">'Hilfstabelle DatendefKB'!O27</f>
        <v>23</v>
      </c>
      <c r="B39" s="266" t="str">
        <f ca="1">'Hilfstabelle DatendefKB'!P27</f>
        <v>Adjuvante Chemotherapien Kolon (UICC Stad. III)</v>
      </c>
      <c r="C39" s="296" t="str">
        <f ca="1">'Hilfstabelle DatendefKB'!Q27</f>
        <v>-----</v>
      </c>
      <c r="D39" s="296" t="str">
        <f ca="1">'Hilfstabelle DatendefKB'!R27</f>
        <v>≥ 70%</v>
      </c>
      <c r="E39" s="296" t="str">
        <f ca="1">'Hilfstabelle DatendefKB'!S27</f>
        <v>-----</v>
      </c>
      <c r="F39" s="271" t="str">
        <f ca="1">'Hilfstabelle DatendefKB'!T27</f>
        <v>-----</v>
      </c>
      <c r="G39" s="267" t="str">
        <f ca="1">'Hilfstabelle DatendefKB'!U27</f>
        <v>-----</v>
      </c>
      <c r="H39" s="295" t="str">
        <f ca="1">'Hilfstabelle DatendefKB'!V27</f>
        <v>n.d.</v>
      </c>
      <c r="I39" s="268" t="str">
        <f ca="1">'Hilfstabelle DatendefKB'!W27</f>
        <v>Unvollständig</v>
      </c>
      <c r="J39" s="269" t="str">
        <f ca="1">'Hilfstabelle DatendefKB'!X27</f>
        <v>-----</v>
      </c>
      <c r="K39" s="269" t="str">
        <f ca="1">'Hilfstabelle DatendefKB'!Y27</f>
        <v>-----</v>
      </c>
    </row>
    <row r="40" spans="1:11" ht="170.1" customHeight="1" x14ac:dyDescent="0.25">
      <c r="A40" s="265">
        <f ca="1">'Hilfstabelle DatendefKB'!O28</f>
        <v>24</v>
      </c>
      <c r="B40" s="266" t="str">
        <f ca="1">'Hilfstabelle DatendefKB'!P28</f>
        <v>Kombinationschemotherapie bei metastasiertem KRK mit systemischer Erstlinientherapie</v>
      </c>
      <c r="C40" s="296" t="str">
        <f ca="1">'Hilfstabelle DatendefKB'!Q28</f>
        <v>&lt; 50%</v>
      </c>
      <c r="D40" s="296" t="str">
        <f ca="1">'Hilfstabelle DatendefKB'!R28</f>
        <v>Derzeit keine Vorgaben</v>
      </c>
      <c r="E40" s="296" t="str">
        <f ca="1">'Hilfstabelle DatendefKB'!S28</f>
        <v>-----</v>
      </c>
      <c r="F40" s="271" t="str">
        <f ca="1">'Hilfstabelle DatendefKB'!T28</f>
        <v>-----</v>
      </c>
      <c r="G40" s="267" t="str">
        <f ca="1">'Hilfstabelle DatendefKB'!U28</f>
        <v>-----</v>
      </c>
      <c r="H40" s="295" t="str">
        <f ca="1">'Hilfstabelle DatendefKB'!V28</f>
        <v>n.d.</v>
      </c>
      <c r="I40" s="268" t="str">
        <f ca="1">'Hilfstabelle DatendefKB'!W28</f>
        <v>Unvollständig</v>
      </c>
      <c r="J40" s="269" t="str">
        <f ca="1">'Hilfstabelle DatendefKB'!X28</f>
        <v>-----</v>
      </c>
      <c r="K40" s="269" t="str">
        <f ca="1">'Hilfstabelle DatendefKB'!Y28</f>
        <v>-----</v>
      </c>
    </row>
    <row r="41" spans="1:11" ht="170.1" customHeight="1" x14ac:dyDescent="0.25">
      <c r="A41" s="265">
        <f ca="1">'Hilfstabelle DatendefKB'!O29</f>
        <v>25</v>
      </c>
      <c r="B41" s="266" t="str">
        <f ca="1">'Hilfstabelle DatendefKB'!P29</f>
        <v xml:space="preserve">Qualität des TME-Rektumpräparates (Angabe Pathologie) </v>
      </c>
      <c r="C41" s="296" t="str">
        <f ca="1">'Hilfstabelle DatendefKB'!Q29</f>
        <v>-----</v>
      </c>
      <c r="D41" s="296" t="str">
        <f ca="1">'Hilfstabelle DatendefKB'!R29</f>
        <v>≥ 85%</v>
      </c>
      <c r="E41" s="296" t="str">
        <f ca="1">'Hilfstabelle DatendefKB'!S29</f>
        <v>-----</v>
      </c>
      <c r="F41" s="271" t="str">
        <f ca="1">'Hilfstabelle DatendefKB'!T29</f>
        <v>-----</v>
      </c>
      <c r="G41" s="267" t="str">
        <f ca="1">'Hilfstabelle DatendefKB'!U29</f>
        <v>-----</v>
      </c>
      <c r="H41" s="295" t="str">
        <f ca="1">'Hilfstabelle DatendefKB'!V29</f>
        <v>n.d.</v>
      </c>
      <c r="I41" s="268" t="str">
        <f ca="1">'Hilfstabelle DatendefKB'!W29</f>
        <v>Unvollständig</v>
      </c>
      <c r="J41" s="269" t="str">
        <f ca="1">'Hilfstabelle DatendefKB'!X29</f>
        <v>-----</v>
      </c>
      <c r="K41" s="269" t="str">
        <f ca="1">'Hilfstabelle DatendefKB'!Y29</f>
        <v>-----</v>
      </c>
    </row>
    <row r="42" spans="1:11" ht="170.1" customHeight="1" x14ac:dyDescent="0.25">
      <c r="A42" s="265">
        <f ca="1">'Hilfstabelle DatendefKB'!O30</f>
        <v>26</v>
      </c>
      <c r="B42" s="266" t="str">
        <f ca="1">'Hilfstabelle DatendefKB'!P30</f>
        <v>Befundbericht nach operativer Resektion bei KRK</v>
      </c>
      <c r="C42" s="296" t="str">
        <f ca="1">'Hilfstabelle DatendefKB'!Q30</f>
        <v>-----</v>
      </c>
      <c r="D42" s="296" t="str">
        <f ca="1">'Hilfstabelle DatendefKB'!R30</f>
        <v>≥ 95%</v>
      </c>
      <c r="E42" s="296" t="str">
        <f ca="1">'Hilfstabelle DatendefKB'!S30</f>
        <v>-----</v>
      </c>
      <c r="F42" s="271" t="str">
        <f ca="1">'Hilfstabelle DatendefKB'!T30</f>
        <v>-----</v>
      </c>
      <c r="G42" s="267" t="str">
        <f ca="1">'Hilfstabelle DatendefKB'!U30</f>
        <v>-----</v>
      </c>
      <c r="H42" s="295" t="str">
        <f ca="1">'Hilfstabelle DatendefKB'!V30</f>
        <v>n.d.</v>
      </c>
      <c r="I42" s="268" t="str">
        <f ca="1">'Hilfstabelle DatendefKB'!W30</f>
        <v>Unvollständig</v>
      </c>
      <c r="J42" s="269" t="str">
        <f ca="1">'Hilfstabelle DatendefKB'!X30</f>
        <v>-----</v>
      </c>
      <c r="K42" s="269" t="str">
        <f ca="1">'Hilfstabelle DatendefKB'!Y30</f>
        <v>-----</v>
      </c>
    </row>
    <row r="43" spans="1:11" ht="170.1" customHeight="1" x14ac:dyDescent="0.25">
      <c r="A43" s="265">
        <f ca="1">'Hilfstabelle DatendefKB'!O31</f>
        <v>27</v>
      </c>
      <c r="B43" s="266" t="str">
        <f ca="1">'Hilfstabelle DatendefKB'!P31</f>
        <v>Lymphknotenuntersuchung</v>
      </c>
      <c r="C43" s="296" t="str">
        <f ca="1">'Hilfstabelle DatendefKB'!Q31</f>
        <v>-----</v>
      </c>
      <c r="D43" s="296" t="str">
        <f ca="1">'Hilfstabelle DatendefKB'!R31</f>
        <v xml:space="preserve">≥ 95% </v>
      </c>
      <c r="E43" s="296" t="str">
        <f ca="1">'Hilfstabelle DatendefKB'!S31</f>
        <v>-----</v>
      </c>
      <c r="F43" s="271" t="str">
        <f ca="1">'Hilfstabelle DatendefKB'!T31</f>
        <v>-----</v>
      </c>
      <c r="G43" s="267" t="str">
        <f ca="1">'Hilfstabelle DatendefKB'!U31</f>
        <v>-----</v>
      </c>
      <c r="H43" s="295" t="str">
        <f ca="1">'Hilfstabelle DatendefKB'!V31</f>
        <v>n.d.</v>
      </c>
      <c r="I43" s="268" t="str">
        <f ca="1">'Hilfstabelle DatendefKB'!W31</f>
        <v>Unvollständig</v>
      </c>
      <c r="J43" s="269" t="str">
        <f ca="1">'Hilfstabelle DatendefKB'!X31</f>
        <v>-----</v>
      </c>
      <c r="K43" s="269" t="str">
        <f ca="1">'Hilfstabelle DatendefKB'!Y31</f>
        <v>-----</v>
      </c>
    </row>
    <row r="44" spans="1:11" ht="170.1" customHeight="1" x14ac:dyDescent="0.25">
      <c r="A44" s="265">
        <f ca="1">'Hilfstabelle DatendefKB'!O32</f>
        <v>28</v>
      </c>
      <c r="B44" s="266" t="str">
        <f ca="1">'Hilfstabelle DatendefKB'!P32</f>
        <v>Beginn der adjuvanten systemischen Therapie</v>
      </c>
      <c r="C44" s="296" t="str">
        <f ca="1">'Hilfstabelle DatendefKB'!Q32</f>
        <v>-----</v>
      </c>
      <c r="D44" s="296" t="str">
        <f ca="1">'Hilfstabelle DatendefKB'!R32</f>
        <v xml:space="preserve">≥ 80% </v>
      </c>
      <c r="E44" s="296" t="str">
        <f ca="1">'Hilfstabelle DatendefKB'!S32</f>
        <v>-----</v>
      </c>
      <c r="F44" s="271" t="str">
        <f ca="1">'Hilfstabelle DatendefKB'!T32</f>
        <v>-----</v>
      </c>
      <c r="G44" s="267">
        <f ca="1">'Hilfstabelle DatendefKB'!U32</f>
        <v>0</v>
      </c>
      <c r="H44" s="295" t="str">
        <f ca="1">'Hilfstabelle DatendefKB'!V32</f>
        <v>n.d.</v>
      </c>
      <c r="I44" s="268" t="str">
        <f ca="1">'Hilfstabelle DatendefKB'!W32</f>
        <v>Unvollständig</v>
      </c>
      <c r="J44" s="269" t="str">
        <f ca="1">'Hilfstabelle DatendefKB'!X32</f>
        <v>-----</v>
      </c>
      <c r="K44" s="269" t="str">
        <f ca="1">'Hilfstabelle DatendefKB'!Y32</f>
        <v>-----</v>
      </c>
    </row>
    <row r="45" spans="1:11" ht="170.1" customHeight="1" x14ac:dyDescent="0.25">
      <c r="A45" s="265">
        <f ca="1">'Hilfstabelle DatendefKB'!O33</f>
        <v>29</v>
      </c>
      <c r="B45" s="266" t="str">
        <f ca="1">'Hilfstabelle DatendefKB'!P33</f>
        <v>MTL22-Indikator (Mortalität, Transfer, postoperative Liegedauer)</v>
      </c>
      <c r="C45" s="296" t="str">
        <f ca="1">'Hilfstabelle DatendefKB'!Q33</f>
        <v>-----</v>
      </c>
      <c r="D45" s="296" t="str">
        <f ca="1">'Hilfstabelle DatendefKB'!R33</f>
        <v>Derzeit keine Vorgaben</v>
      </c>
      <c r="E45" s="296" t="str">
        <f ca="1">'Hilfstabelle DatendefKB'!S33</f>
        <v>&gt; 10%</v>
      </c>
      <c r="F45" s="271" t="str">
        <f ca="1">'Hilfstabelle DatendefKB'!T33</f>
        <v>-----</v>
      </c>
      <c r="G45" s="267">
        <f ca="1">'Hilfstabelle DatendefKB'!U33</f>
        <v>0</v>
      </c>
      <c r="H45" s="295" t="str">
        <f ca="1">'Hilfstabelle DatendefKB'!V33</f>
        <v>n.d.</v>
      </c>
      <c r="I45" s="268" t="str">
        <f ca="1">'Hilfstabelle DatendefKB'!W33</f>
        <v>Unvollständig</v>
      </c>
      <c r="J45" s="269" t="str">
        <f ca="1">'Hilfstabelle DatendefKB'!X33</f>
        <v>-----</v>
      </c>
      <c r="K45" s="269" t="str">
        <f ca="1">'Hilfstabelle DatendefKB'!Y33</f>
        <v>-----</v>
      </c>
    </row>
  </sheetData>
  <sheetProtection algorithmName="SHA-512" hashValue="yBuOMrRxCRcWyYDGfM/SE+TZLxYssJT17uy2adEKRHuwB6fMigZ8c5aYJH5RWbdvJIj2dHNkrwye8fnCEIwUIg==" saltValue="IB9f7mYHZwQMYfk0OX/Evg==" spinCount="100000" sheet="1" objects="1" scenarios="1" selectLockedCells="1"/>
  <mergeCells count="8">
    <mergeCell ref="C6:J6"/>
    <mergeCell ref="C8:E8"/>
    <mergeCell ref="A12:A13"/>
    <mergeCell ref="B12:B13"/>
    <mergeCell ref="C12:E12"/>
    <mergeCell ref="F12:H12"/>
    <mergeCell ref="I12:I13"/>
    <mergeCell ref="J12:K12"/>
  </mergeCells>
  <phoneticPr fontId="81" type="noConversion"/>
  <conditionalFormatting sqref="A12:A13">
    <cfRule type="expression" dxfId="138" priority="21" stopIfTrue="1">
      <formula>$A12&lt;&gt;""</formula>
    </cfRule>
  </conditionalFormatting>
  <conditionalFormatting sqref="A14:H45 J14:K45">
    <cfRule type="notContainsBlanks" dxfId="137" priority="178" stopIfTrue="1">
      <formula>LEN(TRIM(A14))&gt;0</formula>
    </cfRule>
  </conditionalFormatting>
  <conditionalFormatting sqref="B12:K13">
    <cfRule type="expression" dxfId="136" priority="8" stopIfTrue="1">
      <formula>B12&lt;&gt;""</formula>
    </cfRule>
  </conditionalFormatting>
  <conditionalFormatting sqref="I14:I45">
    <cfRule type="expression" dxfId="135" priority="4">
      <formula>AND($I14&lt;&gt;"",$I14="Ausnahme (Plausibilität unklar)")</formula>
    </cfRule>
    <cfRule type="expression" dxfId="134" priority="5" stopIfTrue="1">
      <formula>AND($I14&lt;&gt;"",$I14="Sollvorgabe nicht erfüllt")</formula>
    </cfRule>
    <cfRule type="expression" dxfId="133" priority="6" stopIfTrue="1">
      <formula>AND($I14&lt;&gt;"",$I14="I.O. (Plausibilität unklar)")</formula>
    </cfRule>
    <cfRule type="expression" dxfId="132" priority="7" stopIfTrue="1">
      <formula>OR(AND($I14&lt;&gt;"",$I14="Unvollständig"),AND($I14&lt;&gt;"",$I14="Inkorrekt"),AND($I14&lt;&gt;"",$I14="optional - Inkorrekt"))</formula>
    </cfRule>
    <cfRule type="expression" dxfId="131" priority="169" stopIfTrue="1">
      <formula>AND($I14&lt;&gt;"",$I14="optional - Sollvorgabe nicht erfüllt")</formula>
    </cfRule>
    <cfRule type="expression" dxfId="130" priority="170" stopIfTrue="1">
      <formula>AND($I14&lt;&gt;"",$I14="optional - I.O. (Plausibilität unklar)")</formula>
    </cfRule>
    <cfRule type="expression" dxfId="129" priority="174" stopIfTrue="1">
      <formula>AND($I14&lt;&gt;"",$I14="optional - unvollständig")</formula>
    </cfRule>
  </conditionalFormatting>
  <dataValidations count="1">
    <dataValidation allowBlank="1" showInputMessage="1" showErrorMessage="1" promptTitle="Hinweis" prompt="Übertrag erfolgt _x000a_automatisch aus _x000a_Kennzahlenbogen" sqref="J13:K13" xr:uid="{00000000-0002-0000-0C00-000000000000}"/>
  </dataValidations>
  <pageMargins left="3.937007874015748E-2" right="3.937007874015748E-2" top="0.27559055118110237" bottom="0.27559055118110237" header="0.11811023622047245" footer="0.11811023622047245"/>
  <pageSetup orientation="landscape" r:id="rId1"/>
  <headerFooter>
    <oddFooter>&amp;L&amp;"Arial,Standard"&amp;7&amp;F&amp;C&amp;"Arial,Standard"&amp;7 © DKG  Alle Rechte vorbehalten&amp;R&amp;"Arial,Standard"&amp;7&amp;P</oddFooter>
  </headerFooter>
  <rowBreaks count="3" manualBreakCount="3">
    <brk id="33" max="10" man="1"/>
    <brk id="36" max="10" man="1"/>
    <brk id="39" max="10" man="1"/>
  </rowBreaks>
  <ignoredErrors>
    <ignoredError sqref="D13" formula="1"/>
  </ignoredErrors>
  <drawing r:id="rId2"/>
  <legacy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
  <dimension ref="A1:N69"/>
  <sheetViews>
    <sheetView showGridLines="0" showRuler="0" zoomScaleNormal="100" zoomScaleSheetLayoutView="100" workbookViewId="0">
      <selection activeCell="L12" sqref="L12"/>
    </sheetView>
  </sheetViews>
  <sheetFormatPr defaultColWidth="9.140625" defaultRowHeight="15" x14ac:dyDescent="0.25"/>
  <cols>
    <col min="1" max="1" width="4" style="373" customWidth="1"/>
    <col min="2" max="2" width="4.42578125" style="373" customWidth="1"/>
    <col min="3" max="3" width="15.7109375" style="373" customWidth="1"/>
    <col min="4" max="4" width="23.5703125" style="373" customWidth="1"/>
    <col min="5" max="5" width="24" style="373" customWidth="1"/>
    <col min="6" max="6" width="9.5703125" style="373" customWidth="1"/>
    <col min="7" max="7" width="9.28515625" style="373" customWidth="1"/>
    <col min="8" max="11" width="6.7109375" style="373" customWidth="1"/>
    <col min="12" max="14" width="9.140625" style="373"/>
    <col min="15" max="15" width="2.7109375" style="373" customWidth="1"/>
    <col min="16" max="16384" width="9.140625" style="373"/>
  </cols>
  <sheetData>
    <row r="1" spans="1:14" ht="9.9499999999999993" customHeight="1" x14ac:dyDescent="0.25">
      <c r="A1" s="372"/>
      <c r="B1" s="372"/>
      <c r="C1" s="372"/>
      <c r="D1" s="372"/>
      <c r="E1" s="372"/>
      <c r="F1" s="372"/>
      <c r="G1" s="372"/>
      <c r="H1" s="372"/>
      <c r="I1" s="372"/>
      <c r="J1" s="372"/>
      <c r="K1" s="372"/>
    </row>
    <row r="2" spans="1:14" s="372" customFormat="1" ht="12.95" customHeight="1" x14ac:dyDescent="0.2">
      <c r="A2" s="26" t="str">
        <f>Basisdaten!A2</f>
        <v>Anlage EB P1.1 (Auditjahr 2026 / Kennzahlenjahr 2025)</v>
      </c>
    </row>
    <row r="3" spans="1:14" ht="16.5" x14ac:dyDescent="0.25">
      <c r="A3" s="22" t="s">
        <v>1103</v>
      </c>
      <c r="B3" s="372"/>
      <c r="C3" s="372"/>
      <c r="D3" s="372"/>
      <c r="E3" s="372"/>
      <c r="F3" s="372"/>
      <c r="G3" s="372"/>
      <c r="H3" s="372"/>
      <c r="I3" s="372"/>
      <c r="J3" s="374"/>
      <c r="K3" s="372"/>
    </row>
    <row r="4" spans="1:14" x14ac:dyDescent="0.25">
      <c r="A4" s="372"/>
      <c r="B4" s="372"/>
      <c r="C4" s="372"/>
      <c r="D4" s="372"/>
      <c r="E4" s="372"/>
      <c r="F4" s="372"/>
      <c r="G4" s="372"/>
      <c r="H4" s="372"/>
      <c r="I4" s="372"/>
      <c r="J4" s="374"/>
      <c r="K4" s="372"/>
    </row>
    <row r="5" spans="1:14" ht="90.75" customHeight="1" x14ac:dyDescent="0.25">
      <c r="A5" s="812" t="s">
        <v>1164</v>
      </c>
      <c r="B5" s="813"/>
      <c r="C5" s="813"/>
      <c r="D5" s="813"/>
      <c r="E5" s="813"/>
      <c r="F5" s="813"/>
      <c r="G5" s="813"/>
      <c r="H5" s="813"/>
      <c r="I5" s="813"/>
      <c r="J5" s="813"/>
      <c r="K5" s="813"/>
    </row>
    <row r="6" spans="1:14" ht="11.25" customHeight="1" thickBot="1" x14ac:dyDescent="0.3">
      <c r="A6" s="372"/>
      <c r="B6" s="372"/>
      <c r="C6" s="372"/>
      <c r="D6" s="372"/>
      <c r="E6" s="372"/>
      <c r="F6" s="372"/>
      <c r="G6" s="372"/>
      <c r="H6" s="372"/>
      <c r="I6" s="372"/>
      <c r="J6" s="374"/>
      <c r="K6" s="372"/>
    </row>
    <row r="7" spans="1:14" s="375" customFormat="1" ht="9.75" customHeight="1" thickBot="1" x14ac:dyDescent="0.3">
      <c r="A7" s="814" t="s">
        <v>540</v>
      </c>
      <c r="B7" s="814" t="s">
        <v>157</v>
      </c>
      <c r="C7" s="814" t="s">
        <v>158</v>
      </c>
      <c r="D7" s="814" t="s">
        <v>160</v>
      </c>
      <c r="E7" s="815" t="s">
        <v>161</v>
      </c>
      <c r="F7" s="818" t="s">
        <v>738</v>
      </c>
      <c r="G7" s="819"/>
      <c r="H7" s="824" t="s">
        <v>160</v>
      </c>
      <c r="I7" s="824" t="s">
        <v>152</v>
      </c>
      <c r="J7" s="824" t="s">
        <v>160</v>
      </c>
      <c r="K7" s="824" t="s">
        <v>152</v>
      </c>
    </row>
    <row r="8" spans="1:14" s="375" customFormat="1" ht="12.75" customHeight="1" thickBot="1" x14ac:dyDescent="0.3">
      <c r="A8" s="814"/>
      <c r="B8" s="814"/>
      <c r="C8" s="814"/>
      <c r="D8" s="814"/>
      <c r="E8" s="816"/>
      <c r="F8" s="820"/>
      <c r="G8" s="821"/>
      <c r="H8" s="825"/>
      <c r="I8" s="825"/>
      <c r="J8" s="825"/>
      <c r="K8" s="825"/>
    </row>
    <row r="9" spans="1:14" s="375" customFormat="1" ht="15.75" customHeight="1" thickBot="1" x14ac:dyDescent="0.3">
      <c r="A9" s="814"/>
      <c r="B9" s="814"/>
      <c r="C9" s="814"/>
      <c r="D9" s="814"/>
      <c r="E9" s="817"/>
      <c r="F9" s="822"/>
      <c r="G9" s="823"/>
      <c r="H9" s="826" t="s">
        <v>739</v>
      </c>
      <c r="I9" s="827"/>
      <c r="J9" s="826" t="s">
        <v>740</v>
      </c>
      <c r="K9" s="827"/>
    </row>
    <row r="10" spans="1:14" ht="37.5" customHeight="1" thickBot="1" x14ac:dyDescent="0.3">
      <c r="A10" s="828">
        <v>19</v>
      </c>
      <c r="B10" s="831" t="s">
        <v>1107</v>
      </c>
      <c r="C10" s="376" t="s">
        <v>266</v>
      </c>
      <c r="D10" s="401" t="s">
        <v>178</v>
      </c>
      <c r="E10" s="404" t="s">
        <v>741</v>
      </c>
      <c r="F10" s="832" t="s">
        <v>1108</v>
      </c>
      <c r="G10" s="833"/>
      <c r="H10" s="413"/>
      <c r="I10" s="413"/>
      <c r="J10" s="413"/>
      <c r="K10" s="413"/>
    </row>
    <row r="11" spans="1:14" ht="15.95" customHeight="1" thickBot="1" x14ac:dyDescent="0.3">
      <c r="A11" s="829"/>
      <c r="B11" s="829"/>
      <c r="C11" s="834"/>
      <c r="D11" s="835"/>
      <c r="F11" s="840" t="s">
        <v>742</v>
      </c>
      <c r="G11" s="411" t="s">
        <v>978</v>
      </c>
      <c r="H11" s="410"/>
      <c r="I11" s="410"/>
      <c r="J11" s="410"/>
      <c r="K11" s="410"/>
      <c r="N11" s="426"/>
    </row>
    <row r="12" spans="1:14" ht="15.95" customHeight="1" thickBot="1" x14ac:dyDescent="0.3">
      <c r="A12" s="829"/>
      <c r="B12" s="829"/>
      <c r="C12" s="836"/>
      <c r="D12" s="837"/>
      <c r="F12" s="841"/>
      <c r="G12" s="412" t="s">
        <v>743</v>
      </c>
      <c r="H12" s="410"/>
      <c r="I12" s="410"/>
      <c r="J12" s="410"/>
      <c r="K12" s="410"/>
      <c r="N12" s="426"/>
    </row>
    <row r="13" spans="1:14" ht="15.95" customHeight="1" thickBot="1" x14ac:dyDescent="0.3">
      <c r="A13" s="829"/>
      <c r="B13" s="829"/>
      <c r="C13" s="836"/>
      <c r="D13" s="837"/>
      <c r="F13" s="842"/>
      <c r="G13" s="377" t="s">
        <v>744</v>
      </c>
      <c r="H13" s="410"/>
      <c r="I13" s="410"/>
      <c r="J13" s="410"/>
      <c r="K13" s="410"/>
      <c r="N13" s="426"/>
    </row>
    <row r="14" spans="1:14" ht="15.95" customHeight="1" thickBot="1" x14ac:dyDescent="0.3">
      <c r="A14" s="829"/>
      <c r="B14" s="829"/>
      <c r="C14" s="836"/>
      <c r="D14" s="837"/>
      <c r="F14" s="843" t="s">
        <v>745</v>
      </c>
      <c r="G14" s="377" t="s">
        <v>300</v>
      </c>
      <c r="H14" s="410"/>
      <c r="I14" s="410"/>
      <c r="J14" s="410"/>
      <c r="K14" s="410"/>
      <c r="N14" s="426"/>
    </row>
    <row r="15" spans="1:14" ht="15.95" customHeight="1" thickBot="1" x14ac:dyDescent="0.3">
      <c r="A15" s="829"/>
      <c r="B15" s="829"/>
      <c r="C15" s="836"/>
      <c r="D15" s="837"/>
      <c r="F15" s="844"/>
      <c r="G15" s="377" t="s">
        <v>746</v>
      </c>
      <c r="H15" s="410"/>
      <c r="I15" s="410"/>
      <c r="J15" s="410"/>
      <c r="K15" s="410"/>
      <c r="N15" s="426"/>
    </row>
    <row r="16" spans="1:14" ht="15.95" customHeight="1" thickBot="1" x14ac:dyDescent="0.3">
      <c r="A16" s="829"/>
      <c r="B16" s="829"/>
      <c r="C16" s="836"/>
      <c r="D16" s="837"/>
      <c r="F16" s="844"/>
      <c r="G16" s="377" t="s">
        <v>747</v>
      </c>
      <c r="H16" s="410"/>
      <c r="I16" s="410"/>
      <c r="J16" s="410"/>
      <c r="K16" s="410"/>
      <c r="N16" s="426"/>
    </row>
    <row r="17" spans="1:14" ht="15.95" customHeight="1" thickBot="1" x14ac:dyDescent="0.3">
      <c r="A17" s="829"/>
      <c r="B17" s="829"/>
      <c r="C17" s="836"/>
      <c r="D17" s="837"/>
      <c r="F17" s="845"/>
      <c r="G17" s="377" t="s">
        <v>748</v>
      </c>
      <c r="H17" s="410"/>
      <c r="I17" s="410"/>
      <c r="J17" s="410"/>
      <c r="K17" s="410"/>
      <c r="N17" s="426"/>
    </row>
    <row r="18" spans="1:14" ht="15.95" customHeight="1" thickBot="1" x14ac:dyDescent="0.3">
      <c r="A18" s="829"/>
      <c r="B18" s="829"/>
      <c r="C18" s="836"/>
      <c r="D18" s="837"/>
      <c r="F18" s="843" t="s">
        <v>749</v>
      </c>
      <c r="G18" s="377" t="s">
        <v>750</v>
      </c>
      <c r="H18" s="410"/>
      <c r="I18" s="410"/>
      <c r="J18" s="410"/>
      <c r="K18" s="410"/>
      <c r="N18" s="426"/>
    </row>
    <row r="19" spans="1:14" ht="15.95" customHeight="1" thickBot="1" x14ac:dyDescent="0.3">
      <c r="A19" s="829"/>
      <c r="B19" s="829"/>
      <c r="C19" s="836"/>
      <c r="D19" s="837"/>
      <c r="F19" s="844"/>
      <c r="G19" s="377" t="s">
        <v>751</v>
      </c>
      <c r="H19" s="410"/>
      <c r="I19" s="410"/>
      <c r="J19" s="410"/>
      <c r="K19" s="410"/>
      <c r="N19" s="426"/>
    </row>
    <row r="20" spans="1:14" ht="15.95" customHeight="1" thickBot="1" x14ac:dyDescent="0.3">
      <c r="A20" s="829"/>
      <c r="B20" s="829"/>
      <c r="C20" s="836"/>
      <c r="D20" s="837"/>
      <c r="F20" s="845"/>
      <c r="G20" s="378" t="s">
        <v>752</v>
      </c>
      <c r="H20" s="410"/>
      <c r="I20" s="410"/>
      <c r="J20" s="410"/>
      <c r="K20" s="410"/>
      <c r="N20" s="426"/>
    </row>
    <row r="21" spans="1:14" ht="35.1" customHeight="1" thickBot="1" x14ac:dyDescent="0.3">
      <c r="A21" s="830"/>
      <c r="B21" s="830"/>
      <c r="C21" s="838"/>
      <c r="D21" s="839"/>
      <c r="E21" s="379"/>
      <c r="F21" s="846" t="s">
        <v>1087</v>
      </c>
      <c r="G21" s="847"/>
      <c r="H21" s="410"/>
      <c r="I21" s="410"/>
      <c r="J21" s="410"/>
      <c r="K21" s="410"/>
      <c r="N21" s="426"/>
    </row>
    <row r="22" spans="1:14" ht="72" customHeight="1" thickBot="1" x14ac:dyDescent="0.3">
      <c r="A22" s="828">
        <v>20</v>
      </c>
      <c r="B22" s="831" t="s">
        <v>1109</v>
      </c>
      <c r="C22" s="376" t="s">
        <v>267</v>
      </c>
      <c r="D22" s="401" t="s">
        <v>753</v>
      </c>
      <c r="E22" s="404" t="s">
        <v>691</v>
      </c>
      <c r="F22" s="832" t="s">
        <v>1108</v>
      </c>
      <c r="G22" s="833"/>
      <c r="H22" s="409"/>
      <c r="I22" s="409"/>
      <c r="J22" s="409"/>
      <c r="K22" s="409"/>
      <c r="N22" s="426"/>
    </row>
    <row r="23" spans="1:14" ht="15.75" thickBot="1" x14ac:dyDescent="0.3">
      <c r="A23" s="829"/>
      <c r="B23" s="829"/>
      <c r="C23" s="834"/>
      <c r="D23" s="835"/>
      <c r="F23" s="841" t="s">
        <v>742</v>
      </c>
      <c r="G23" s="411" t="s">
        <v>978</v>
      </c>
      <c r="H23" s="410"/>
      <c r="I23" s="410"/>
      <c r="J23" s="410"/>
      <c r="K23" s="410"/>
      <c r="N23" s="426"/>
    </row>
    <row r="24" spans="1:14" ht="15.75" thickBot="1" x14ac:dyDescent="0.3">
      <c r="A24" s="829"/>
      <c r="B24" s="829"/>
      <c r="C24" s="836"/>
      <c r="D24" s="837"/>
      <c r="F24" s="841"/>
      <c r="G24" s="377" t="s">
        <v>743</v>
      </c>
      <c r="H24" s="410"/>
      <c r="I24" s="410"/>
      <c r="J24" s="410"/>
      <c r="K24" s="410"/>
      <c r="N24" s="426"/>
    </row>
    <row r="25" spans="1:14" ht="15.75" thickBot="1" x14ac:dyDescent="0.3">
      <c r="A25" s="829"/>
      <c r="B25" s="829"/>
      <c r="C25" s="836"/>
      <c r="D25" s="837"/>
      <c r="F25" s="842"/>
      <c r="G25" s="377" t="s">
        <v>744</v>
      </c>
      <c r="H25" s="410"/>
      <c r="I25" s="410"/>
      <c r="J25" s="410"/>
      <c r="K25" s="410"/>
      <c r="N25" s="426"/>
    </row>
    <row r="26" spans="1:14" ht="15.75" thickBot="1" x14ac:dyDescent="0.3">
      <c r="A26" s="829"/>
      <c r="B26" s="829"/>
      <c r="C26" s="836"/>
      <c r="D26" s="837"/>
      <c r="F26" s="843" t="s">
        <v>745</v>
      </c>
      <c r="G26" s="377" t="s">
        <v>300</v>
      </c>
      <c r="H26" s="410"/>
      <c r="I26" s="410"/>
      <c r="J26" s="410"/>
      <c r="K26" s="410"/>
      <c r="N26" s="426"/>
    </row>
    <row r="27" spans="1:14" ht="15.75" thickBot="1" x14ac:dyDescent="0.3">
      <c r="A27" s="829"/>
      <c r="B27" s="829"/>
      <c r="C27" s="836"/>
      <c r="D27" s="837"/>
      <c r="F27" s="844"/>
      <c r="G27" s="377" t="s">
        <v>746</v>
      </c>
      <c r="H27" s="410"/>
      <c r="I27" s="410"/>
      <c r="J27" s="410"/>
      <c r="K27" s="410"/>
      <c r="N27" s="426"/>
    </row>
    <row r="28" spans="1:14" ht="15.75" thickBot="1" x14ac:dyDescent="0.3">
      <c r="A28" s="829"/>
      <c r="B28" s="829"/>
      <c r="C28" s="836"/>
      <c r="D28" s="837"/>
      <c r="F28" s="844"/>
      <c r="G28" s="377" t="s">
        <v>747</v>
      </c>
      <c r="H28" s="410"/>
      <c r="I28" s="410"/>
      <c r="J28" s="410"/>
      <c r="K28" s="410"/>
      <c r="N28" s="426"/>
    </row>
    <row r="29" spans="1:14" ht="15.75" thickBot="1" x14ac:dyDescent="0.3">
      <c r="A29" s="829"/>
      <c r="B29" s="829"/>
      <c r="C29" s="836"/>
      <c r="D29" s="837"/>
      <c r="F29" s="845"/>
      <c r="G29" s="377" t="s">
        <v>748</v>
      </c>
      <c r="H29" s="410"/>
      <c r="I29" s="410"/>
      <c r="J29" s="410"/>
      <c r="K29" s="410"/>
      <c r="N29" s="426"/>
    </row>
    <row r="30" spans="1:14" ht="15.75" thickBot="1" x14ac:dyDescent="0.3">
      <c r="A30" s="829"/>
      <c r="B30" s="829"/>
      <c r="C30" s="836"/>
      <c r="D30" s="837"/>
      <c r="F30" s="843" t="s">
        <v>749</v>
      </c>
      <c r="G30" s="377" t="s">
        <v>750</v>
      </c>
      <c r="H30" s="410"/>
      <c r="I30" s="410"/>
      <c r="J30" s="410"/>
      <c r="K30" s="410"/>
      <c r="N30" s="426"/>
    </row>
    <row r="31" spans="1:14" ht="15.75" thickBot="1" x14ac:dyDescent="0.3">
      <c r="A31" s="829"/>
      <c r="B31" s="829"/>
      <c r="C31" s="836"/>
      <c r="D31" s="837"/>
      <c r="F31" s="841"/>
      <c r="G31" s="377" t="s">
        <v>751</v>
      </c>
      <c r="H31" s="410"/>
      <c r="I31" s="410"/>
      <c r="J31" s="410"/>
      <c r="K31" s="410"/>
      <c r="N31" s="426"/>
    </row>
    <row r="32" spans="1:14" ht="15.75" thickBot="1" x14ac:dyDescent="0.3">
      <c r="A32" s="829"/>
      <c r="B32" s="829"/>
      <c r="C32" s="836"/>
      <c r="D32" s="837"/>
      <c r="F32" s="842"/>
      <c r="G32" s="378" t="s">
        <v>752</v>
      </c>
      <c r="H32" s="410"/>
      <c r="I32" s="410"/>
      <c r="J32" s="410"/>
      <c r="K32" s="410"/>
      <c r="N32" s="426"/>
    </row>
    <row r="33" spans="1:14" ht="35.1" customHeight="1" thickBot="1" x14ac:dyDescent="0.3">
      <c r="A33" s="400"/>
      <c r="B33" s="400"/>
      <c r="C33" s="406"/>
      <c r="D33" s="407"/>
      <c r="E33" s="379"/>
      <c r="F33" s="846" t="s">
        <v>1087</v>
      </c>
      <c r="G33" s="847"/>
      <c r="H33" s="410"/>
      <c r="I33" s="410"/>
      <c r="J33" s="410"/>
      <c r="K33" s="410"/>
      <c r="N33" s="426"/>
    </row>
    <row r="34" spans="1:14" ht="34.5" customHeight="1" thickBot="1" x14ac:dyDescent="0.3">
      <c r="A34" s="828">
        <v>21</v>
      </c>
      <c r="B34" s="848"/>
      <c r="C34" s="376" t="s">
        <v>754</v>
      </c>
      <c r="D34" s="401" t="s">
        <v>600</v>
      </c>
      <c r="E34" s="404" t="s">
        <v>692</v>
      </c>
      <c r="F34" s="832" t="s">
        <v>1108</v>
      </c>
      <c r="G34" s="833"/>
      <c r="H34" s="409"/>
      <c r="I34" s="409"/>
      <c r="J34" s="409"/>
      <c r="K34" s="409"/>
      <c r="N34" s="426"/>
    </row>
    <row r="35" spans="1:14" ht="15.75" thickBot="1" x14ac:dyDescent="0.3">
      <c r="A35" s="829"/>
      <c r="B35" s="849"/>
      <c r="C35" s="834"/>
      <c r="D35" s="835"/>
      <c r="F35" s="841" t="s">
        <v>742</v>
      </c>
      <c r="G35" s="411" t="s">
        <v>978</v>
      </c>
      <c r="H35" s="410"/>
      <c r="I35" s="410"/>
      <c r="J35" s="410"/>
      <c r="K35" s="410"/>
      <c r="N35" s="426"/>
    </row>
    <row r="36" spans="1:14" ht="15.75" thickBot="1" x14ac:dyDescent="0.3">
      <c r="A36" s="829"/>
      <c r="B36" s="849"/>
      <c r="C36" s="836"/>
      <c r="D36" s="837"/>
      <c r="F36" s="841"/>
      <c r="G36" s="377" t="s">
        <v>743</v>
      </c>
      <c r="H36" s="410"/>
      <c r="I36" s="410"/>
      <c r="J36" s="410"/>
      <c r="K36" s="410"/>
      <c r="N36" s="426"/>
    </row>
    <row r="37" spans="1:14" ht="15.75" thickBot="1" x14ac:dyDescent="0.3">
      <c r="A37" s="829"/>
      <c r="B37" s="849"/>
      <c r="C37" s="836"/>
      <c r="D37" s="837"/>
      <c r="F37" s="842"/>
      <c r="G37" s="377" t="s">
        <v>744</v>
      </c>
      <c r="H37" s="410"/>
      <c r="I37" s="410"/>
      <c r="J37" s="410"/>
      <c r="K37" s="410"/>
      <c r="N37" s="426"/>
    </row>
    <row r="38" spans="1:14" ht="15.75" thickBot="1" x14ac:dyDescent="0.3">
      <c r="A38" s="829"/>
      <c r="B38" s="849"/>
      <c r="C38" s="836"/>
      <c r="D38" s="837"/>
      <c r="F38" s="843" t="s">
        <v>745</v>
      </c>
      <c r="G38" s="377" t="s">
        <v>300</v>
      </c>
      <c r="H38" s="410"/>
      <c r="I38" s="410"/>
      <c r="J38" s="410"/>
      <c r="K38" s="410"/>
      <c r="N38" s="426"/>
    </row>
    <row r="39" spans="1:14" ht="15.75" thickBot="1" x14ac:dyDescent="0.3">
      <c r="A39" s="829"/>
      <c r="B39" s="849"/>
      <c r="C39" s="836"/>
      <c r="D39" s="837"/>
      <c r="F39" s="844"/>
      <c r="G39" s="377" t="s">
        <v>746</v>
      </c>
      <c r="H39" s="410"/>
      <c r="I39" s="410"/>
      <c r="J39" s="410"/>
      <c r="K39" s="410"/>
      <c r="N39" s="426"/>
    </row>
    <row r="40" spans="1:14" ht="15.75" thickBot="1" x14ac:dyDescent="0.3">
      <c r="A40" s="829"/>
      <c r="B40" s="849"/>
      <c r="C40" s="836"/>
      <c r="D40" s="837"/>
      <c r="F40" s="844"/>
      <c r="G40" s="377" t="s">
        <v>747</v>
      </c>
      <c r="H40" s="410"/>
      <c r="I40" s="410"/>
      <c r="J40" s="410"/>
      <c r="K40" s="410"/>
      <c r="N40" s="426"/>
    </row>
    <row r="41" spans="1:14" ht="15.75" thickBot="1" x14ac:dyDescent="0.3">
      <c r="A41" s="829"/>
      <c r="B41" s="849"/>
      <c r="C41" s="836"/>
      <c r="D41" s="837"/>
      <c r="F41" s="845"/>
      <c r="G41" s="377" t="s">
        <v>748</v>
      </c>
      <c r="H41" s="410"/>
      <c r="I41" s="410"/>
      <c r="J41" s="410"/>
      <c r="K41" s="410"/>
      <c r="N41" s="426"/>
    </row>
    <row r="42" spans="1:14" ht="15.75" thickBot="1" x14ac:dyDescent="0.3">
      <c r="A42" s="829"/>
      <c r="B42" s="849"/>
      <c r="C42" s="836"/>
      <c r="D42" s="837"/>
      <c r="F42" s="843" t="s">
        <v>749</v>
      </c>
      <c r="G42" s="377" t="s">
        <v>750</v>
      </c>
      <c r="H42" s="410"/>
      <c r="I42" s="410"/>
      <c r="J42" s="410"/>
      <c r="K42" s="410"/>
      <c r="N42" s="426"/>
    </row>
    <row r="43" spans="1:14" ht="15.75" thickBot="1" x14ac:dyDescent="0.3">
      <c r="A43" s="829"/>
      <c r="B43" s="849"/>
      <c r="C43" s="836"/>
      <c r="D43" s="837"/>
      <c r="F43" s="841"/>
      <c r="G43" s="377" t="s">
        <v>751</v>
      </c>
      <c r="H43" s="410"/>
      <c r="I43" s="410"/>
      <c r="J43" s="410"/>
      <c r="K43" s="410"/>
      <c r="N43" s="426"/>
    </row>
    <row r="44" spans="1:14" ht="15.75" thickBot="1" x14ac:dyDescent="0.3">
      <c r="A44" s="829"/>
      <c r="B44" s="849"/>
      <c r="C44" s="836"/>
      <c r="D44" s="837"/>
      <c r="F44" s="841"/>
      <c r="G44" s="377" t="s">
        <v>752</v>
      </c>
      <c r="H44" s="410"/>
      <c r="I44" s="410"/>
      <c r="J44" s="410"/>
      <c r="K44" s="410"/>
      <c r="N44" s="426"/>
    </row>
    <row r="45" spans="1:14" ht="35.1" customHeight="1" thickBot="1" x14ac:dyDescent="0.3">
      <c r="A45" s="400"/>
      <c r="B45" s="399"/>
      <c r="C45" s="406"/>
      <c r="D45" s="407"/>
      <c r="E45" s="379"/>
      <c r="F45" s="846" t="s">
        <v>1087</v>
      </c>
      <c r="G45" s="847"/>
      <c r="H45" s="410"/>
      <c r="I45" s="410"/>
      <c r="J45" s="410"/>
      <c r="K45" s="410"/>
      <c r="N45" s="426"/>
    </row>
    <row r="46" spans="1:14" ht="45.75" customHeight="1" thickBot="1" x14ac:dyDescent="0.3">
      <c r="A46" s="848" t="s">
        <v>755</v>
      </c>
      <c r="B46" s="848"/>
      <c r="C46" s="376" t="s">
        <v>756</v>
      </c>
      <c r="D46" s="401" t="s">
        <v>594</v>
      </c>
      <c r="E46" s="404" t="s">
        <v>757</v>
      </c>
      <c r="F46" s="832" t="s">
        <v>1108</v>
      </c>
      <c r="G46" s="833"/>
      <c r="H46" s="409"/>
      <c r="I46" s="409"/>
      <c r="J46" s="409"/>
      <c r="K46" s="409"/>
      <c r="N46" s="426"/>
    </row>
    <row r="47" spans="1:14" ht="15.75" thickBot="1" x14ac:dyDescent="0.3">
      <c r="A47" s="849"/>
      <c r="B47" s="849"/>
      <c r="C47" s="850" t="s">
        <v>758</v>
      </c>
      <c r="D47" s="851"/>
      <c r="E47" s="852"/>
      <c r="F47" s="841" t="s">
        <v>742</v>
      </c>
      <c r="G47" s="411" t="s">
        <v>978</v>
      </c>
      <c r="H47" s="410"/>
      <c r="I47" s="410"/>
      <c r="J47" s="410"/>
      <c r="K47" s="410"/>
      <c r="N47" s="426"/>
    </row>
    <row r="48" spans="1:14" ht="15.75" thickBot="1" x14ac:dyDescent="0.3">
      <c r="A48" s="849"/>
      <c r="B48" s="849"/>
      <c r="C48" s="853"/>
      <c r="D48" s="854"/>
      <c r="E48" s="855"/>
      <c r="F48" s="841"/>
      <c r="G48" s="377" t="s">
        <v>743</v>
      </c>
      <c r="H48" s="410"/>
      <c r="I48" s="410"/>
      <c r="J48" s="410"/>
      <c r="K48" s="410"/>
      <c r="N48" s="426"/>
    </row>
    <row r="49" spans="1:14" ht="15.75" thickBot="1" x14ac:dyDescent="0.3">
      <c r="A49" s="849"/>
      <c r="B49" s="849"/>
      <c r="C49" s="853"/>
      <c r="D49" s="854"/>
      <c r="E49" s="855"/>
      <c r="F49" s="842"/>
      <c r="G49" s="377" t="s">
        <v>744</v>
      </c>
      <c r="H49" s="410"/>
      <c r="I49" s="410"/>
      <c r="J49" s="410"/>
      <c r="K49" s="410"/>
      <c r="N49" s="426"/>
    </row>
    <row r="50" spans="1:14" ht="15.75" thickBot="1" x14ac:dyDescent="0.3">
      <c r="A50" s="849"/>
      <c r="B50" s="849"/>
      <c r="C50" s="853"/>
      <c r="D50" s="854"/>
      <c r="E50" s="855"/>
      <c r="F50" s="843" t="s">
        <v>745</v>
      </c>
      <c r="G50" s="377" t="s">
        <v>300</v>
      </c>
      <c r="H50" s="410"/>
      <c r="I50" s="410"/>
      <c r="J50" s="410"/>
      <c r="K50" s="410"/>
      <c r="N50" s="426"/>
    </row>
    <row r="51" spans="1:14" ht="15.75" thickBot="1" x14ac:dyDescent="0.3">
      <c r="A51" s="849"/>
      <c r="B51" s="849"/>
      <c r="C51" s="853"/>
      <c r="D51" s="854"/>
      <c r="E51" s="855"/>
      <c r="F51" s="844"/>
      <c r="G51" s="377" t="s">
        <v>746</v>
      </c>
      <c r="H51" s="410"/>
      <c r="I51" s="410"/>
      <c r="J51" s="410"/>
      <c r="K51" s="410"/>
      <c r="N51" s="426"/>
    </row>
    <row r="52" spans="1:14" ht="15.75" thickBot="1" x14ac:dyDescent="0.3">
      <c r="A52" s="849"/>
      <c r="B52" s="849"/>
      <c r="C52" s="853"/>
      <c r="D52" s="854"/>
      <c r="E52" s="855"/>
      <c r="F52" s="844"/>
      <c r="G52" s="377" t="s">
        <v>747</v>
      </c>
      <c r="H52" s="410"/>
      <c r="I52" s="410"/>
      <c r="J52" s="410"/>
      <c r="K52" s="410"/>
      <c r="N52" s="426"/>
    </row>
    <row r="53" spans="1:14" ht="15.75" thickBot="1" x14ac:dyDescent="0.3">
      <c r="A53" s="849"/>
      <c r="B53" s="849"/>
      <c r="C53" s="853"/>
      <c r="D53" s="854"/>
      <c r="E53" s="855"/>
      <c r="F53" s="845"/>
      <c r="G53" s="377" t="s">
        <v>748</v>
      </c>
      <c r="H53" s="410"/>
      <c r="I53" s="410"/>
      <c r="J53" s="410"/>
      <c r="K53" s="410"/>
      <c r="N53" s="426"/>
    </row>
    <row r="54" spans="1:14" ht="15.75" thickBot="1" x14ac:dyDescent="0.3">
      <c r="A54" s="849"/>
      <c r="B54" s="849"/>
      <c r="C54" s="853"/>
      <c r="D54" s="854"/>
      <c r="E54" s="855"/>
      <c r="F54" s="843" t="s">
        <v>749</v>
      </c>
      <c r="G54" s="377" t="s">
        <v>750</v>
      </c>
      <c r="H54" s="410"/>
      <c r="I54" s="410"/>
      <c r="J54" s="410"/>
      <c r="K54" s="410"/>
      <c r="N54" s="426"/>
    </row>
    <row r="55" spans="1:14" ht="15.75" thickBot="1" x14ac:dyDescent="0.3">
      <c r="A55" s="849"/>
      <c r="B55" s="849"/>
      <c r="C55" s="853"/>
      <c r="D55" s="854"/>
      <c r="E55" s="855"/>
      <c r="F55" s="841"/>
      <c r="G55" s="377" t="s">
        <v>751</v>
      </c>
      <c r="H55" s="410"/>
      <c r="I55" s="410"/>
      <c r="J55" s="410"/>
      <c r="K55" s="410"/>
      <c r="N55" s="426"/>
    </row>
    <row r="56" spans="1:14" ht="15.75" thickBot="1" x14ac:dyDescent="0.3">
      <c r="A56" s="849"/>
      <c r="B56" s="849"/>
      <c r="C56" s="853"/>
      <c r="D56" s="854"/>
      <c r="E56" s="855"/>
      <c r="F56" s="841"/>
      <c r="G56" s="377" t="s">
        <v>752</v>
      </c>
      <c r="H56" s="410"/>
      <c r="I56" s="410"/>
      <c r="J56" s="410"/>
      <c r="K56" s="410"/>
      <c r="N56" s="426"/>
    </row>
    <row r="57" spans="1:14" ht="35.1" customHeight="1" thickBot="1" x14ac:dyDescent="0.3">
      <c r="A57" s="398"/>
      <c r="B57" s="398"/>
      <c r="C57" s="405"/>
      <c r="D57" s="402"/>
      <c r="E57" s="403"/>
      <c r="F57" s="856" t="s">
        <v>1087</v>
      </c>
      <c r="G57" s="857"/>
      <c r="H57" s="410"/>
      <c r="I57" s="410"/>
      <c r="J57" s="410"/>
      <c r="K57" s="410"/>
      <c r="N57" s="426"/>
    </row>
    <row r="58" spans="1:14" ht="34.5" customHeight="1" thickBot="1" x14ac:dyDescent="0.3">
      <c r="A58" s="848" t="s">
        <v>759</v>
      </c>
      <c r="B58" s="848"/>
      <c r="C58" s="380" t="s">
        <v>760</v>
      </c>
      <c r="D58" s="381" t="s">
        <v>595</v>
      </c>
      <c r="E58" s="382" t="s">
        <v>757</v>
      </c>
      <c r="F58" s="859" t="s">
        <v>1108</v>
      </c>
      <c r="G58" s="860"/>
      <c r="H58" s="409"/>
      <c r="I58" s="409"/>
      <c r="J58" s="409"/>
      <c r="K58" s="409"/>
      <c r="N58" s="426"/>
    </row>
    <row r="59" spans="1:14" ht="15.75" thickBot="1" x14ac:dyDescent="0.3">
      <c r="A59" s="849"/>
      <c r="B59" s="849"/>
      <c r="C59" s="851" t="s">
        <v>758</v>
      </c>
      <c r="D59" s="851"/>
      <c r="E59" s="852"/>
      <c r="F59" s="841" t="s">
        <v>742</v>
      </c>
      <c r="G59" s="411" t="s">
        <v>978</v>
      </c>
      <c r="H59" s="410"/>
      <c r="I59" s="410"/>
      <c r="J59" s="410"/>
      <c r="K59" s="410"/>
      <c r="N59" s="426"/>
    </row>
    <row r="60" spans="1:14" ht="15.75" thickBot="1" x14ac:dyDescent="0.3">
      <c r="A60" s="849"/>
      <c r="B60" s="849"/>
      <c r="C60" s="854"/>
      <c r="D60" s="854"/>
      <c r="E60" s="855"/>
      <c r="F60" s="841"/>
      <c r="G60" s="377" t="s">
        <v>743</v>
      </c>
      <c r="H60" s="410"/>
      <c r="I60" s="410"/>
      <c r="J60" s="410"/>
      <c r="K60" s="410"/>
      <c r="N60" s="426"/>
    </row>
    <row r="61" spans="1:14" ht="15.75" thickBot="1" x14ac:dyDescent="0.3">
      <c r="A61" s="849"/>
      <c r="B61" s="849"/>
      <c r="C61" s="854"/>
      <c r="D61" s="854"/>
      <c r="E61" s="855"/>
      <c r="F61" s="842"/>
      <c r="G61" s="377" t="s">
        <v>744</v>
      </c>
      <c r="H61" s="410"/>
      <c r="I61" s="410"/>
      <c r="J61" s="410"/>
      <c r="K61" s="410"/>
      <c r="N61" s="426"/>
    </row>
    <row r="62" spans="1:14" ht="15.75" thickBot="1" x14ac:dyDescent="0.3">
      <c r="A62" s="849"/>
      <c r="B62" s="849"/>
      <c r="C62" s="854"/>
      <c r="D62" s="854"/>
      <c r="E62" s="855"/>
      <c r="F62" s="843" t="s">
        <v>745</v>
      </c>
      <c r="G62" s="377" t="s">
        <v>300</v>
      </c>
      <c r="H62" s="410"/>
      <c r="I62" s="410"/>
      <c r="J62" s="410"/>
      <c r="K62" s="410"/>
      <c r="N62" s="426"/>
    </row>
    <row r="63" spans="1:14" ht="15.75" thickBot="1" x14ac:dyDescent="0.3">
      <c r="A63" s="849"/>
      <c r="B63" s="849"/>
      <c r="C63" s="854"/>
      <c r="D63" s="854"/>
      <c r="E63" s="855"/>
      <c r="F63" s="844"/>
      <c r="G63" s="377" t="s">
        <v>746</v>
      </c>
      <c r="H63" s="410"/>
      <c r="I63" s="410"/>
      <c r="J63" s="410"/>
      <c r="K63" s="410"/>
      <c r="N63" s="426"/>
    </row>
    <row r="64" spans="1:14" ht="15.75" thickBot="1" x14ac:dyDescent="0.3">
      <c r="A64" s="849"/>
      <c r="B64" s="849"/>
      <c r="C64" s="854"/>
      <c r="D64" s="854"/>
      <c r="E64" s="855"/>
      <c r="F64" s="844"/>
      <c r="G64" s="377" t="s">
        <v>747</v>
      </c>
      <c r="H64" s="410"/>
      <c r="I64" s="410"/>
      <c r="J64" s="410"/>
      <c r="K64" s="410"/>
      <c r="N64" s="426"/>
    </row>
    <row r="65" spans="1:14" ht="15.75" thickBot="1" x14ac:dyDescent="0.3">
      <c r="A65" s="849"/>
      <c r="B65" s="849"/>
      <c r="C65" s="854"/>
      <c r="D65" s="854"/>
      <c r="E65" s="855"/>
      <c r="F65" s="845"/>
      <c r="G65" s="377" t="s">
        <v>748</v>
      </c>
      <c r="H65" s="410"/>
      <c r="I65" s="410"/>
      <c r="J65" s="410"/>
      <c r="K65" s="410"/>
      <c r="N65" s="426"/>
    </row>
    <row r="66" spans="1:14" ht="15.75" thickBot="1" x14ac:dyDescent="0.3">
      <c r="A66" s="849"/>
      <c r="B66" s="849"/>
      <c r="C66" s="854"/>
      <c r="D66" s="854"/>
      <c r="E66" s="855"/>
      <c r="F66" s="843" t="s">
        <v>749</v>
      </c>
      <c r="G66" s="377" t="s">
        <v>750</v>
      </c>
      <c r="H66" s="410"/>
      <c r="I66" s="410"/>
      <c r="J66" s="410"/>
      <c r="K66" s="410"/>
      <c r="N66" s="426"/>
    </row>
    <row r="67" spans="1:14" ht="15.75" thickBot="1" x14ac:dyDescent="0.3">
      <c r="A67" s="849"/>
      <c r="B67" s="849"/>
      <c r="C67" s="854"/>
      <c r="D67" s="854"/>
      <c r="E67" s="855"/>
      <c r="F67" s="841"/>
      <c r="G67" s="377" t="s">
        <v>751</v>
      </c>
      <c r="H67" s="410"/>
      <c r="I67" s="410"/>
      <c r="J67" s="410"/>
      <c r="K67" s="410"/>
      <c r="N67" s="426"/>
    </row>
    <row r="68" spans="1:14" ht="15.75" thickBot="1" x14ac:dyDescent="0.3">
      <c r="A68" s="849"/>
      <c r="B68" s="849"/>
      <c r="C68" s="854"/>
      <c r="D68" s="854"/>
      <c r="E68" s="855"/>
      <c r="F68" s="842"/>
      <c r="G68" s="378" t="s">
        <v>752</v>
      </c>
      <c r="H68" s="410"/>
      <c r="I68" s="410"/>
      <c r="J68" s="410"/>
      <c r="K68" s="410"/>
      <c r="N68" s="426"/>
    </row>
    <row r="69" spans="1:14" ht="35.1" customHeight="1" thickBot="1" x14ac:dyDescent="0.3">
      <c r="A69" s="858"/>
      <c r="B69" s="858"/>
      <c r="C69" s="861"/>
      <c r="D69" s="861"/>
      <c r="E69" s="862"/>
      <c r="F69" s="846" t="s">
        <v>1087</v>
      </c>
      <c r="G69" s="847"/>
      <c r="H69" s="410"/>
      <c r="I69" s="410"/>
      <c r="J69" s="410"/>
      <c r="K69" s="410"/>
      <c r="N69" s="426"/>
    </row>
  </sheetData>
  <sheetProtection password="CA09" sheet="1" objects="1" scenarios="1" selectLockedCells="1"/>
  <dataConsolidate/>
  <mergeCells count="53">
    <mergeCell ref="F57:G57"/>
    <mergeCell ref="A58:A69"/>
    <mergeCell ref="B58:B69"/>
    <mergeCell ref="F58:G58"/>
    <mergeCell ref="C59:E69"/>
    <mergeCell ref="F59:F61"/>
    <mergeCell ref="F62:F65"/>
    <mergeCell ref="F66:F68"/>
    <mergeCell ref="F69:G69"/>
    <mergeCell ref="F45:G45"/>
    <mergeCell ref="A46:A56"/>
    <mergeCell ref="B46:B56"/>
    <mergeCell ref="F46:G46"/>
    <mergeCell ref="C47:E56"/>
    <mergeCell ref="F47:F49"/>
    <mergeCell ref="F50:F53"/>
    <mergeCell ref="F54:F56"/>
    <mergeCell ref="F33:G33"/>
    <mergeCell ref="A34:A44"/>
    <mergeCell ref="B34:B44"/>
    <mergeCell ref="F34:G34"/>
    <mergeCell ref="C35:D44"/>
    <mergeCell ref="F35:F37"/>
    <mergeCell ref="F38:F41"/>
    <mergeCell ref="F42:F44"/>
    <mergeCell ref="A22:A32"/>
    <mergeCell ref="B22:B32"/>
    <mergeCell ref="F22:G22"/>
    <mergeCell ref="C23:D32"/>
    <mergeCell ref="F23:F25"/>
    <mergeCell ref="F26:F29"/>
    <mergeCell ref="F30:F32"/>
    <mergeCell ref="A10:A21"/>
    <mergeCell ref="B10:B21"/>
    <mergeCell ref="F10:G10"/>
    <mergeCell ref="C11:D21"/>
    <mergeCell ref="F11:F13"/>
    <mergeCell ref="F14:F17"/>
    <mergeCell ref="F18:F20"/>
    <mergeCell ref="F21:G21"/>
    <mergeCell ref="A5:K5"/>
    <mergeCell ref="A7:A9"/>
    <mergeCell ref="B7:B9"/>
    <mergeCell ref="C7:C9"/>
    <mergeCell ref="D7:D9"/>
    <mergeCell ref="E7:E9"/>
    <mergeCell ref="F7:G9"/>
    <mergeCell ref="H7:H8"/>
    <mergeCell ref="I7:I8"/>
    <mergeCell ref="J7:J8"/>
    <mergeCell ref="K7:K8"/>
    <mergeCell ref="H9:I9"/>
    <mergeCell ref="J9:K9"/>
  </mergeCells>
  <conditionalFormatting sqref="H11:K21">
    <cfRule type="expression" dxfId="128" priority="11">
      <formula>LEN(TRIM(H11))=0</formula>
    </cfRule>
  </conditionalFormatting>
  <conditionalFormatting sqref="H23:K33">
    <cfRule type="expression" dxfId="127" priority="10">
      <formula>LEN(TRIM(H23))=0</formula>
    </cfRule>
  </conditionalFormatting>
  <conditionalFormatting sqref="H35:K45">
    <cfRule type="expression" dxfId="126" priority="3">
      <formula>LEN(TRIM(H35))=0</formula>
    </cfRule>
  </conditionalFormatting>
  <conditionalFormatting sqref="H47:K57">
    <cfRule type="expression" dxfId="125" priority="2">
      <formula>LEN(TRIM(H47))=0</formula>
    </cfRule>
  </conditionalFormatting>
  <conditionalFormatting sqref="H59:K69">
    <cfRule type="expression" dxfId="124" priority="1">
      <formula>LEN(TRIM(H59))=0</formula>
    </cfRule>
  </conditionalFormatting>
  <dataValidations count="1">
    <dataValidation errorStyle="information" allowBlank="1" showInputMessage="1" showErrorMessage="1" errorTitle="Kennzahl" promptTitle="Kennzahl" sqref="A7 B7:B8" xr:uid="{00000000-0002-0000-0D00-000000000000}"/>
  </dataValidations>
  <pageMargins left="0.59055118110236227" right="3.937007874015748E-2" top="0.39370078740157483" bottom="0.39370078740157483" header="0.11811023622047245" footer="0.11811023622047245"/>
  <pageSetup paperSize="9" scale="77" fitToHeight="0" orientation="portrait" r:id="rId1"/>
  <headerFooter>
    <oddFooter>&amp;L&amp;"Arial,Standard"&amp;7
&amp;F&amp;C&amp;"Arial,Standard"&amp;7
 © DKG  Alle Rechte vorbehalten&amp;R&amp;"Arial,Standard"&amp;7
&amp;P</oddFooter>
  </headerFooter>
  <rowBreaks count="1" manualBreakCount="1">
    <brk id="33" max="16383" man="1"/>
  </rowBreaks>
  <drawing r:id="rId2"/>
  <legacyDrawingHF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D181"/>
  <sheetViews>
    <sheetView workbookViewId="0">
      <selection activeCell="H112" sqref="H112"/>
    </sheetView>
  </sheetViews>
  <sheetFormatPr defaultColWidth="9.140625" defaultRowHeight="15" x14ac:dyDescent="0.25"/>
  <cols>
    <col min="1" max="1" width="9" style="422" customWidth="1"/>
    <col min="2" max="2" width="82.42578125" style="416" customWidth="1"/>
    <col min="3" max="3" width="12.5703125" style="423" customWidth="1"/>
    <col min="4" max="4" width="12.85546875" style="423" customWidth="1"/>
    <col min="5" max="16384" width="9.140625" style="416"/>
  </cols>
  <sheetData>
    <row r="1" spans="1:4" x14ac:dyDescent="0.25">
      <c r="A1" s="414" t="s">
        <v>185</v>
      </c>
      <c r="B1" s="415" t="s">
        <v>158</v>
      </c>
      <c r="C1" s="415" t="s">
        <v>186</v>
      </c>
      <c r="D1" s="415" t="s">
        <v>152</v>
      </c>
    </row>
    <row r="2" spans="1:4" x14ac:dyDescent="0.25">
      <c r="A2" s="417" t="s">
        <v>882</v>
      </c>
      <c r="B2" s="418" t="s">
        <v>762</v>
      </c>
      <c r="C2" s="419" t="str">
        <f>IF('Kennzahlenbogen plus'!H10 = "", "",'Kennzahlenbogen plus'!H10)</f>
        <v/>
      </c>
      <c r="D2" s="419" t="str">
        <f>IF('Kennzahlenbogen plus'!I10 = "", "",'Kennzahlenbogen plus'!I10)</f>
        <v/>
      </c>
    </row>
    <row r="3" spans="1:4" x14ac:dyDescent="0.25">
      <c r="A3" s="417" t="s">
        <v>930</v>
      </c>
      <c r="B3" s="418" t="s">
        <v>763</v>
      </c>
      <c r="C3" s="419" t="str">
        <f>IF('Kennzahlenbogen plus'!J10 = "", "",'Kennzahlenbogen plus'!J10)</f>
        <v/>
      </c>
      <c r="D3" s="419" t="str">
        <f>IF('Kennzahlenbogen plus'!K10 = "", "",'Kennzahlenbogen plus'!K10)</f>
        <v/>
      </c>
    </row>
    <row r="4" spans="1:4" x14ac:dyDescent="0.25">
      <c r="A4" s="417" t="s">
        <v>980</v>
      </c>
      <c r="B4" s="418" t="s">
        <v>979</v>
      </c>
      <c r="C4" s="424" t="str">
        <f>IF(AND('Kennzahlenbogen plus'!H10 = "",'Kennzahlenbogen plus'!J10 = ""),"",SUM('Kennzahlenbogen plus'!H10,'Kennzahlenbogen plus'!J10))</f>
        <v/>
      </c>
      <c r="D4" s="424" t="str">
        <f>IF(AND('Kennzahlenbogen plus'!I10 = "",'Kennzahlenbogen plus'!K10 = ""),"",SUM('Kennzahlenbogen plus'!I10,'Kennzahlenbogen plus'!K10))</f>
        <v/>
      </c>
    </row>
    <row r="5" spans="1:4" x14ac:dyDescent="0.25">
      <c r="A5" s="417" t="s">
        <v>883</v>
      </c>
      <c r="B5" s="418" t="s">
        <v>764</v>
      </c>
      <c r="C5" s="420" t="str">
        <f>IF('Kennzahlenbogen plus'!H11 = "", "",'Kennzahlenbogen plus'!H11)</f>
        <v/>
      </c>
      <c r="D5" s="420" t="str">
        <f>IF('Kennzahlenbogen plus'!I11 = "", "",'Kennzahlenbogen plus'!I11)</f>
        <v/>
      </c>
    </row>
    <row r="6" spans="1:4" x14ac:dyDescent="0.25">
      <c r="A6" s="417" t="s">
        <v>931</v>
      </c>
      <c r="B6" s="418" t="s">
        <v>823</v>
      </c>
      <c r="C6" s="420" t="str">
        <f>IF('Kennzahlenbogen plus'!J11 = "", "",'Kennzahlenbogen plus'!J11)</f>
        <v/>
      </c>
      <c r="D6" s="420" t="str">
        <f>IF('Kennzahlenbogen plus'!K11 = "", "",'Kennzahlenbogen plus'!K11)</f>
        <v/>
      </c>
    </row>
    <row r="7" spans="1:4" x14ac:dyDescent="0.25">
      <c r="A7" s="417" t="s">
        <v>981</v>
      </c>
      <c r="B7" s="418" t="s">
        <v>1028</v>
      </c>
      <c r="C7" s="425" t="str">
        <f>IF(AND('Kennzahlenbogen plus'!H11 = "",'Kennzahlenbogen plus'!J11 = ""),"",SUM('Kennzahlenbogen plus'!H11,'Kennzahlenbogen plus'!J11))</f>
        <v/>
      </c>
      <c r="D7" s="425" t="str">
        <f>IF(AND('Kennzahlenbogen plus'!I11 = "",'Kennzahlenbogen plus'!K11 = ""),"",SUM('Kennzahlenbogen plus'!I11,'Kennzahlenbogen plus'!K11))</f>
        <v/>
      </c>
    </row>
    <row r="8" spans="1:4" x14ac:dyDescent="0.25">
      <c r="A8" s="417" t="s">
        <v>884</v>
      </c>
      <c r="B8" s="418" t="s">
        <v>765</v>
      </c>
      <c r="C8" s="420" t="str">
        <f>IF('Kennzahlenbogen plus'!H12 = "", "",'Kennzahlenbogen plus'!H12)</f>
        <v/>
      </c>
      <c r="D8" s="420" t="str">
        <f>IF('Kennzahlenbogen plus'!I12 = "", "",'Kennzahlenbogen plus'!I12)</f>
        <v/>
      </c>
    </row>
    <row r="9" spans="1:4" x14ac:dyDescent="0.25">
      <c r="A9" s="417" t="s">
        <v>932</v>
      </c>
      <c r="B9" s="418" t="s">
        <v>824</v>
      </c>
      <c r="C9" s="420" t="str">
        <f>IF('Kennzahlenbogen plus'!J12 = "", "",'Kennzahlenbogen plus'!J12)</f>
        <v/>
      </c>
      <c r="D9" s="420" t="str">
        <f>IF('Kennzahlenbogen plus'!K12 = "", "",'Kennzahlenbogen plus'!K12)</f>
        <v/>
      </c>
    </row>
    <row r="10" spans="1:4" x14ac:dyDescent="0.25">
      <c r="A10" s="417" t="s">
        <v>982</v>
      </c>
      <c r="B10" s="418" t="s">
        <v>1029</v>
      </c>
      <c r="C10" s="425" t="str">
        <f>IF(AND('Kennzahlenbogen plus'!H12 = "",'Kennzahlenbogen plus'!J12 = ""),"",SUM('Kennzahlenbogen plus'!H12,'Kennzahlenbogen plus'!J12))</f>
        <v/>
      </c>
      <c r="D10" s="425" t="str">
        <f>IF(AND('Kennzahlenbogen plus'!I12 = "",'Kennzahlenbogen plus'!K12 = ""),"",SUM('Kennzahlenbogen plus'!I12,'Kennzahlenbogen plus'!K12))</f>
        <v/>
      </c>
    </row>
    <row r="11" spans="1:4" x14ac:dyDescent="0.25">
      <c r="A11" s="417" t="s">
        <v>885</v>
      </c>
      <c r="B11" s="418" t="s">
        <v>766</v>
      </c>
      <c r="C11" s="420" t="str">
        <f>IF('Kennzahlenbogen plus'!H13 = "", "",'Kennzahlenbogen plus'!H13)</f>
        <v/>
      </c>
      <c r="D11" s="420" t="str">
        <f>IF('Kennzahlenbogen plus'!I13 = "", "",'Kennzahlenbogen plus'!I13)</f>
        <v/>
      </c>
    </row>
    <row r="12" spans="1:4" x14ac:dyDescent="0.25">
      <c r="A12" s="417" t="s">
        <v>933</v>
      </c>
      <c r="B12" s="418" t="s">
        <v>825</v>
      </c>
      <c r="C12" s="420" t="str">
        <f>IF('Kennzahlenbogen plus'!J13 = "", "",'Kennzahlenbogen plus'!J13)</f>
        <v/>
      </c>
      <c r="D12" s="420" t="str">
        <f>IF('Kennzahlenbogen plus'!K13 = "", "",'Kennzahlenbogen plus'!K13)</f>
        <v/>
      </c>
    </row>
    <row r="13" spans="1:4" x14ac:dyDescent="0.25">
      <c r="A13" s="417" t="s">
        <v>983</v>
      </c>
      <c r="B13" s="418" t="s">
        <v>1030</v>
      </c>
      <c r="C13" s="425" t="str">
        <f>IF(AND('Kennzahlenbogen plus'!H13 = "",'Kennzahlenbogen plus'!J13 = ""),"",SUM('Kennzahlenbogen plus'!H13,'Kennzahlenbogen plus'!J13))</f>
        <v/>
      </c>
      <c r="D13" s="425" t="str">
        <f>IF(AND('Kennzahlenbogen plus'!I13 = "",'Kennzahlenbogen plus'!K13 = ""),"",SUM('Kennzahlenbogen plus'!I13,'Kennzahlenbogen plus'!K13))</f>
        <v/>
      </c>
    </row>
    <row r="14" spans="1:4" x14ac:dyDescent="0.25">
      <c r="A14" s="417" t="s">
        <v>886</v>
      </c>
      <c r="B14" s="418" t="s">
        <v>767</v>
      </c>
      <c r="C14" s="420" t="str">
        <f>IF('Kennzahlenbogen plus'!H14 = "", "",'Kennzahlenbogen plus'!H14)</f>
        <v/>
      </c>
      <c r="D14" s="420" t="str">
        <f>IF('Kennzahlenbogen plus'!I14 = "", "",'Kennzahlenbogen plus'!I14)</f>
        <v/>
      </c>
    </row>
    <row r="15" spans="1:4" x14ac:dyDescent="0.25">
      <c r="A15" s="417" t="s">
        <v>934</v>
      </c>
      <c r="B15" s="418" t="s">
        <v>826</v>
      </c>
      <c r="C15" s="420" t="str">
        <f>IF('Kennzahlenbogen plus'!J14 = "", "",'Kennzahlenbogen plus'!J14)</f>
        <v/>
      </c>
      <c r="D15" s="420" t="str">
        <f>IF('Kennzahlenbogen plus'!K14 = "", "",'Kennzahlenbogen plus'!K14)</f>
        <v/>
      </c>
    </row>
    <row r="16" spans="1:4" x14ac:dyDescent="0.25">
      <c r="A16" s="417" t="s">
        <v>984</v>
      </c>
      <c r="B16" s="418" t="s">
        <v>1031</v>
      </c>
      <c r="C16" s="425" t="str">
        <f>IF(AND('Kennzahlenbogen plus'!H14 = "",'Kennzahlenbogen plus'!J14 = ""),"",SUM('Kennzahlenbogen plus'!H14,'Kennzahlenbogen plus'!J14))</f>
        <v/>
      </c>
      <c r="D16" s="425" t="str">
        <f>IF(AND('Kennzahlenbogen plus'!I14 = "",'Kennzahlenbogen plus'!K14 = ""),"",SUM('Kennzahlenbogen plus'!I14,'Kennzahlenbogen plus'!K14))</f>
        <v/>
      </c>
    </row>
    <row r="17" spans="1:4" x14ac:dyDescent="0.25">
      <c r="A17" s="417" t="s">
        <v>887</v>
      </c>
      <c r="B17" s="418" t="s">
        <v>768</v>
      </c>
      <c r="C17" s="420" t="str">
        <f>IF('Kennzahlenbogen plus'!H15 = "", "",'Kennzahlenbogen plus'!H15)</f>
        <v/>
      </c>
      <c r="D17" s="420" t="str">
        <f>IF('Kennzahlenbogen plus'!I15 = "", "",'Kennzahlenbogen plus'!I15)</f>
        <v/>
      </c>
    </row>
    <row r="18" spans="1:4" x14ac:dyDescent="0.25">
      <c r="A18" s="417" t="s">
        <v>935</v>
      </c>
      <c r="B18" s="418" t="s">
        <v>827</v>
      </c>
      <c r="C18" s="420" t="str">
        <f>IF('Kennzahlenbogen plus'!J15 = "", "",'Kennzahlenbogen plus'!J15)</f>
        <v/>
      </c>
      <c r="D18" s="420" t="str">
        <f>IF('Kennzahlenbogen plus'!K15 = "", "",'Kennzahlenbogen plus'!K15)</f>
        <v/>
      </c>
    </row>
    <row r="19" spans="1:4" x14ac:dyDescent="0.25">
      <c r="A19" s="417" t="s">
        <v>985</v>
      </c>
      <c r="B19" s="418" t="s">
        <v>1032</v>
      </c>
      <c r="C19" s="425" t="str">
        <f>IF(AND('Kennzahlenbogen plus'!H15 = "",'Kennzahlenbogen plus'!J15 = ""),"",SUM('Kennzahlenbogen plus'!H15,'Kennzahlenbogen plus'!J15))</f>
        <v/>
      </c>
      <c r="D19" s="425" t="str">
        <f>IF(AND('Kennzahlenbogen plus'!I15 = "",'Kennzahlenbogen plus'!K15 = ""),"",SUM('Kennzahlenbogen plus'!I15,'Kennzahlenbogen plus'!K15))</f>
        <v/>
      </c>
    </row>
    <row r="20" spans="1:4" x14ac:dyDescent="0.25">
      <c r="A20" s="417" t="s">
        <v>888</v>
      </c>
      <c r="B20" s="418" t="s">
        <v>769</v>
      </c>
      <c r="C20" s="420" t="str">
        <f>IF('Kennzahlenbogen plus'!H16 = "", "",'Kennzahlenbogen plus'!H16)</f>
        <v/>
      </c>
      <c r="D20" s="420" t="str">
        <f>IF('Kennzahlenbogen plus'!I16 = "", "",'Kennzahlenbogen plus'!I16)</f>
        <v/>
      </c>
    </row>
    <row r="21" spans="1:4" x14ac:dyDescent="0.25">
      <c r="A21" s="417" t="s">
        <v>936</v>
      </c>
      <c r="B21" s="418" t="s">
        <v>828</v>
      </c>
      <c r="C21" s="420" t="str">
        <f>IF('Kennzahlenbogen plus'!J16 = "", "",'Kennzahlenbogen plus'!J16)</f>
        <v/>
      </c>
      <c r="D21" s="420" t="str">
        <f>IF('Kennzahlenbogen plus'!K16 = "", "",'Kennzahlenbogen plus'!K16)</f>
        <v/>
      </c>
    </row>
    <row r="22" spans="1:4" x14ac:dyDescent="0.25">
      <c r="A22" s="417" t="s">
        <v>986</v>
      </c>
      <c r="B22" s="418" t="s">
        <v>1033</v>
      </c>
      <c r="C22" s="425" t="str">
        <f>IF(AND('Kennzahlenbogen plus'!H16 = "",'Kennzahlenbogen plus'!J16 = ""),"",SUM('Kennzahlenbogen plus'!H16,'Kennzahlenbogen plus'!J16))</f>
        <v/>
      </c>
      <c r="D22" s="425" t="str">
        <f>IF(AND('Kennzahlenbogen plus'!I16 = "",'Kennzahlenbogen plus'!K16 = ""),"",SUM('Kennzahlenbogen plus'!I16,'Kennzahlenbogen plus'!K16))</f>
        <v/>
      </c>
    </row>
    <row r="23" spans="1:4" x14ac:dyDescent="0.25">
      <c r="A23" s="417" t="s">
        <v>889</v>
      </c>
      <c r="B23" s="418" t="s">
        <v>770</v>
      </c>
      <c r="C23" s="420" t="str">
        <f>IF('Kennzahlenbogen plus'!H17 = "", "",'Kennzahlenbogen plus'!H17)</f>
        <v/>
      </c>
      <c r="D23" s="420" t="str">
        <f>IF('Kennzahlenbogen plus'!I17 = "", "",'Kennzahlenbogen plus'!I17)</f>
        <v/>
      </c>
    </row>
    <row r="24" spans="1:4" x14ac:dyDescent="0.25">
      <c r="A24" s="417" t="s">
        <v>937</v>
      </c>
      <c r="B24" s="418" t="s">
        <v>829</v>
      </c>
      <c r="C24" s="420" t="str">
        <f>IF('Kennzahlenbogen plus'!J17 = "", "",'Kennzahlenbogen plus'!J17)</f>
        <v/>
      </c>
      <c r="D24" s="420" t="str">
        <f>IF('Kennzahlenbogen plus'!K17 = "", "",'Kennzahlenbogen plus'!K17)</f>
        <v/>
      </c>
    </row>
    <row r="25" spans="1:4" x14ac:dyDescent="0.25">
      <c r="A25" s="417" t="s">
        <v>987</v>
      </c>
      <c r="B25" s="418" t="s">
        <v>1034</v>
      </c>
      <c r="C25" s="425" t="str">
        <f>IF(AND('Kennzahlenbogen plus'!H17 = "",'Kennzahlenbogen plus'!J17 = ""),"",SUM('Kennzahlenbogen plus'!H17,'Kennzahlenbogen plus'!J17))</f>
        <v/>
      </c>
      <c r="D25" s="425" t="str">
        <f>IF(AND('Kennzahlenbogen plus'!I17 = "",'Kennzahlenbogen plus'!K17 = ""),"",SUM('Kennzahlenbogen plus'!I17,'Kennzahlenbogen plus'!K17))</f>
        <v/>
      </c>
    </row>
    <row r="26" spans="1:4" x14ac:dyDescent="0.25">
      <c r="A26" s="417" t="s">
        <v>890</v>
      </c>
      <c r="B26" s="418" t="s">
        <v>771</v>
      </c>
      <c r="C26" s="420" t="str">
        <f>IF('Kennzahlenbogen plus'!H18= "", "",'Kennzahlenbogen plus'!H18)</f>
        <v/>
      </c>
      <c r="D26" s="420" t="str">
        <f>IF('Kennzahlenbogen plus'!I18= "", "",'Kennzahlenbogen plus'!I18)</f>
        <v/>
      </c>
    </row>
    <row r="27" spans="1:4" x14ac:dyDescent="0.25">
      <c r="A27" s="417" t="s">
        <v>938</v>
      </c>
      <c r="B27" s="418" t="s">
        <v>830</v>
      </c>
      <c r="C27" s="420" t="str">
        <f>IF('Kennzahlenbogen plus'!J18 = "", "",'Kennzahlenbogen plus'!J18)</f>
        <v/>
      </c>
      <c r="D27" s="420" t="str">
        <f>IF('Kennzahlenbogen plus'!K18 = "", "",'Kennzahlenbogen plus'!K18)</f>
        <v/>
      </c>
    </row>
    <row r="28" spans="1:4" x14ac:dyDescent="0.25">
      <c r="A28" s="417" t="s">
        <v>988</v>
      </c>
      <c r="B28" s="418" t="s">
        <v>1035</v>
      </c>
      <c r="C28" s="425" t="str">
        <f>IF(AND('Kennzahlenbogen plus'!H18 = "",'Kennzahlenbogen plus'!J18 = ""),"",SUM('Kennzahlenbogen plus'!H18,'Kennzahlenbogen plus'!J18))</f>
        <v/>
      </c>
      <c r="D28" s="425" t="str">
        <f>IF(AND('Kennzahlenbogen plus'!I18 = "",'Kennzahlenbogen plus'!K18 = ""),"",SUM('Kennzahlenbogen plus'!I18,'Kennzahlenbogen plus'!K18))</f>
        <v/>
      </c>
    </row>
    <row r="29" spans="1:4" x14ac:dyDescent="0.25">
      <c r="A29" s="417" t="s">
        <v>891</v>
      </c>
      <c r="B29" s="418" t="s">
        <v>772</v>
      </c>
      <c r="C29" s="420" t="str">
        <f>IF('Kennzahlenbogen plus'!H19 = "", "",'Kennzahlenbogen plus'!H19)</f>
        <v/>
      </c>
      <c r="D29" s="420" t="str">
        <f>IF('Kennzahlenbogen plus'!I19 = "", "",'Kennzahlenbogen plus'!I19)</f>
        <v/>
      </c>
    </row>
    <row r="30" spans="1:4" x14ac:dyDescent="0.25">
      <c r="A30" s="417" t="s">
        <v>939</v>
      </c>
      <c r="B30" s="418" t="s">
        <v>831</v>
      </c>
      <c r="C30" s="420" t="str">
        <f>IF('Kennzahlenbogen plus'!J19 = "", "",'Kennzahlenbogen plus'!J19)</f>
        <v/>
      </c>
      <c r="D30" s="420" t="str">
        <f>IF('Kennzahlenbogen plus'!K19 = "", "",'Kennzahlenbogen plus'!K19)</f>
        <v/>
      </c>
    </row>
    <row r="31" spans="1:4" x14ac:dyDescent="0.25">
      <c r="A31" s="417" t="s">
        <v>989</v>
      </c>
      <c r="B31" s="418" t="s">
        <v>1036</v>
      </c>
      <c r="C31" s="425" t="str">
        <f>IF(AND('Kennzahlenbogen plus'!H19 = "",'Kennzahlenbogen plus'!J19 = ""),"",SUM('Kennzahlenbogen plus'!H19,'Kennzahlenbogen plus'!J19))</f>
        <v/>
      </c>
      <c r="D31" s="425" t="str">
        <f>IF(AND('Kennzahlenbogen plus'!I19 = "",'Kennzahlenbogen plus'!K19 = ""),"",SUM('Kennzahlenbogen plus'!I19,'Kennzahlenbogen plus'!K19))</f>
        <v/>
      </c>
    </row>
    <row r="32" spans="1:4" x14ac:dyDescent="0.25">
      <c r="A32" s="417" t="s">
        <v>892</v>
      </c>
      <c r="B32" s="418" t="s">
        <v>773</v>
      </c>
      <c r="C32" s="420" t="str">
        <f>IF('Kennzahlenbogen plus'!H20 = "", "",'Kennzahlenbogen plus'!H20)</f>
        <v/>
      </c>
      <c r="D32" s="420" t="str">
        <f>IF('Kennzahlenbogen plus'!I20 = "", "",'Kennzahlenbogen plus'!I20)</f>
        <v/>
      </c>
    </row>
    <row r="33" spans="1:4" x14ac:dyDescent="0.25">
      <c r="A33" s="417" t="s">
        <v>940</v>
      </c>
      <c r="B33" s="418" t="s">
        <v>832</v>
      </c>
      <c r="C33" s="420" t="str">
        <f>IF('Kennzahlenbogen plus'!J20 = "", "",'Kennzahlenbogen plus'!J20)</f>
        <v/>
      </c>
      <c r="D33" s="420" t="str">
        <f>IF('Kennzahlenbogen plus'!K20 = "", "",'Kennzahlenbogen plus'!K20)</f>
        <v/>
      </c>
    </row>
    <row r="34" spans="1:4" x14ac:dyDescent="0.25">
      <c r="A34" s="417" t="s">
        <v>990</v>
      </c>
      <c r="B34" s="418" t="s">
        <v>1037</v>
      </c>
      <c r="C34" s="425" t="str">
        <f>IF(AND('Kennzahlenbogen plus'!H20 = "",'Kennzahlenbogen plus'!J20 = ""),"",SUM('Kennzahlenbogen plus'!H20,'Kennzahlenbogen plus'!J20))</f>
        <v/>
      </c>
      <c r="D34" s="425" t="str">
        <f>IF(AND('Kennzahlenbogen plus'!I20 = "",'Kennzahlenbogen plus'!K20 = ""),"",SUM('Kennzahlenbogen plus'!I20,'Kennzahlenbogen plus'!K20))</f>
        <v/>
      </c>
    </row>
    <row r="35" spans="1:4" x14ac:dyDescent="0.25">
      <c r="A35" s="417" t="s">
        <v>893</v>
      </c>
      <c r="B35" s="418" t="s">
        <v>774</v>
      </c>
      <c r="C35" s="420" t="str">
        <f>IF('Kennzahlenbogen plus'!H21 = "", "",'Kennzahlenbogen plus'!H21)</f>
        <v/>
      </c>
      <c r="D35" s="420" t="str">
        <f>IF('Kennzahlenbogen plus'!I21 = "", "",'Kennzahlenbogen plus'!I21)</f>
        <v/>
      </c>
    </row>
    <row r="36" spans="1:4" x14ac:dyDescent="0.25">
      <c r="A36" s="417" t="s">
        <v>941</v>
      </c>
      <c r="B36" s="418" t="s">
        <v>833</v>
      </c>
      <c r="C36" s="420" t="str">
        <f>IF('Kennzahlenbogen plus'!J21 = "", "",'Kennzahlenbogen plus'!J21)</f>
        <v/>
      </c>
      <c r="D36" s="420" t="str">
        <f>IF('Kennzahlenbogen plus'!K21 = "", "",'Kennzahlenbogen plus'!K21)</f>
        <v/>
      </c>
    </row>
    <row r="37" spans="1:4" x14ac:dyDescent="0.25">
      <c r="A37" s="417" t="s">
        <v>991</v>
      </c>
      <c r="B37" s="418" t="s">
        <v>1038</v>
      </c>
      <c r="C37" s="425" t="str">
        <f>IF(AND('Kennzahlenbogen plus'!H21 = "",'Kennzahlenbogen plus'!J21 = ""),"",SUM('Kennzahlenbogen plus'!H21,'Kennzahlenbogen plus'!J21))</f>
        <v/>
      </c>
      <c r="D37" s="425" t="str">
        <f>IF(AND('Kennzahlenbogen plus'!I21 = "",'Kennzahlenbogen plus'!K21 = ""),"",SUM('Kennzahlenbogen plus'!I21,'Kennzahlenbogen plus'!K21))</f>
        <v/>
      </c>
    </row>
    <row r="38" spans="1:4" x14ac:dyDescent="0.25">
      <c r="A38" s="417" t="s">
        <v>894</v>
      </c>
      <c r="B38" s="418" t="s">
        <v>775</v>
      </c>
      <c r="C38" s="420" t="str">
        <f>IF('Kennzahlenbogen plus'!H22 = "", "",'Kennzahlenbogen plus'!H22)</f>
        <v/>
      </c>
      <c r="D38" s="420" t="str">
        <f>IF('Kennzahlenbogen plus'!I22 = "", "",'Kennzahlenbogen plus'!I22)</f>
        <v/>
      </c>
    </row>
    <row r="39" spans="1:4" x14ac:dyDescent="0.25">
      <c r="A39" s="417" t="s">
        <v>942</v>
      </c>
      <c r="B39" s="418" t="s">
        <v>834</v>
      </c>
      <c r="C39" s="420" t="str">
        <f>IF('Kennzahlenbogen plus'!J22 = "", "",'Kennzahlenbogen plus'!J22)</f>
        <v/>
      </c>
      <c r="D39" s="420" t="str">
        <f>IF('Kennzahlenbogen plus'!K22 = "", "",'Kennzahlenbogen plus'!K22)</f>
        <v/>
      </c>
    </row>
    <row r="40" spans="1:4" x14ac:dyDescent="0.25">
      <c r="A40" s="417" t="s">
        <v>992</v>
      </c>
      <c r="B40" s="418" t="s">
        <v>1039</v>
      </c>
      <c r="C40" s="425" t="str">
        <f>IF(AND('Kennzahlenbogen plus'!H22 = "",'Kennzahlenbogen plus'!J22 = ""),"",SUM('Kennzahlenbogen plus'!H22,'Kennzahlenbogen plus'!J22))</f>
        <v/>
      </c>
      <c r="D40" s="425" t="str">
        <f>IF(AND('Kennzahlenbogen plus'!I22 = "",'Kennzahlenbogen plus'!K22 = ""),"",SUM('Kennzahlenbogen plus'!I22,'Kennzahlenbogen plus'!K22))</f>
        <v/>
      </c>
    </row>
    <row r="41" spans="1:4" x14ac:dyDescent="0.25">
      <c r="A41" s="417" t="s">
        <v>895</v>
      </c>
      <c r="B41" s="418" t="s">
        <v>776</v>
      </c>
      <c r="C41" s="420" t="str">
        <f>IF('Kennzahlenbogen plus'!H23 = "", "",'Kennzahlenbogen plus'!H23)</f>
        <v/>
      </c>
      <c r="D41" s="420" t="str">
        <f>IF('Kennzahlenbogen plus'!I23 = "", "",'Kennzahlenbogen plus'!I23)</f>
        <v/>
      </c>
    </row>
    <row r="42" spans="1:4" x14ac:dyDescent="0.25">
      <c r="A42" s="417" t="s">
        <v>943</v>
      </c>
      <c r="B42" s="418" t="s">
        <v>835</v>
      </c>
      <c r="C42" s="420" t="str">
        <f>IF('Kennzahlenbogen plus'!J23 = "", "",'Kennzahlenbogen plus'!J23)</f>
        <v/>
      </c>
      <c r="D42" s="420" t="str">
        <f>IF('Kennzahlenbogen plus'!K23 = "", "",'Kennzahlenbogen plus'!K23)</f>
        <v/>
      </c>
    </row>
    <row r="43" spans="1:4" x14ac:dyDescent="0.25">
      <c r="A43" s="417" t="s">
        <v>993</v>
      </c>
      <c r="B43" s="418" t="s">
        <v>1040</v>
      </c>
      <c r="C43" s="425" t="str">
        <f>IF(AND('Kennzahlenbogen plus'!H23 = "",'Kennzahlenbogen plus'!J23 = ""),"",SUM('Kennzahlenbogen plus'!H23,'Kennzahlenbogen plus'!J23))</f>
        <v/>
      </c>
      <c r="D43" s="425" t="str">
        <f>IF(AND('Kennzahlenbogen plus'!I23 = "",'Kennzahlenbogen plus'!K23 = ""),"",SUM('Kennzahlenbogen plus'!I23,'Kennzahlenbogen plus'!K23))</f>
        <v/>
      </c>
    </row>
    <row r="44" spans="1:4" x14ac:dyDescent="0.25">
      <c r="A44" s="417" t="s">
        <v>896</v>
      </c>
      <c r="B44" s="418" t="s">
        <v>777</v>
      </c>
      <c r="C44" s="420" t="str">
        <f>IF('Kennzahlenbogen plus'!H24 = "", "",'Kennzahlenbogen plus'!H24)</f>
        <v/>
      </c>
      <c r="D44" s="420" t="str">
        <f>IF('Kennzahlenbogen plus'!I24 = "", "",'Kennzahlenbogen plus'!I24)</f>
        <v/>
      </c>
    </row>
    <row r="45" spans="1:4" x14ac:dyDescent="0.25">
      <c r="A45" s="417" t="s">
        <v>944</v>
      </c>
      <c r="B45" s="418" t="s">
        <v>836</v>
      </c>
      <c r="C45" s="420" t="str">
        <f>IF('Kennzahlenbogen plus'!J24= "", "",'Kennzahlenbogen plus'!J24)</f>
        <v/>
      </c>
      <c r="D45" s="420" t="str">
        <f>IF('Kennzahlenbogen plus'!K24= "", "",'Kennzahlenbogen plus'!K24)</f>
        <v/>
      </c>
    </row>
    <row r="46" spans="1:4" x14ac:dyDescent="0.25">
      <c r="A46" s="417" t="s">
        <v>994</v>
      </c>
      <c r="B46" s="418" t="s">
        <v>1041</v>
      </c>
      <c r="C46" s="425" t="str">
        <f>IF(AND('Kennzahlenbogen plus'!H24 = "",'Kennzahlenbogen plus'!J24 = ""),"",SUM('Kennzahlenbogen plus'!H24,'Kennzahlenbogen plus'!J24))</f>
        <v/>
      </c>
      <c r="D46" s="425" t="str">
        <f>IF(AND('Kennzahlenbogen plus'!I24 = "",'Kennzahlenbogen plus'!K24 = ""),"",SUM('Kennzahlenbogen plus'!I24,'Kennzahlenbogen plus'!K24))</f>
        <v/>
      </c>
    </row>
    <row r="47" spans="1:4" x14ac:dyDescent="0.25">
      <c r="A47" s="417" t="s">
        <v>897</v>
      </c>
      <c r="B47" s="418" t="s">
        <v>778</v>
      </c>
      <c r="C47" s="420" t="str">
        <f>IF('Kennzahlenbogen plus'!H25 = "", "",'Kennzahlenbogen plus'!H25)</f>
        <v/>
      </c>
      <c r="D47" s="420" t="str">
        <f>IF('Kennzahlenbogen plus'!I25 = "", "",'Kennzahlenbogen plus'!I25)</f>
        <v/>
      </c>
    </row>
    <row r="48" spans="1:4" x14ac:dyDescent="0.25">
      <c r="A48" s="417" t="s">
        <v>945</v>
      </c>
      <c r="B48" s="418" t="s">
        <v>837</v>
      </c>
      <c r="C48" s="420" t="str">
        <f>IF('Kennzahlenbogen plus'!J25 = "", "",'Kennzahlenbogen plus'!J25)</f>
        <v/>
      </c>
      <c r="D48" s="420" t="str">
        <f>IF('Kennzahlenbogen plus'!K25 = "", "",'Kennzahlenbogen plus'!K25)</f>
        <v/>
      </c>
    </row>
    <row r="49" spans="1:4" x14ac:dyDescent="0.25">
      <c r="A49" s="417" t="s">
        <v>995</v>
      </c>
      <c r="B49" s="418" t="s">
        <v>1042</v>
      </c>
      <c r="C49" s="425" t="str">
        <f>IF(AND('Kennzahlenbogen plus'!H25 = "",'Kennzahlenbogen plus'!J25 = ""),"",SUM('Kennzahlenbogen plus'!H25,'Kennzahlenbogen plus'!J25))</f>
        <v/>
      </c>
      <c r="D49" s="425" t="str">
        <f>IF(AND('Kennzahlenbogen plus'!I25 = "",'Kennzahlenbogen plus'!K25 = ""),"",SUM('Kennzahlenbogen plus'!I25,'Kennzahlenbogen plus'!K25))</f>
        <v/>
      </c>
    </row>
    <row r="50" spans="1:4" x14ac:dyDescent="0.25">
      <c r="A50" s="417" t="s">
        <v>898</v>
      </c>
      <c r="B50" s="418" t="s">
        <v>779</v>
      </c>
      <c r="C50" s="420" t="str">
        <f>IF('Kennzahlenbogen plus'!H26= "", "",'Kennzahlenbogen plus'!H26)</f>
        <v/>
      </c>
      <c r="D50" s="420" t="str">
        <f>IF('Kennzahlenbogen plus'!I26= "", "",'Kennzahlenbogen plus'!I26)</f>
        <v/>
      </c>
    </row>
    <row r="51" spans="1:4" x14ac:dyDescent="0.25">
      <c r="A51" s="417" t="s">
        <v>946</v>
      </c>
      <c r="B51" s="418" t="s">
        <v>838</v>
      </c>
      <c r="C51" s="420" t="str">
        <f>IF('Kennzahlenbogen plus'!J26= "", "",'Kennzahlenbogen plus'!J26)</f>
        <v/>
      </c>
      <c r="D51" s="420" t="str">
        <f>IF('Kennzahlenbogen plus'!K26= "", "",'Kennzahlenbogen plus'!K26)</f>
        <v/>
      </c>
    </row>
    <row r="52" spans="1:4" x14ac:dyDescent="0.25">
      <c r="A52" s="417" t="s">
        <v>996</v>
      </c>
      <c r="B52" s="418" t="s">
        <v>1043</v>
      </c>
      <c r="C52" s="425" t="str">
        <f>IF(AND('Kennzahlenbogen plus'!H26 = "",'Kennzahlenbogen plus'!J26 = ""),"",SUM('Kennzahlenbogen plus'!H26,'Kennzahlenbogen plus'!J26))</f>
        <v/>
      </c>
      <c r="D52" s="425" t="str">
        <f>IF(AND('Kennzahlenbogen plus'!I26 = "",'Kennzahlenbogen plus'!K26 = ""),"",SUM('Kennzahlenbogen plus'!I26,'Kennzahlenbogen plus'!K26))</f>
        <v/>
      </c>
    </row>
    <row r="53" spans="1:4" x14ac:dyDescent="0.25">
      <c r="A53" s="417" t="s">
        <v>899</v>
      </c>
      <c r="B53" s="418" t="s">
        <v>780</v>
      </c>
      <c r="C53" s="420" t="str">
        <f>IF('Kennzahlenbogen plus'!H27= "", "",'Kennzahlenbogen plus'!H27)</f>
        <v/>
      </c>
      <c r="D53" s="420" t="str">
        <f>IF('Kennzahlenbogen plus'!I27= "", "",'Kennzahlenbogen plus'!I27)</f>
        <v/>
      </c>
    </row>
    <row r="54" spans="1:4" x14ac:dyDescent="0.25">
      <c r="A54" s="417" t="s">
        <v>947</v>
      </c>
      <c r="B54" s="418" t="s">
        <v>839</v>
      </c>
      <c r="C54" s="420" t="str">
        <f>IF('Kennzahlenbogen plus'!J27= "", "",'Kennzahlenbogen plus'!J27)</f>
        <v/>
      </c>
      <c r="D54" s="420" t="str">
        <f>IF('Kennzahlenbogen plus'!K27= "", "",'Kennzahlenbogen plus'!K27)</f>
        <v/>
      </c>
    </row>
    <row r="55" spans="1:4" x14ac:dyDescent="0.25">
      <c r="A55" s="417" t="s">
        <v>997</v>
      </c>
      <c r="B55" s="418" t="s">
        <v>1044</v>
      </c>
      <c r="C55" s="425" t="str">
        <f>IF(AND('Kennzahlenbogen plus'!H27 = "",'Kennzahlenbogen plus'!J27 = ""),"",SUM('Kennzahlenbogen plus'!H27,'Kennzahlenbogen plus'!J27))</f>
        <v/>
      </c>
      <c r="D55" s="425" t="str">
        <f>IF(AND('Kennzahlenbogen plus'!I27 = "",'Kennzahlenbogen plus'!K27 = ""),"",SUM('Kennzahlenbogen plus'!I27,'Kennzahlenbogen plus'!K27))</f>
        <v/>
      </c>
    </row>
    <row r="56" spans="1:4" x14ac:dyDescent="0.25">
      <c r="A56" s="417" t="s">
        <v>900</v>
      </c>
      <c r="B56" s="418" t="s">
        <v>781</v>
      </c>
      <c r="C56" s="420" t="str">
        <f>IF('Kennzahlenbogen plus'!H28= "", "",'Kennzahlenbogen plus'!H28)</f>
        <v/>
      </c>
      <c r="D56" s="420" t="str">
        <f>IF('Kennzahlenbogen plus'!I28= "", "",'Kennzahlenbogen plus'!I28)</f>
        <v/>
      </c>
    </row>
    <row r="57" spans="1:4" x14ac:dyDescent="0.25">
      <c r="A57" s="417" t="s">
        <v>948</v>
      </c>
      <c r="B57" s="418" t="s">
        <v>840</v>
      </c>
      <c r="C57" s="420" t="str">
        <f>IF('Kennzahlenbogen plus'!J28= "", "",'Kennzahlenbogen plus'!J28)</f>
        <v/>
      </c>
      <c r="D57" s="420" t="str">
        <f>IF('Kennzahlenbogen plus'!K28= "", "",'Kennzahlenbogen plus'!K28)</f>
        <v/>
      </c>
    </row>
    <row r="58" spans="1:4" x14ac:dyDescent="0.25">
      <c r="A58" s="417" t="s">
        <v>998</v>
      </c>
      <c r="B58" s="418" t="s">
        <v>1045</v>
      </c>
      <c r="C58" s="425" t="str">
        <f>IF(AND('Kennzahlenbogen plus'!H28 = "",'Kennzahlenbogen plus'!J28 = ""),"",SUM('Kennzahlenbogen plus'!H28,'Kennzahlenbogen plus'!J28))</f>
        <v/>
      </c>
      <c r="D58" s="425" t="str">
        <f>IF(AND('Kennzahlenbogen plus'!I28 = "",'Kennzahlenbogen plus'!K28 = ""),"",SUM('Kennzahlenbogen plus'!I28,'Kennzahlenbogen plus'!K28))</f>
        <v/>
      </c>
    </row>
    <row r="59" spans="1:4" x14ac:dyDescent="0.25">
      <c r="A59" s="417" t="s">
        <v>901</v>
      </c>
      <c r="B59" s="418" t="s">
        <v>782</v>
      </c>
      <c r="C59" s="420" t="str">
        <f>IF('Kennzahlenbogen plus'!H29= "", "",'Kennzahlenbogen plus'!H29)</f>
        <v/>
      </c>
      <c r="D59" s="420" t="str">
        <f>IF('Kennzahlenbogen plus'!I29= "", "",'Kennzahlenbogen plus'!I29)</f>
        <v/>
      </c>
    </row>
    <row r="60" spans="1:4" x14ac:dyDescent="0.25">
      <c r="A60" s="417" t="s">
        <v>949</v>
      </c>
      <c r="B60" s="418" t="s">
        <v>841</v>
      </c>
      <c r="C60" s="420" t="str">
        <f>IF('Kennzahlenbogen plus'!J29= "", "",'Kennzahlenbogen plus'!J29)</f>
        <v/>
      </c>
      <c r="D60" s="420" t="str">
        <f>IF('Kennzahlenbogen plus'!K29= "", "",'Kennzahlenbogen plus'!K29)</f>
        <v/>
      </c>
    </row>
    <row r="61" spans="1:4" x14ac:dyDescent="0.25">
      <c r="A61" s="417" t="s">
        <v>999</v>
      </c>
      <c r="B61" s="418" t="s">
        <v>1046</v>
      </c>
      <c r="C61" s="425" t="str">
        <f>IF(AND('Kennzahlenbogen plus'!H29 = "",'Kennzahlenbogen plus'!J29 = ""),"",SUM('Kennzahlenbogen plus'!H29,'Kennzahlenbogen plus'!J29))</f>
        <v/>
      </c>
      <c r="D61" s="425" t="str">
        <f>IF(AND('Kennzahlenbogen plus'!I29 = "",'Kennzahlenbogen plus'!K29 = ""),"",SUM('Kennzahlenbogen plus'!I29,'Kennzahlenbogen plus'!K29))</f>
        <v/>
      </c>
    </row>
    <row r="62" spans="1:4" x14ac:dyDescent="0.25">
      <c r="A62" s="417" t="s">
        <v>902</v>
      </c>
      <c r="B62" s="418" t="s">
        <v>783</v>
      </c>
      <c r="C62" s="420" t="str">
        <f>IF('Kennzahlenbogen plus'!H30= "", "",'Kennzahlenbogen plus'!H30)</f>
        <v/>
      </c>
      <c r="D62" s="420" t="str">
        <f>IF('Kennzahlenbogen plus'!I30= "", "",'Kennzahlenbogen plus'!I30)</f>
        <v/>
      </c>
    </row>
    <row r="63" spans="1:4" x14ac:dyDescent="0.25">
      <c r="A63" s="417" t="s">
        <v>950</v>
      </c>
      <c r="B63" s="418" t="s">
        <v>842</v>
      </c>
      <c r="C63" s="420" t="str">
        <f>IF('Kennzahlenbogen plus'!J30= "", "",'Kennzahlenbogen plus'!J30)</f>
        <v/>
      </c>
      <c r="D63" s="420" t="str">
        <f>IF('Kennzahlenbogen plus'!K30= "", "",'Kennzahlenbogen plus'!K30)</f>
        <v/>
      </c>
    </row>
    <row r="64" spans="1:4" x14ac:dyDescent="0.25">
      <c r="A64" s="417" t="s">
        <v>1000</v>
      </c>
      <c r="B64" s="418" t="s">
        <v>1047</v>
      </c>
      <c r="C64" s="425" t="str">
        <f>IF(AND('Kennzahlenbogen plus'!H30 = "",'Kennzahlenbogen plus'!J30 = ""),"",SUM('Kennzahlenbogen plus'!H30,'Kennzahlenbogen plus'!J30))</f>
        <v/>
      </c>
      <c r="D64" s="425" t="str">
        <f>IF(AND('Kennzahlenbogen plus'!I30 = "",'Kennzahlenbogen plus'!K30 = ""),"",SUM('Kennzahlenbogen plus'!I30,'Kennzahlenbogen plus'!K30))</f>
        <v/>
      </c>
    </row>
    <row r="65" spans="1:4" x14ac:dyDescent="0.25">
      <c r="A65" s="417" t="s">
        <v>903</v>
      </c>
      <c r="B65" s="418" t="s">
        <v>784</v>
      </c>
      <c r="C65" s="420" t="str">
        <f>IF('Kennzahlenbogen plus'!H31= "", "",'Kennzahlenbogen plus'!H31)</f>
        <v/>
      </c>
      <c r="D65" s="420" t="str">
        <f>IF('Kennzahlenbogen plus'!I31= "", "",'Kennzahlenbogen plus'!I31)</f>
        <v/>
      </c>
    </row>
    <row r="66" spans="1:4" x14ac:dyDescent="0.25">
      <c r="A66" s="417" t="s">
        <v>951</v>
      </c>
      <c r="B66" s="418" t="s">
        <v>843</v>
      </c>
      <c r="C66" s="420" t="str">
        <f>IF('Kennzahlenbogen plus'!J31= "", "",'Kennzahlenbogen plus'!J31)</f>
        <v/>
      </c>
      <c r="D66" s="420" t="str">
        <f>IF('Kennzahlenbogen plus'!K31= "", "",'Kennzahlenbogen plus'!K31)</f>
        <v/>
      </c>
    </row>
    <row r="67" spans="1:4" x14ac:dyDescent="0.25">
      <c r="A67" s="417" t="s">
        <v>1001</v>
      </c>
      <c r="B67" s="418" t="s">
        <v>1048</v>
      </c>
      <c r="C67" s="425" t="str">
        <f>IF(AND('Kennzahlenbogen plus'!H31 = "",'Kennzahlenbogen plus'!J31 = ""),"",SUM('Kennzahlenbogen plus'!H31,'Kennzahlenbogen plus'!J31))</f>
        <v/>
      </c>
      <c r="D67" s="425" t="str">
        <f>IF(AND('Kennzahlenbogen plus'!I31 = "",'Kennzahlenbogen plus'!K31 = ""),"",SUM('Kennzahlenbogen plus'!I31,'Kennzahlenbogen plus'!K31))</f>
        <v/>
      </c>
    </row>
    <row r="68" spans="1:4" x14ac:dyDescent="0.25">
      <c r="A68" s="417" t="s">
        <v>904</v>
      </c>
      <c r="B68" s="418" t="s">
        <v>785</v>
      </c>
      <c r="C68" s="420" t="str">
        <f>IF('Kennzahlenbogen plus'!H32= "", "",'Kennzahlenbogen plus'!H32)</f>
        <v/>
      </c>
      <c r="D68" s="420" t="str">
        <f>IF('Kennzahlenbogen plus'!I32= "", "",'Kennzahlenbogen plus'!I32)</f>
        <v/>
      </c>
    </row>
    <row r="69" spans="1:4" x14ac:dyDescent="0.25">
      <c r="A69" s="417" t="s">
        <v>952</v>
      </c>
      <c r="B69" s="418" t="s">
        <v>844</v>
      </c>
      <c r="C69" s="420" t="str">
        <f>IF('Kennzahlenbogen plus'!J32= "", "",'Kennzahlenbogen plus'!J32)</f>
        <v/>
      </c>
      <c r="D69" s="420" t="str">
        <f>IF('Kennzahlenbogen plus'!K32= "", "",'Kennzahlenbogen plus'!K32)</f>
        <v/>
      </c>
    </row>
    <row r="70" spans="1:4" x14ac:dyDescent="0.25">
      <c r="A70" s="417" t="s">
        <v>1002</v>
      </c>
      <c r="B70" s="418" t="s">
        <v>1049</v>
      </c>
      <c r="C70" s="425" t="str">
        <f>IF(AND('Kennzahlenbogen plus'!H32 = "",'Kennzahlenbogen plus'!J32 = ""),"",SUM('Kennzahlenbogen plus'!H32,'Kennzahlenbogen plus'!J32))</f>
        <v/>
      </c>
      <c r="D70" s="425" t="str">
        <f>IF(AND('Kennzahlenbogen plus'!I32 = "",'Kennzahlenbogen plus'!K32 = ""),"",SUM('Kennzahlenbogen plus'!I32,'Kennzahlenbogen plus'!K32))</f>
        <v/>
      </c>
    </row>
    <row r="71" spans="1:4" x14ac:dyDescent="0.25">
      <c r="A71" s="417" t="s">
        <v>905</v>
      </c>
      <c r="B71" s="418" t="s">
        <v>786</v>
      </c>
      <c r="C71" s="420" t="str">
        <f>IF('Kennzahlenbogen plus'!H33= "", "",'Kennzahlenbogen plus'!H33)</f>
        <v/>
      </c>
      <c r="D71" s="420" t="str">
        <f>IF('Kennzahlenbogen plus'!I33= "", "",'Kennzahlenbogen plus'!I33)</f>
        <v/>
      </c>
    </row>
    <row r="72" spans="1:4" x14ac:dyDescent="0.25">
      <c r="A72" s="417" t="s">
        <v>953</v>
      </c>
      <c r="B72" s="418" t="s">
        <v>845</v>
      </c>
      <c r="C72" s="420" t="str">
        <f>IF('Kennzahlenbogen plus'!J33= "", "",'Kennzahlenbogen plus'!J33)</f>
        <v/>
      </c>
      <c r="D72" s="420" t="str">
        <f>IF('Kennzahlenbogen plus'!K33= "", "",'Kennzahlenbogen plus'!K33)</f>
        <v/>
      </c>
    </row>
    <row r="73" spans="1:4" x14ac:dyDescent="0.25">
      <c r="A73" s="417" t="s">
        <v>1003</v>
      </c>
      <c r="B73" s="418" t="s">
        <v>1050</v>
      </c>
      <c r="C73" s="425" t="str">
        <f>IF(AND('Kennzahlenbogen plus'!H33 = "",'Kennzahlenbogen plus'!J33 = ""),"",SUM('Kennzahlenbogen plus'!H33,'Kennzahlenbogen plus'!J33))</f>
        <v/>
      </c>
      <c r="D73" s="425" t="str">
        <f>IF(AND('Kennzahlenbogen plus'!I33 = "",'Kennzahlenbogen plus'!K33 = ""),"",SUM('Kennzahlenbogen plus'!I33,'Kennzahlenbogen plus'!K33))</f>
        <v/>
      </c>
    </row>
    <row r="74" spans="1:4" x14ac:dyDescent="0.25">
      <c r="A74" s="417" t="s">
        <v>1110</v>
      </c>
      <c r="B74" s="421" t="s">
        <v>787</v>
      </c>
      <c r="C74" s="420" t="str">
        <f>IF('Kennzahlenbogen plus'!H34= "", "",'Kennzahlenbogen plus'!H34)</f>
        <v/>
      </c>
      <c r="D74" s="420" t="str">
        <f>IF('Kennzahlenbogen plus'!I34= "", "",'Kennzahlenbogen plus'!I34)</f>
        <v/>
      </c>
    </row>
    <row r="75" spans="1:4" x14ac:dyDescent="0.25">
      <c r="A75" s="417" t="s">
        <v>1111</v>
      </c>
      <c r="B75" s="421" t="s">
        <v>846</v>
      </c>
      <c r="C75" s="420" t="str">
        <f>IF('Kennzahlenbogen plus'!J34= "", "",'Kennzahlenbogen plus'!J34)</f>
        <v/>
      </c>
      <c r="D75" s="420" t="str">
        <f>IF('Kennzahlenbogen plus'!K34= "", "",'Kennzahlenbogen plus'!K34)</f>
        <v/>
      </c>
    </row>
    <row r="76" spans="1:4" x14ac:dyDescent="0.25">
      <c r="A76" s="417" t="s">
        <v>1112</v>
      </c>
      <c r="B76" s="421" t="s">
        <v>1051</v>
      </c>
      <c r="C76" s="425" t="str">
        <f>IF(AND('Kennzahlenbogen plus'!H34 = "",'Kennzahlenbogen plus'!J34 = ""),"",SUM('Kennzahlenbogen plus'!H34,'Kennzahlenbogen plus'!J34))</f>
        <v/>
      </c>
      <c r="D76" s="425" t="str">
        <f>IF(AND('Kennzahlenbogen plus'!I34 = "",'Kennzahlenbogen plus'!K34 = ""),"",SUM('Kennzahlenbogen plus'!I34,'Kennzahlenbogen plus'!K34))</f>
        <v/>
      </c>
    </row>
    <row r="77" spans="1:4" x14ac:dyDescent="0.25">
      <c r="A77" s="417" t="s">
        <v>1113</v>
      </c>
      <c r="B77" s="418" t="s">
        <v>788</v>
      </c>
      <c r="C77" s="420" t="str">
        <f>IF('Kennzahlenbogen plus'!H35= "", "",'Kennzahlenbogen plus'!H35)</f>
        <v/>
      </c>
      <c r="D77" s="420" t="str">
        <f>IF('Kennzahlenbogen plus'!I35= "", "",'Kennzahlenbogen plus'!I35)</f>
        <v/>
      </c>
    </row>
    <row r="78" spans="1:4" x14ac:dyDescent="0.25">
      <c r="A78" s="417" t="s">
        <v>1114</v>
      </c>
      <c r="B78" s="418" t="s">
        <v>847</v>
      </c>
      <c r="C78" s="420" t="str">
        <f>IF('Kennzahlenbogen plus'!J35= "", "",'Kennzahlenbogen plus'!J35)</f>
        <v/>
      </c>
      <c r="D78" s="420" t="str">
        <f>IF('Kennzahlenbogen plus'!K35= "", "",'Kennzahlenbogen plus'!K35)</f>
        <v/>
      </c>
    </row>
    <row r="79" spans="1:4" x14ac:dyDescent="0.25">
      <c r="A79" s="417" t="s">
        <v>1115</v>
      </c>
      <c r="B79" s="418" t="s">
        <v>1052</v>
      </c>
      <c r="C79" s="425" t="str">
        <f>IF(AND('Kennzahlenbogen plus'!H35 = "",'Kennzahlenbogen plus'!J35 = ""),"",SUM('Kennzahlenbogen plus'!H35,'Kennzahlenbogen plus'!J35))</f>
        <v/>
      </c>
      <c r="D79" s="425" t="str">
        <f>IF(AND('Kennzahlenbogen plus'!I35 = "",'Kennzahlenbogen plus'!K35 = ""),"",SUM('Kennzahlenbogen plus'!I35,'Kennzahlenbogen plus'!K35))</f>
        <v/>
      </c>
    </row>
    <row r="80" spans="1:4" x14ac:dyDescent="0.25">
      <c r="A80" s="417" t="s">
        <v>1116</v>
      </c>
      <c r="B80" s="418" t="s">
        <v>789</v>
      </c>
      <c r="C80" s="420" t="str">
        <f>IF('Kennzahlenbogen plus'!H36= "", "",'Kennzahlenbogen plus'!H36)</f>
        <v/>
      </c>
      <c r="D80" s="420" t="str">
        <f>IF('Kennzahlenbogen plus'!I36= "", "",'Kennzahlenbogen plus'!I36)</f>
        <v/>
      </c>
    </row>
    <row r="81" spans="1:4" x14ac:dyDescent="0.25">
      <c r="A81" s="417" t="s">
        <v>1117</v>
      </c>
      <c r="B81" s="418" t="s">
        <v>848</v>
      </c>
      <c r="C81" s="420" t="str">
        <f>IF('Kennzahlenbogen plus'!J36= "", "",'Kennzahlenbogen plus'!J36)</f>
        <v/>
      </c>
      <c r="D81" s="420" t="str">
        <f>IF('Kennzahlenbogen plus'!K36= "", "",'Kennzahlenbogen plus'!K36)</f>
        <v/>
      </c>
    </row>
    <row r="82" spans="1:4" x14ac:dyDescent="0.25">
      <c r="A82" s="417" t="s">
        <v>1118</v>
      </c>
      <c r="B82" s="418" t="s">
        <v>1053</v>
      </c>
      <c r="C82" s="425" t="str">
        <f>IF(AND('Kennzahlenbogen plus'!H36 = "",'Kennzahlenbogen plus'!J36 = ""),"",SUM('Kennzahlenbogen plus'!H36,'Kennzahlenbogen plus'!J36))</f>
        <v/>
      </c>
      <c r="D82" s="425" t="str">
        <f>IF(AND('Kennzahlenbogen plus'!I36 = "",'Kennzahlenbogen plus'!K36 = ""),"",SUM('Kennzahlenbogen plus'!I36,'Kennzahlenbogen plus'!K36))</f>
        <v/>
      </c>
    </row>
    <row r="83" spans="1:4" x14ac:dyDescent="0.25">
      <c r="A83" s="417" t="s">
        <v>1119</v>
      </c>
      <c r="B83" s="418" t="s">
        <v>790</v>
      </c>
      <c r="C83" s="420" t="str">
        <f>IF('Kennzahlenbogen plus'!H37= "", "",'Kennzahlenbogen plus'!H37)</f>
        <v/>
      </c>
      <c r="D83" s="420" t="str">
        <f>IF('Kennzahlenbogen plus'!I37= "", "",'Kennzahlenbogen plus'!I37)</f>
        <v/>
      </c>
    </row>
    <row r="84" spans="1:4" x14ac:dyDescent="0.25">
      <c r="A84" s="417" t="s">
        <v>1120</v>
      </c>
      <c r="B84" s="418" t="s">
        <v>849</v>
      </c>
      <c r="C84" s="420" t="str">
        <f>IF('Kennzahlenbogen plus'!J37= "", "",'Kennzahlenbogen plus'!J37)</f>
        <v/>
      </c>
      <c r="D84" s="420" t="str">
        <f>IF('Kennzahlenbogen plus'!K37= "", "",'Kennzahlenbogen plus'!K37)</f>
        <v/>
      </c>
    </row>
    <row r="85" spans="1:4" x14ac:dyDescent="0.25">
      <c r="A85" s="417" t="s">
        <v>1121</v>
      </c>
      <c r="B85" s="418" t="s">
        <v>1054</v>
      </c>
      <c r="C85" s="425" t="str">
        <f>IF(AND('Kennzahlenbogen plus'!H37 = "",'Kennzahlenbogen plus'!J37 = ""),"",SUM('Kennzahlenbogen plus'!H37,'Kennzahlenbogen plus'!J37))</f>
        <v/>
      </c>
      <c r="D85" s="425" t="str">
        <f>IF(AND('Kennzahlenbogen plus'!I37 = "",'Kennzahlenbogen plus'!K37 = ""),"",SUM('Kennzahlenbogen plus'!I37,'Kennzahlenbogen plus'!K37))</f>
        <v/>
      </c>
    </row>
    <row r="86" spans="1:4" x14ac:dyDescent="0.25">
      <c r="A86" s="417" t="s">
        <v>1122</v>
      </c>
      <c r="B86" s="418" t="s">
        <v>791</v>
      </c>
      <c r="C86" s="420" t="str">
        <f>IF('Kennzahlenbogen plus'!H38= "", "",'Kennzahlenbogen plus'!H38)</f>
        <v/>
      </c>
      <c r="D86" s="420" t="str">
        <f>IF('Kennzahlenbogen plus'!I38= "", "",'Kennzahlenbogen plus'!I38)</f>
        <v/>
      </c>
    </row>
    <row r="87" spans="1:4" x14ac:dyDescent="0.25">
      <c r="A87" s="417" t="s">
        <v>1123</v>
      </c>
      <c r="B87" s="418" t="s">
        <v>850</v>
      </c>
      <c r="C87" s="420" t="str">
        <f>IF('Kennzahlenbogen plus'!J38= "", "",'Kennzahlenbogen plus'!J38)</f>
        <v/>
      </c>
      <c r="D87" s="420" t="str">
        <f>IF('Kennzahlenbogen plus'!K38= "", "",'Kennzahlenbogen plus'!K38)</f>
        <v/>
      </c>
    </row>
    <row r="88" spans="1:4" x14ac:dyDescent="0.25">
      <c r="A88" s="417" t="s">
        <v>1124</v>
      </c>
      <c r="B88" s="418" t="s">
        <v>1055</v>
      </c>
      <c r="C88" s="425" t="str">
        <f>IF(AND('Kennzahlenbogen plus'!H38 = "",'Kennzahlenbogen plus'!J38 = ""),"",SUM('Kennzahlenbogen plus'!H38,'Kennzahlenbogen plus'!J38))</f>
        <v/>
      </c>
      <c r="D88" s="425" t="str">
        <f>IF(AND('Kennzahlenbogen plus'!I38 = "",'Kennzahlenbogen plus'!K38 = ""),"",SUM('Kennzahlenbogen plus'!I38,'Kennzahlenbogen plus'!K38))</f>
        <v/>
      </c>
    </row>
    <row r="89" spans="1:4" x14ac:dyDescent="0.25">
      <c r="A89" s="417" t="s">
        <v>1125</v>
      </c>
      <c r="B89" s="418" t="s">
        <v>792</v>
      </c>
      <c r="C89" s="420" t="str">
        <f>IF('Kennzahlenbogen plus'!H39= "", "",'Kennzahlenbogen plus'!H39)</f>
        <v/>
      </c>
      <c r="D89" s="420" t="str">
        <f>IF('Kennzahlenbogen plus'!I39= "", "",'Kennzahlenbogen plus'!I39)</f>
        <v/>
      </c>
    </row>
    <row r="90" spans="1:4" x14ac:dyDescent="0.25">
      <c r="A90" s="417" t="s">
        <v>1126</v>
      </c>
      <c r="B90" s="418" t="s">
        <v>851</v>
      </c>
      <c r="C90" s="420" t="str">
        <f>IF('Kennzahlenbogen plus'!J39= "", "",'Kennzahlenbogen plus'!J39)</f>
        <v/>
      </c>
      <c r="D90" s="420" t="str">
        <f>IF('Kennzahlenbogen plus'!K39= "", "",'Kennzahlenbogen plus'!K39)</f>
        <v/>
      </c>
    </row>
    <row r="91" spans="1:4" x14ac:dyDescent="0.25">
      <c r="A91" s="417" t="s">
        <v>1127</v>
      </c>
      <c r="B91" s="418" t="s">
        <v>1056</v>
      </c>
      <c r="C91" s="425" t="str">
        <f>IF(AND('Kennzahlenbogen plus'!H39 = "",'Kennzahlenbogen plus'!J39 = ""),"",SUM('Kennzahlenbogen plus'!H39,'Kennzahlenbogen plus'!J39))</f>
        <v/>
      </c>
      <c r="D91" s="425" t="str">
        <f>IF(AND('Kennzahlenbogen plus'!I39 = "",'Kennzahlenbogen plus'!K39 = ""),"",SUM('Kennzahlenbogen plus'!I39,'Kennzahlenbogen plus'!K39))</f>
        <v/>
      </c>
    </row>
    <row r="92" spans="1:4" x14ac:dyDescent="0.25">
      <c r="A92" s="417" t="s">
        <v>1128</v>
      </c>
      <c r="B92" s="418" t="s">
        <v>793</v>
      </c>
      <c r="C92" s="420" t="str">
        <f>IF('Kennzahlenbogen plus'!H40= "", "",'Kennzahlenbogen plus'!H40)</f>
        <v/>
      </c>
      <c r="D92" s="420" t="str">
        <f>IF('Kennzahlenbogen plus'!I40= "", "",'Kennzahlenbogen plus'!I40)</f>
        <v/>
      </c>
    </row>
    <row r="93" spans="1:4" x14ac:dyDescent="0.25">
      <c r="A93" s="417" t="s">
        <v>1129</v>
      </c>
      <c r="B93" s="418" t="s">
        <v>852</v>
      </c>
      <c r="C93" s="420" t="str">
        <f>IF('Kennzahlenbogen plus'!J40= "", "",'Kennzahlenbogen plus'!J40)</f>
        <v/>
      </c>
      <c r="D93" s="420" t="str">
        <f>IF('Kennzahlenbogen plus'!K40= "", "",'Kennzahlenbogen plus'!K40)</f>
        <v/>
      </c>
    </row>
    <row r="94" spans="1:4" x14ac:dyDescent="0.25">
      <c r="A94" s="417" t="s">
        <v>1130</v>
      </c>
      <c r="B94" s="418" t="s">
        <v>1057</v>
      </c>
      <c r="C94" s="425" t="str">
        <f>IF(AND('Kennzahlenbogen plus'!H40 = "",'Kennzahlenbogen plus'!J40 = ""),"",SUM('Kennzahlenbogen plus'!H40,'Kennzahlenbogen plus'!J40))</f>
        <v/>
      </c>
      <c r="D94" s="425" t="str">
        <f>IF(AND('Kennzahlenbogen plus'!I40 = "",'Kennzahlenbogen plus'!K40 = ""),"",SUM('Kennzahlenbogen plus'!I40,'Kennzahlenbogen plus'!K40))</f>
        <v/>
      </c>
    </row>
    <row r="95" spans="1:4" x14ac:dyDescent="0.25">
      <c r="A95" s="417" t="s">
        <v>1131</v>
      </c>
      <c r="B95" s="418" t="s">
        <v>794</v>
      </c>
      <c r="C95" s="420" t="str">
        <f>IF('Kennzahlenbogen plus'!H41= "", "",'Kennzahlenbogen plus'!H41)</f>
        <v/>
      </c>
      <c r="D95" s="420" t="str">
        <f>IF('Kennzahlenbogen plus'!I41= "", "",'Kennzahlenbogen plus'!I41)</f>
        <v/>
      </c>
    </row>
    <row r="96" spans="1:4" x14ac:dyDescent="0.25">
      <c r="A96" s="417" t="s">
        <v>1132</v>
      </c>
      <c r="B96" s="418" t="s">
        <v>853</v>
      </c>
      <c r="C96" s="420" t="str">
        <f>IF('Kennzahlenbogen plus'!J41= "", "",'Kennzahlenbogen plus'!J41)</f>
        <v/>
      </c>
      <c r="D96" s="420" t="str">
        <f>IF('Kennzahlenbogen plus'!K41= "", "",'Kennzahlenbogen plus'!K41)</f>
        <v/>
      </c>
    </row>
    <row r="97" spans="1:4" x14ac:dyDescent="0.25">
      <c r="A97" s="417" t="s">
        <v>1133</v>
      </c>
      <c r="B97" s="418" t="s">
        <v>1058</v>
      </c>
      <c r="C97" s="425" t="str">
        <f>IF(AND('Kennzahlenbogen plus'!H41 = "",'Kennzahlenbogen plus'!J41 = ""),"",SUM('Kennzahlenbogen plus'!H41,'Kennzahlenbogen plus'!J41))</f>
        <v/>
      </c>
      <c r="D97" s="425" t="str">
        <f>IF(AND('Kennzahlenbogen plus'!I41 = "",'Kennzahlenbogen plus'!K41 = ""),"",SUM('Kennzahlenbogen plus'!I41,'Kennzahlenbogen plus'!K41))</f>
        <v/>
      </c>
    </row>
    <row r="98" spans="1:4" x14ac:dyDescent="0.25">
      <c r="A98" s="417" t="s">
        <v>1134</v>
      </c>
      <c r="B98" s="418" t="s">
        <v>795</v>
      </c>
      <c r="C98" s="420" t="str">
        <f>IF('Kennzahlenbogen plus'!H42= "", "",'Kennzahlenbogen plus'!H42)</f>
        <v/>
      </c>
      <c r="D98" s="420" t="str">
        <f>IF('Kennzahlenbogen plus'!I42= "", "",'Kennzahlenbogen plus'!I42)</f>
        <v/>
      </c>
    </row>
    <row r="99" spans="1:4" x14ac:dyDescent="0.25">
      <c r="A99" s="417" t="s">
        <v>1135</v>
      </c>
      <c r="B99" s="418" t="s">
        <v>854</v>
      </c>
      <c r="C99" s="420" t="str">
        <f>IF('Kennzahlenbogen plus'!J42= "", "",'Kennzahlenbogen plus'!J42)</f>
        <v/>
      </c>
      <c r="D99" s="420" t="str">
        <f>IF('Kennzahlenbogen plus'!K42= "", "",'Kennzahlenbogen plus'!K42)</f>
        <v/>
      </c>
    </row>
    <row r="100" spans="1:4" x14ac:dyDescent="0.25">
      <c r="A100" s="417" t="s">
        <v>1136</v>
      </c>
      <c r="B100" s="418" t="s">
        <v>1059</v>
      </c>
      <c r="C100" s="425" t="str">
        <f>IF(AND('Kennzahlenbogen plus'!H42 = "",'Kennzahlenbogen plus'!J42 = ""),"",SUM('Kennzahlenbogen plus'!H42,'Kennzahlenbogen plus'!J42))</f>
        <v/>
      </c>
      <c r="D100" s="425" t="str">
        <f>IF(AND('Kennzahlenbogen plus'!I42 = "",'Kennzahlenbogen plus'!K42 = ""),"",SUM('Kennzahlenbogen plus'!I42,'Kennzahlenbogen plus'!K42))</f>
        <v/>
      </c>
    </row>
    <row r="101" spans="1:4" x14ac:dyDescent="0.25">
      <c r="A101" s="417" t="s">
        <v>1137</v>
      </c>
      <c r="B101" s="418" t="s">
        <v>796</v>
      </c>
      <c r="C101" s="420" t="str">
        <f>IF('Kennzahlenbogen plus'!H43= "", "",'Kennzahlenbogen plus'!H43)</f>
        <v/>
      </c>
      <c r="D101" s="420" t="str">
        <f>IF('Kennzahlenbogen plus'!I43= "", "",'Kennzahlenbogen plus'!I43)</f>
        <v/>
      </c>
    </row>
    <row r="102" spans="1:4" x14ac:dyDescent="0.25">
      <c r="A102" s="417" t="s">
        <v>1138</v>
      </c>
      <c r="B102" s="418" t="s">
        <v>855</v>
      </c>
      <c r="C102" s="420" t="str">
        <f>IF('Kennzahlenbogen plus'!J43= "", "",'Kennzahlenbogen plus'!J43)</f>
        <v/>
      </c>
      <c r="D102" s="420" t="str">
        <f>IF('Kennzahlenbogen plus'!K43= "", "",'Kennzahlenbogen plus'!K43)</f>
        <v/>
      </c>
    </row>
    <row r="103" spans="1:4" x14ac:dyDescent="0.25">
      <c r="A103" s="417" t="s">
        <v>1139</v>
      </c>
      <c r="B103" s="418" t="s">
        <v>1060</v>
      </c>
      <c r="C103" s="425" t="str">
        <f>IF(AND('Kennzahlenbogen plus'!H43 = "",'Kennzahlenbogen plus'!J43 = ""),"",SUM('Kennzahlenbogen plus'!H43,'Kennzahlenbogen plus'!J43))</f>
        <v/>
      </c>
      <c r="D103" s="425" t="str">
        <f>IF(AND('Kennzahlenbogen plus'!I43 = "",'Kennzahlenbogen plus'!K43 = ""),"",SUM('Kennzahlenbogen plus'!I43,'Kennzahlenbogen plus'!K43))</f>
        <v/>
      </c>
    </row>
    <row r="104" spans="1:4" x14ac:dyDescent="0.25">
      <c r="A104" s="417" t="s">
        <v>1140</v>
      </c>
      <c r="B104" s="418" t="s">
        <v>797</v>
      </c>
      <c r="C104" s="420" t="str">
        <f>IF('Kennzahlenbogen plus'!H44= "", "",'Kennzahlenbogen plus'!H44)</f>
        <v/>
      </c>
      <c r="D104" s="420" t="str">
        <f>IF('Kennzahlenbogen plus'!I44= "", "",'Kennzahlenbogen plus'!I44)</f>
        <v/>
      </c>
    </row>
    <row r="105" spans="1:4" x14ac:dyDescent="0.25">
      <c r="A105" s="417" t="s">
        <v>1141</v>
      </c>
      <c r="B105" s="418" t="s">
        <v>856</v>
      </c>
      <c r="C105" s="420" t="str">
        <f>IF('Kennzahlenbogen plus'!J44= "", "",'Kennzahlenbogen plus'!J44)</f>
        <v/>
      </c>
      <c r="D105" s="420" t="str">
        <f>IF('Kennzahlenbogen plus'!K44= "", "",'Kennzahlenbogen plus'!K44)</f>
        <v/>
      </c>
    </row>
    <row r="106" spans="1:4" x14ac:dyDescent="0.25">
      <c r="A106" s="417" t="s">
        <v>1142</v>
      </c>
      <c r="B106" s="418" t="s">
        <v>1061</v>
      </c>
      <c r="C106" s="425" t="str">
        <f>IF(AND('Kennzahlenbogen plus'!H44 = "",'Kennzahlenbogen plus'!J44 = ""),"",SUM('Kennzahlenbogen plus'!H44,'Kennzahlenbogen plus'!J44))</f>
        <v/>
      </c>
      <c r="D106" s="425" t="str">
        <f>IF(AND('Kennzahlenbogen plus'!I44 = "",'Kennzahlenbogen plus'!K44 = ""),"",SUM('Kennzahlenbogen plus'!I44,'Kennzahlenbogen plus'!K44))</f>
        <v/>
      </c>
    </row>
    <row r="107" spans="1:4" x14ac:dyDescent="0.25">
      <c r="A107" s="417" t="s">
        <v>1143</v>
      </c>
      <c r="B107" s="418" t="s">
        <v>798</v>
      </c>
      <c r="C107" s="420" t="str">
        <f>IF('Kennzahlenbogen plus'!H45= "", "",'Kennzahlenbogen plus'!H45)</f>
        <v/>
      </c>
      <c r="D107" s="420" t="str">
        <f>IF('Kennzahlenbogen plus'!I45= "", "",'Kennzahlenbogen plus'!I45)</f>
        <v/>
      </c>
    </row>
    <row r="108" spans="1:4" x14ac:dyDescent="0.25">
      <c r="A108" s="417" t="s">
        <v>1144</v>
      </c>
      <c r="B108" s="418" t="s">
        <v>857</v>
      </c>
      <c r="C108" s="420" t="str">
        <f>IF('Kennzahlenbogen plus'!J45= "", "",'Kennzahlenbogen plus'!J45)</f>
        <v/>
      </c>
      <c r="D108" s="420" t="str">
        <f>IF('Kennzahlenbogen plus'!K45= "", "",'Kennzahlenbogen plus'!K45)</f>
        <v/>
      </c>
    </row>
    <row r="109" spans="1:4" x14ac:dyDescent="0.25">
      <c r="A109" s="417" t="s">
        <v>1145</v>
      </c>
      <c r="B109" s="418" t="s">
        <v>1062</v>
      </c>
      <c r="C109" s="425" t="str">
        <f>IF(AND('Kennzahlenbogen plus'!H45 = "",'Kennzahlenbogen plus'!J45 = ""),"",SUM('Kennzahlenbogen plus'!H45,'Kennzahlenbogen plus'!J45))</f>
        <v/>
      </c>
      <c r="D109" s="425" t="str">
        <f>IF(AND('Kennzahlenbogen plus'!I45 = "",'Kennzahlenbogen plus'!K45 = ""),"",SUM('Kennzahlenbogen plus'!I45,'Kennzahlenbogen plus'!K45))</f>
        <v/>
      </c>
    </row>
    <row r="110" spans="1:4" x14ac:dyDescent="0.25">
      <c r="A110" s="417" t="s">
        <v>906</v>
      </c>
      <c r="B110" s="418" t="s">
        <v>799</v>
      </c>
      <c r="C110" s="420" t="str">
        <f>IF('Kennzahlenbogen plus'!H46= "", "",'Kennzahlenbogen plus'!H46)</f>
        <v/>
      </c>
      <c r="D110" s="420" t="str">
        <f>IF('Kennzahlenbogen plus'!I46= "", "",'Kennzahlenbogen plus'!I46)</f>
        <v/>
      </c>
    </row>
    <row r="111" spans="1:4" x14ac:dyDescent="0.25">
      <c r="A111" s="417" t="s">
        <v>954</v>
      </c>
      <c r="B111" s="418" t="s">
        <v>858</v>
      </c>
      <c r="C111" s="420" t="str">
        <f>IF('Kennzahlenbogen plus'!J46= "", "",'Kennzahlenbogen plus'!J46)</f>
        <v/>
      </c>
      <c r="D111" s="420" t="str">
        <f>IF('Kennzahlenbogen plus'!K46= "", "",'Kennzahlenbogen plus'!K46)</f>
        <v/>
      </c>
    </row>
    <row r="112" spans="1:4" x14ac:dyDescent="0.25">
      <c r="A112" s="417" t="s">
        <v>1004</v>
      </c>
      <c r="B112" s="418" t="s">
        <v>1063</v>
      </c>
      <c r="C112" s="425" t="str">
        <f>IF(AND('Kennzahlenbogen plus'!H46 = "",'Kennzahlenbogen plus'!J46 = ""),"",SUM('Kennzahlenbogen plus'!H46,'Kennzahlenbogen plus'!J46))</f>
        <v/>
      </c>
      <c r="D112" s="425" t="str">
        <f>IF(AND('Kennzahlenbogen plus'!I46 = "",'Kennzahlenbogen plus'!K46 = ""),"",SUM('Kennzahlenbogen plus'!I46,'Kennzahlenbogen plus'!K46))</f>
        <v/>
      </c>
    </row>
    <row r="113" spans="1:4" x14ac:dyDescent="0.25">
      <c r="A113" s="417" t="s">
        <v>907</v>
      </c>
      <c r="B113" s="418" t="s">
        <v>800</v>
      </c>
      <c r="C113" s="420" t="str">
        <f>IF('Kennzahlenbogen plus'!H47= "", "",'Kennzahlenbogen plus'!H47)</f>
        <v/>
      </c>
      <c r="D113" s="420" t="str">
        <f>IF('Kennzahlenbogen plus'!I47= "", "",'Kennzahlenbogen plus'!I47)</f>
        <v/>
      </c>
    </row>
    <row r="114" spans="1:4" x14ac:dyDescent="0.25">
      <c r="A114" s="417" t="s">
        <v>955</v>
      </c>
      <c r="B114" s="418" t="s">
        <v>859</v>
      </c>
      <c r="C114" s="420" t="str">
        <f>IF('Kennzahlenbogen plus'!J47= "", "",'Kennzahlenbogen plus'!J47)</f>
        <v/>
      </c>
      <c r="D114" s="420" t="str">
        <f>IF('Kennzahlenbogen plus'!K47= "", "",'Kennzahlenbogen plus'!K47)</f>
        <v/>
      </c>
    </row>
    <row r="115" spans="1:4" x14ac:dyDescent="0.25">
      <c r="A115" s="417" t="s">
        <v>1005</v>
      </c>
      <c r="B115" s="418" t="s">
        <v>1064</v>
      </c>
      <c r="C115" s="425" t="str">
        <f>IF(AND('Kennzahlenbogen plus'!H47 = "",'Kennzahlenbogen plus'!J47 = ""),"",SUM('Kennzahlenbogen plus'!H47,'Kennzahlenbogen plus'!J47))</f>
        <v/>
      </c>
      <c r="D115" s="425" t="str">
        <f>IF(AND('Kennzahlenbogen plus'!I47 = "",'Kennzahlenbogen plus'!K47 = ""),"",SUM('Kennzahlenbogen plus'!I47,'Kennzahlenbogen plus'!K47))</f>
        <v/>
      </c>
    </row>
    <row r="116" spans="1:4" x14ac:dyDescent="0.25">
      <c r="A116" s="417" t="s">
        <v>908</v>
      </c>
      <c r="B116" s="418" t="s">
        <v>801</v>
      </c>
      <c r="C116" s="420" t="str">
        <f>IF('Kennzahlenbogen plus'!H48= "", "",'Kennzahlenbogen plus'!H48)</f>
        <v/>
      </c>
      <c r="D116" s="420" t="str">
        <f>IF('Kennzahlenbogen plus'!I48= "", "",'Kennzahlenbogen plus'!I48)</f>
        <v/>
      </c>
    </row>
    <row r="117" spans="1:4" x14ac:dyDescent="0.25">
      <c r="A117" s="417" t="s">
        <v>956</v>
      </c>
      <c r="B117" s="418" t="s">
        <v>860</v>
      </c>
      <c r="C117" s="420" t="str">
        <f>IF('Kennzahlenbogen plus'!J48= "", "",'Kennzahlenbogen plus'!J48)</f>
        <v/>
      </c>
      <c r="D117" s="420" t="str">
        <f>IF('Kennzahlenbogen plus'!K48= "", "",'Kennzahlenbogen plus'!K48)</f>
        <v/>
      </c>
    </row>
    <row r="118" spans="1:4" x14ac:dyDescent="0.25">
      <c r="A118" s="417" t="s">
        <v>1006</v>
      </c>
      <c r="B118" s="418" t="s">
        <v>1065</v>
      </c>
      <c r="C118" s="425" t="str">
        <f>IF(AND('Kennzahlenbogen plus'!H48 = "",'Kennzahlenbogen plus'!J48 = ""),"",SUM('Kennzahlenbogen plus'!H48,'Kennzahlenbogen plus'!J48))</f>
        <v/>
      </c>
      <c r="D118" s="425" t="str">
        <f>IF(AND('Kennzahlenbogen plus'!I48 = "",'Kennzahlenbogen plus'!K48 = ""),"",SUM('Kennzahlenbogen plus'!I48,'Kennzahlenbogen plus'!K48))</f>
        <v/>
      </c>
    </row>
    <row r="119" spans="1:4" x14ac:dyDescent="0.25">
      <c r="A119" s="417" t="s">
        <v>909</v>
      </c>
      <c r="B119" s="418" t="s">
        <v>802</v>
      </c>
      <c r="C119" s="420" t="str">
        <f>IF('Kennzahlenbogen plus'!H49= "", "",'Kennzahlenbogen plus'!H49)</f>
        <v/>
      </c>
      <c r="D119" s="420" t="str">
        <f>IF('Kennzahlenbogen plus'!I49= "", "",'Kennzahlenbogen plus'!I49)</f>
        <v/>
      </c>
    </row>
    <row r="120" spans="1:4" x14ac:dyDescent="0.25">
      <c r="A120" s="417" t="s">
        <v>957</v>
      </c>
      <c r="B120" s="418" t="s">
        <v>862</v>
      </c>
      <c r="C120" s="420" t="str">
        <f>IF('Kennzahlenbogen plus'!J49= "", "",'Kennzahlenbogen plus'!J49)</f>
        <v/>
      </c>
      <c r="D120" s="420" t="str">
        <f>IF('Kennzahlenbogen plus'!K49= "", "",'Kennzahlenbogen plus'!K49)</f>
        <v/>
      </c>
    </row>
    <row r="121" spans="1:4" x14ac:dyDescent="0.25">
      <c r="A121" s="417" t="s">
        <v>1007</v>
      </c>
      <c r="B121" s="418" t="s">
        <v>1066</v>
      </c>
      <c r="C121" s="425" t="str">
        <f>IF(AND('Kennzahlenbogen plus'!H49 = "",'Kennzahlenbogen plus'!J49 = ""),"",SUM('Kennzahlenbogen plus'!H49,'Kennzahlenbogen plus'!J49))</f>
        <v/>
      </c>
      <c r="D121" s="425" t="str">
        <f>IF(AND('Kennzahlenbogen plus'!I49 = "",'Kennzahlenbogen plus'!K49 = ""),"",SUM('Kennzahlenbogen plus'!I49,'Kennzahlenbogen plus'!K49))</f>
        <v/>
      </c>
    </row>
    <row r="122" spans="1:4" x14ac:dyDescent="0.25">
      <c r="A122" s="417" t="s">
        <v>910</v>
      </c>
      <c r="B122" s="418" t="s">
        <v>803</v>
      </c>
      <c r="C122" s="420" t="str">
        <f>IF('Kennzahlenbogen plus'!H50= "", "",'Kennzahlenbogen plus'!H50)</f>
        <v/>
      </c>
      <c r="D122" s="420" t="str">
        <f>IF('Kennzahlenbogen plus'!I50= "", "",'Kennzahlenbogen plus'!I50)</f>
        <v/>
      </c>
    </row>
    <row r="123" spans="1:4" x14ac:dyDescent="0.25">
      <c r="A123" s="417" t="s">
        <v>958</v>
      </c>
      <c r="B123" s="418" t="s">
        <v>863</v>
      </c>
      <c r="C123" s="420" t="str">
        <f>IF('Kennzahlenbogen plus'!J50= "", "",'Kennzahlenbogen plus'!J50)</f>
        <v/>
      </c>
      <c r="D123" s="420" t="str">
        <f>IF('Kennzahlenbogen plus'!K50= "", "",'Kennzahlenbogen plus'!K50)</f>
        <v/>
      </c>
    </row>
    <row r="124" spans="1:4" x14ac:dyDescent="0.25">
      <c r="A124" s="417" t="s">
        <v>1008</v>
      </c>
      <c r="B124" s="418" t="s">
        <v>1067</v>
      </c>
      <c r="C124" s="425" t="str">
        <f>IF(AND('Kennzahlenbogen plus'!H50 = "",'Kennzahlenbogen plus'!J50 = ""),"",SUM('Kennzahlenbogen plus'!H50,'Kennzahlenbogen plus'!J50))</f>
        <v/>
      </c>
      <c r="D124" s="425" t="str">
        <f>IF(AND('Kennzahlenbogen plus'!I50 = "",'Kennzahlenbogen plus'!K50 = ""),"",SUM('Kennzahlenbogen plus'!I50,'Kennzahlenbogen plus'!K50))</f>
        <v/>
      </c>
    </row>
    <row r="125" spans="1:4" x14ac:dyDescent="0.25">
      <c r="A125" s="417" t="s">
        <v>911</v>
      </c>
      <c r="B125" s="418" t="s">
        <v>804</v>
      </c>
      <c r="C125" s="420" t="str">
        <f>IF('Kennzahlenbogen plus'!H51= "", "",'Kennzahlenbogen plus'!H51)</f>
        <v/>
      </c>
      <c r="D125" s="420" t="str">
        <f>IF('Kennzahlenbogen plus'!I51= "", "",'Kennzahlenbogen plus'!I51)</f>
        <v/>
      </c>
    </row>
    <row r="126" spans="1:4" x14ac:dyDescent="0.25">
      <c r="A126" s="417" t="s">
        <v>959</v>
      </c>
      <c r="B126" s="418" t="s">
        <v>864</v>
      </c>
      <c r="C126" s="420" t="str">
        <f>IF('Kennzahlenbogen plus'!J51= "", "",'Kennzahlenbogen plus'!J51)</f>
        <v/>
      </c>
      <c r="D126" s="420" t="str">
        <f>IF('Kennzahlenbogen plus'!K51= "", "",'Kennzahlenbogen plus'!K51)</f>
        <v/>
      </c>
    </row>
    <row r="127" spans="1:4" x14ac:dyDescent="0.25">
      <c r="A127" s="417" t="s">
        <v>1009</v>
      </c>
      <c r="B127" s="418" t="s">
        <v>1068</v>
      </c>
      <c r="C127" s="425" t="str">
        <f>IF(AND('Kennzahlenbogen plus'!H51 = "",'Kennzahlenbogen plus'!J51 = ""),"",SUM('Kennzahlenbogen plus'!H51,'Kennzahlenbogen plus'!J51))</f>
        <v/>
      </c>
      <c r="D127" s="425" t="str">
        <f>IF(AND('Kennzahlenbogen plus'!I51 = "",'Kennzahlenbogen plus'!K51 = ""),"",SUM('Kennzahlenbogen plus'!I51,'Kennzahlenbogen plus'!K51))</f>
        <v/>
      </c>
    </row>
    <row r="128" spans="1:4" x14ac:dyDescent="0.25">
      <c r="A128" s="417" t="s">
        <v>912</v>
      </c>
      <c r="B128" s="418" t="s">
        <v>805</v>
      </c>
      <c r="C128" s="420" t="str">
        <f>IF('Kennzahlenbogen plus'!H52= "", "",'Kennzahlenbogen plus'!H52)</f>
        <v/>
      </c>
      <c r="D128" s="420" t="str">
        <f>IF('Kennzahlenbogen plus'!I52= "", "",'Kennzahlenbogen plus'!I52)</f>
        <v/>
      </c>
    </row>
    <row r="129" spans="1:4" x14ac:dyDescent="0.25">
      <c r="A129" s="417" t="s">
        <v>960</v>
      </c>
      <c r="B129" s="418" t="s">
        <v>865</v>
      </c>
      <c r="C129" s="420" t="str">
        <f>IF('Kennzahlenbogen plus'!J52= "", "",'Kennzahlenbogen plus'!J52)</f>
        <v/>
      </c>
      <c r="D129" s="420" t="str">
        <f>IF('Kennzahlenbogen plus'!K52= "", "",'Kennzahlenbogen plus'!K52)</f>
        <v/>
      </c>
    </row>
    <row r="130" spans="1:4" x14ac:dyDescent="0.25">
      <c r="A130" s="417" t="s">
        <v>1010</v>
      </c>
      <c r="B130" s="418" t="s">
        <v>1069</v>
      </c>
      <c r="C130" s="425" t="str">
        <f>IF(AND('Kennzahlenbogen plus'!H52 = "",'Kennzahlenbogen plus'!J52 = ""),"",SUM('Kennzahlenbogen plus'!H52,'Kennzahlenbogen plus'!J52))</f>
        <v/>
      </c>
      <c r="D130" s="425" t="str">
        <f>IF(AND('Kennzahlenbogen plus'!I52 = "",'Kennzahlenbogen plus'!K52 = ""),"",SUM('Kennzahlenbogen plus'!I52,'Kennzahlenbogen plus'!K52))</f>
        <v/>
      </c>
    </row>
    <row r="131" spans="1:4" x14ac:dyDescent="0.25">
      <c r="A131" s="417" t="s">
        <v>913</v>
      </c>
      <c r="B131" s="418" t="s">
        <v>806</v>
      </c>
      <c r="C131" s="420" t="str">
        <f>IF('Kennzahlenbogen plus'!H53= "", "",'Kennzahlenbogen plus'!H53)</f>
        <v/>
      </c>
      <c r="D131" s="420" t="str">
        <f>IF('Kennzahlenbogen plus'!I53= "", "",'Kennzahlenbogen plus'!I53)</f>
        <v/>
      </c>
    </row>
    <row r="132" spans="1:4" x14ac:dyDescent="0.25">
      <c r="A132" s="417" t="s">
        <v>961</v>
      </c>
      <c r="B132" s="418" t="s">
        <v>866</v>
      </c>
      <c r="C132" s="420" t="str">
        <f>IF('Kennzahlenbogen plus'!J53= "", "",'Kennzahlenbogen plus'!J53)</f>
        <v/>
      </c>
      <c r="D132" s="420" t="str">
        <f>IF('Kennzahlenbogen plus'!K53= "", "",'Kennzahlenbogen plus'!K53)</f>
        <v/>
      </c>
    </row>
    <row r="133" spans="1:4" x14ac:dyDescent="0.25">
      <c r="A133" s="417" t="s">
        <v>1011</v>
      </c>
      <c r="B133" s="418" t="s">
        <v>1070</v>
      </c>
      <c r="C133" s="425" t="str">
        <f>IF(AND('Kennzahlenbogen plus'!H53 = "",'Kennzahlenbogen plus'!J53 = ""),"",SUM('Kennzahlenbogen plus'!H53,'Kennzahlenbogen plus'!J53))</f>
        <v/>
      </c>
      <c r="D133" s="425" t="str">
        <f>IF(AND('Kennzahlenbogen plus'!I53 = "",'Kennzahlenbogen plus'!K53 = ""),"",SUM('Kennzahlenbogen plus'!I53,'Kennzahlenbogen plus'!K53))</f>
        <v/>
      </c>
    </row>
    <row r="134" spans="1:4" x14ac:dyDescent="0.25">
      <c r="A134" s="417" t="s">
        <v>914</v>
      </c>
      <c r="B134" s="418" t="s">
        <v>807</v>
      </c>
      <c r="C134" s="420" t="str">
        <f>IF('Kennzahlenbogen plus'!H54= "", "",'Kennzahlenbogen plus'!H54)</f>
        <v/>
      </c>
      <c r="D134" s="420" t="str">
        <f>IF('Kennzahlenbogen plus'!I54= "", "",'Kennzahlenbogen plus'!I54)</f>
        <v/>
      </c>
    </row>
    <row r="135" spans="1:4" x14ac:dyDescent="0.25">
      <c r="A135" s="417" t="s">
        <v>962</v>
      </c>
      <c r="B135" s="418" t="s">
        <v>867</v>
      </c>
      <c r="C135" s="420" t="str">
        <f>IF('Kennzahlenbogen plus'!J54= "", "",'Kennzahlenbogen plus'!J54)</f>
        <v/>
      </c>
      <c r="D135" s="420" t="str">
        <f>IF('Kennzahlenbogen plus'!K54= "", "",'Kennzahlenbogen plus'!K54)</f>
        <v/>
      </c>
    </row>
    <row r="136" spans="1:4" x14ac:dyDescent="0.25">
      <c r="A136" s="417" t="s">
        <v>1012</v>
      </c>
      <c r="B136" s="418" t="s">
        <v>1071</v>
      </c>
      <c r="C136" s="425" t="str">
        <f>IF(AND('Kennzahlenbogen plus'!H54 = "",'Kennzahlenbogen plus'!J54 = ""),"",SUM('Kennzahlenbogen plus'!H54,'Kennzahlenbogen plus'!J54))</f>
        <v/>
      </c>
      <c r="D136" s="425" t="str">
        <f>IF(AND('Kennzahlenbogen plus'!I54 = "",'Kennzahlenbogen plus'!K54 = ""),"",SUM('Kennzahlenbogen plus'!I54,'Kennzahlenbogen plus'!K54))</f>
        <v/>
      </c>
    </row>
    <row r="137" spans="1:4" x14ac:dyDescent="0.25">
      <c r="A137" s="417" t="s">
        <v>915</v>
      </c>
      <c r="B137" s="418" t="s">
        <v>808</v>
      </c>
      <c r="C137" s="420" t="str">
        <f>IF('Kennzahlenbogen plus'!H55= "", "",'Kennzahlenbogen plus'!H55)</f>
        <v/>
      </c>
      <c r="D137" s="420" t="str">
        <f>IF('Kennzahlenbogen plus'!I55= "", "",'Kennzahlenbogen plus'!I55)</f>
        <v/>
      </c>
    </row>
    <row r="138" spans="1:4" x14ac:dyDescent="0.25">
      <c r="A138" s="417" t="s">
        <v>963</v>
      </c>
      <c r="B138" s="418" t="s">
        <v>868</v>
      </c>
      <c r="C138" s="420" t="str">
        <f>IF('Kennzahlenbogen plus'!J55= "", "",'Kennzahlenbogen plus'!J55)</f>
        <v/>
      </c>
      <c r="D138" s="420" t="str">
        <f>IF('Kennzahlenbogen plus'!K55= "", "",'Kennzahlenbogen plus'!K55)</f>
        <v/>
      </c>
    </row>
    <row r="139" spans="1:4" x14ac:dyDescent="0.25">
      <c r="A139" s="417" t="s">
        <v>1013</v>
      </c>
      <c r="B139" s="418" t="s">
        <v>1072</v>
      </c>
      <c r="C139" s="425" t="str">
        <f>IF(AND('Kennzahlenbogen plus'!H55 = "",'Kennzahlenbogen plus'!J55 = ""),"",SUM('Kennzahlenbogen plus'!H55,'Kennzahlenbogen plus'!J55))</f>
        <v/>
      </c>
      <c r="D139" s="425" t="str">
        <f>IF(AND('Kennzahlenbogen plus'!I55 = "",'Kennzahlenbogen plus'!K55 = ""),"",SUM('Kennzahlenbogen plus'!I55,'Kennzahlenbogen plus'!K55))</f>
        <v/>
      </c>
    </row>
    <row r="140" spans="1:4" x14ac:dyDescent="0.25">
      <c r="A140" s="417" t="s">
        <v>916</v>
      </c>
      <c r="B140" s="418" t="s">
        <v>809</v>
      </c>
      <c r="C140" s="420" t="str">
        <f>IF('Kennzahlenbogen plus'!H56= "", "",'Kennzahlenbogen plus'!H56)</f>
        <v/>
      </c>
      <c r="D140" s="420" t="str">
        <f>IF('Kennzahlenbogen plus'!I56= "", "",'Kennzahlenbogen plus'!I56)</f>
        <v/>
      </c>
    </row>
    <row r="141" spans="1:4" x14ac:dyDescent="0.25">
      <c r="A141" s="417" t="s">
        <v>964</v>
      </c>
      <c r="B141" s="418" t="s">
        <v>869</v>
      </c>
      <c r="C141" s="420" t="str">
        <f>IF('Kennzahlenbogen plus'!J56= "", "",'Kennzahlenbogen plus'!J56)</f>
        <v/>
      </c>
      <c r="D141" s="420" t="str">
        <f>IF('Kennzahlenbogen plus'!K56= "", "",'Kennzahlenbogen plus'!K56)</f>
        <v/>
      </c>
    </row>
    <row r="142" spans="1:4" x14ac:dyDescent="0.25">
      <c r="A142" s="417" t="s">
        <v>1014</v>
      </c>
      <c r="B142" s="418" t="s">
        <v>1073</v>
      </c>
      <c r="C142" s="425" t="str">
        <f>IF(AND('Kennzahlenbogen plus'!H56 = "",'Kennzahlenbogen plus'!J56 = ""),"",SUM('Kennzahlenbogen plus'!H56,'Kennzahlenbogen plus'!J56))</f>
        <v/>
      </c>
      <c r="D142" s="425" t="str">
        <f>IF(AND('Kennzahlenbogen plus'!I56 = "",'Kennzahlenbogen plus'!K56 = ""),"",SUM('Kennzahlenbogen plus'!I56,'Kennzahlenbogen plus'!K56))</f>
        <v/>
      </c>
    </row>
    <row r="143" spans="1:4" x14ac:dyDescent="0.25">
      <c r="A143" s="417" t="s">
        <v>917</v>
      </c>
      <c r="B143" s="418" t="s">
        <v>810</v>
      </c>
      <c r="C143" s="420" t="str">
        <f>IF('Kennzahlenbogen plus'!H57= "", "",'Kennzahlenbogen plus'!H57)</f>
        <v/>
      </c>
      <c r="D143" s="420" t="str">
        <f>IF('Kennzahlenbogen plus'!I57= "", "",'Kennzahlenbogen plus'!I57)</f>
        <v/>
      </c>
    </row>
    <row r="144" spans="1:4" x14ac:dyDescent="0.25">
      <c r="A144" s="417" t="s">
        <v>965</v>
      </c>
      <c r="B144" s="418" t="s">
        <v>861</v>
      </c>
      <c r="C144" s="420" t="str">
        <f>IF('Kennzahlenbogen plus'!J57= "", "",'Kennzahlenbogen plus'!J57)</f>
        <v/>
      </c>
      <c r="D144" s="420" t="str">
        <f>IF('Kennzahlenbogen plus'!K57= "", "",'Kennzahlenbogen plus'!K57)</f>
        <v/>
      </c>
    </row>
    <row r="145" spans="1:4" x14ac:dyDescent="0.25">
      <c r="A145" s="417" t="s">
        <v>1015</v>
      </c>
      <c r="B145" s="418" t="s">
        <v>1074</v>
      </c>
      <c r="C145" s="425" t="str">
        <f>IF(AND('Kennzahlenbogen plus'!H57 = "",'Kennzahlenbogen plus'!J57 = ""),"",SUM('Kennzahlenbogen plus'!H57,'Kennzahlenbogen plus'!J57))</f>
        <v/>
      </c>
      <c r="D145" s="425" t="str">
        <f>IF(AND('Kennzahlenbogen plus'!I57 = "",'Kennzahlenbogen plus'!K57 = ""),"",SUM('Kennzahlenbogen plus'!I57,'Kennzahlenbogen plus'!K57))</f>
        <v/>
      </c>
    </row>
    <row r="146" spans="1:4" x14ac:dyDescent="0.25">
      <c r="A146" s="417" t="s">
        <v>918</v>
      </c>
      <c r="B146" s="418" t="s">
        <v>811</v>
      </c>
      <c r="C146" s="420" t="str">
        <f>IF('Kennzahlenbogen plus'!H58= "", "",'Kennzahlenbogen plus'!H58)</f>
        <v/>
      </c>
      <c r="D146" s="420" t="str">
        <f>IF('Kennzahlenbogen plus'!I58= "", "",'Kennzahlenbogen plus'!I58)</f>
        <v/>
      </c>
    </row>
    <row r="147" spans="1:4" x14ac:dyDescent="0.25">
      <c r="A147" s="417" t="s">
        <v>966</v>
      </c>
      <c r="B147" s="418" t="s">
        <v>870</v>
      </c>
      <c r="C147" s="420" t="str">
        <f>IF('Kennzahlenbogen plus'!J58= "", "",'Kennzahlenbogen plus'!J58)</f>
        <v/>
      </c>
      <c r="D147" s="420" t="str">
        <f>IF('Kennzahlenbogen plus'!K58= "", "",'Kennzahlenbogen plus'!K58)</f>
        <v/>
      </c>
    </row>
    <row r="148" spans="1:4" x14ac:dyDescent="0.25">
      <c r="A148" s="417" t="s">
        <v>1016</v>
      </c>
      <c r="B148" s="418" t="s">
        <v>1075</v>
      </c>
      <c r="C148" s="425" t="str">
        <f>IF(AND('Kennzahlenbogen plus'!H58 = "",'Kennzahlenbogen plus'!J58 = ""),"",SUM('Kennzahlenbogen plus'!H58,'Kennzahlenbogen plus'!J58))</f>
        <v/>
      </c>
      <c r="D148" s="425" t="str">
        <f>IF(AND('Kennzahlenbogen plus'!I58 = "",'Kennzahlenbogen plus'!K58 = ""),"",SUM('Kennzahlenbogen plus'!I58,'Kennzahlenbogen plus'!K58))</f>
        <v/>
      </c>
    </row>
    <row r="149" spans="1:4" x14ac:dyDescent="0.25">
      <c r="A149" s="417" t="s">
        <v>919</v>
      </c>
      <c r="B149" s="418" t="s">
        <v>812</v>
      </c>
      <c r="C149" s="420" t="str">
        <f>IF('Kennzahlenbogen plus'!H59= "", "",'Kennzahlenbogen plus'!H59)</f>
        <v/>
      </c>
      <c r="D149" s="420" t="str">
        <f>IF('Kennzahlenbogen plus'!I59= "", "",'Kennzahlenbogen plus'!I59)</f>
        <v/>
      </c>
    </row>
    <row r="150" spans="1:4" x14ac:dyDescent="0.25">
      <c r="A150" s="417" t="s">
        <v>967</v>
      </c>
      <c r="B150" s="418" t="s">
        <v>871</v>
      </c>
      <c r="C150" s="420" t="str">
        <f>IF('Kennzahlenbogen plus'!J59= "", "",'Kennzahlenbogen plus'!J59)</f>
        <v/>
      </c>
      <c r="D150" s="420" t="str">
        <f>IF('Kennzahlenbogen plus'!K59= "", "",'Kennzahlenbogen plus'!K59)</f>
        <v/>
      </c>
    </row>
    <row r="151" spans="1:4" x14ac:dyDescent="0.25">
      <c r="A151" s="417" t="s">
        <v>1017</v>
      </c>
      <c r="B151" s="418" t="s">
        <v>1076</v>
      </c>
      <c r="C151" s="425" t="str">
        <f>IF(AND('Kennzahlenbogen plus'!H59 = "",'Kennzahlenbogen plus'!J59 = ""),"",SUM('Kennzahlenbogen plus'!H59,'Kennzahlenbogen plus'!J59))</f>
        <v/>
      </c>
      <c r="D151" s="425" t="str">
        <f>IF(AND('Kennzahlenbogen plus'!I59 = "",'Kennzahlenbogen plus'!K59 = ""),"",SUM('Kennzahlenbogen plus'!I59,'Kennzahlenbogen plus'!K59))</f>
        <v/>
      </c>
    </row>
    <row r="152" spans="1:4" x14ac:dyDescent="0.25">
      <c r="A152" s="417" t="s">
        <v>920</v>
      </c>
      <c r="B152" s="418" t="s">
        <v>813</v>
      </c>
      <c r="C152" s="420" t="str">
        <f>IF('Kennzahlenbogen plus'!H60= "", "",'Kennzahlenbogen plus'!H60)</f>
        <v/>
      </c>
      <c r="D152" s="420" t="str">
        <f>IF('Kennzahlenbogen plus'!I60= "", "",'Kennzahlenbogen plus'!I60)</f>
        <v/>
      </c>
    </row>
    <row r="153" spans="1:4" x14ac:dyDescent="0.25">
      <c r="A153" s="417" t="s">
        <v>968</v>
      </c>
      <c r="B153" s="418" t="s">
        <v>872</v>
      </c>
      <c r="C153" s="420" t="str">
        <f>IF('Kennzahlenbogen plus'!J60= "", "",'Kennzahlenbogen plus'!J60)</f>
        <v/>
      </c>
      <c r="D153" s="420" t="str">
        <f>IF('Kennzahlenbogen plus'!K60= "", "",'Kennzahlenbogen plus'!K60)</f>
        <v/>
      </c>
    </row>
    <row r="154" spans="1:4" x14ac:dyDescent="0.25">
      <c r="A154" s="417" t="s">
        <v>1018</v>
      </c>
      <c r="B154" s="418" t="s">
        <v>1077</v>
      </c>
      <c r="C154" s="425" t="str">
        <f>IF(AND('Kennzahlenbogen plus'!H60 = "",'Kennzahlenbogen plus'!J60 = ""),"",SUM('Kennzahlenbogen plus'!H60,'Kennzahlenbogen plus'!J60))</f>
        <v/>
      </c>
      <c r="D154" s="425" t="str">
        <f>IF(AND('Kennzahlenbogen plus'!I60 = "",'Kennzahlenbogen plus'!K60 = ""),"",SUM('Kennzahlenbogen plus'!I60,'Kennzahlenbogen plus'!K60))</f>
        <v/>
      </c>
    </row>
    <row r="155" spans="1:4" x14ac:dyDescent="0.25">
      <c r="A155" s="417" t="s">
        <v>921</v>
      </c>
      <c r="B155" s="418" t="s">
        <v>814</v>
      </c>
      <c r="C155" s="420" t="str">
        <f>IF('Kennzahlenbogen plus'!H61= "", "",'Kennzahlenbogen plus'!H61)</f>
        <v/>
      </c>
      <c r="D155" s="420" t="str">
        <f>IF('Kennzahlenbogen plus'!I61= "", "",'Kennzahlenbogen plus'!I61)</f>
        <v/>
      </c>
    </row>
    <row r="156" spans="1:4" x14ac:dyDescent="0.25">
      <c r="A156" s="417" t="s">
        <v>969</v>
      </c>
      <c r="B156" s="418" t="s">
        <v>873</v>
      </c>
      <c r="C156" s="420" t="str">
        <f>IF('Kennzahlenbogen plus'!J61= "", "",'Kennzahlenbogen plus'!J61)</f>
        <v/>
      </c>
      <c r="D156" s="420" t="str">
        <f>IF('Kennzahlenbogen plus'!K61= "", "",'Kennzahlenbogen plus'!K61)</f>
        <v/>
      </c>
    </row>
    <row r="157" spans="1:4" x14ac:dyDescent="0.25">
      <c r="A157" s="417" t="s">
        <v>1019</v>
      </c>
      <c r="B157" s="418" t="s">
        <v>1078</v>
      </c>
      <c r="C157" s="425" t="str">
        <f>IF(AND('Kennzahlenbogen plus'!H61 = "",'Kennzahlenbogen plus'!J61 = ""),"",SUM('Kennzahlenbogen plus'!H61,'Kennzahlenbogen plus'!J61))</f>
        <v/>
      </c>
      <c r="D157" s="425" t="str">
        <f>IF(AND('Kennzahlenbogen plus'!I61 = "",'Kennzahlenbogen plus'!K61 = ""),"",SUM('Kennzahlenbogen plus'!I61,'Kennzahlenbogen plus'!K61))</f>
        <v/>
      </c>
    </row>
    <row r="158" spans="1:4" x14ac:dyDescent="0.25">
      <c r="A158" s="417" t="s">
        <v>923</v>
      </c>
      <c r="B158" s="418" t="s">
        <v>815</v>
      </c>
      <c r="C158" s="420" t="str">
        <f>IF('Kennzahlenbogen plus'!H62= "", "",'Kennzahlenbogen plus'!H62)</f>
        <v/>
      </c>
      <c r="D158" s="420" t="str">
        <f>IF('Kennzahlenbogen plus'!I62= "", "",'Kennzahlenbogen plus'!I62)</f>
        <v/>
      </c>
    </row>
    <row r="159" spans="1:4" x14ac:dyDescent="0.25">
      <c r="A159" s="417" t="s">
        <v>970</v>
      </c>
      <c r="B159" s="418" t="s">
        <v>874</v>
      </c>
      <c r="C159" s="420" t="str">
        <f>IF('Kennzahlenbogen plus'!J62= "", "",'Kennzahlenbogen plus'!J62)</f>
        <v/>
      </c>
      <c r="D159" s="420" t="str">
        <f>IF('Kennzahlenbogen plus'!K62= "", "",'Kennzahlenbogen plus'!K62)</f>
        <v/>
      </c>
    </row>
    <row r="160" spans="1:4" x14ac:dyDescent="0.25">
      <c r="A160" s="417" t="s">
        <v>1020</v>
      </c>
      <c r="B160" s="418" t="s">
        <v>1079</v>
      </c>
      <c r="C160" s="425" t="str">
        <f>IF(AND('Kennzahlenbogen plus'!H62 = "",'Kennzahlenbogen plus'!J62 = ""),"",SUM('Kennzahlenbogen plus'!H62,'Kennzahlenbogen plus'!J62))</f>
        <v/>
      </c>
      <c r="D160" s="425" t="str">
        <f>IF(AND('Kennzahlenbogen plus'!I62 = "",'Kennzahlenbogen plus'!K62 = ""),"",SUM('Kennzahlenbogen plus'!I62,'Kennzahlenbogen plus'!K62))</f>
        <v/>
      </c>
    </row>
    <row r="161" spans="1:4" x14ac:dyDescent="0.25">
      <c r="A161" s="417" t="s">
        <v>922</v>
      </c>
      <c r="B161" s="418" t="s">
        <v>816</v>
      </c>
      <c r="C161" s="420" t="str">
        <f>IF('Kennzahlenbogen plus'!H63= "", "",'Kennzahlenbogen plus'!H63)</f>
        <v/>
      </c>
      <c r="D161" s="420" t="str">
        <f>IF('Kennzahlenbogen plus'!I63= "", "",'Kennzahlenbogen plus'!I63)</f>
        <v/>
      </c>
    </row>
    <row r="162" spans="1:4" x14ac:dyDescent="0.25">
      <c r="A162" s="417" t="s">
        <v>971</v>
      </c>
      <c r="B162" s="418" t="s">
        <v>875</v>
      </c>
      <c r="C162" s="420" t="str">
        <f>IF('Kennzahlenbogen plus'!J63= "", "",'Kennzahlenbogen plus'!J63)</f>
        <v/>
      </c>
      <c r="D162" s="420" t="str">
        <f>IF('Kennzahlenbogen plus'!K63= "", "",'Kennzahlenbogen plus'!K63)</f>
        <v/>
      </c>
    </row>
    <row r="163" spans="1:4" x14ac:dyDescent="0.25">
      <c r="A163" s="417" t="s">
        <v>1021</v>
      </c>
      <c r="B163" s="418" t="s">
        <v>1080</v>
      </c>
      <c r="C163" s="425" t="str">
        <f>IF(AND('Kennzahlenbogen plus'!H63 = "",'Kennzahlenbogen plus'!J63 = ""),"",SUM('Kennzahlenbogen plus'!H63,'Kennzahlenbogen plus'!J63))</f>
        <v/>
      </c>
      <c r="D163" s="425" t="str">
        <f>IF(AND('Kennzahlenbogen plus'!I63 = "",'Kennzahlenbogen plus'!K63 = ""),"",SUM('Kennzahlenbogen plus'!I63,'Kennzahlenbogen plus'!K63))</f>
        <v/>
      </c>
    </row>
    <row r="164" spans="1:4" x14ac:dyDescent="0.25">
      <c r="A164" s="417" t="s">
        <v>924</v>
      </c>
      <c r="B164" s="418" t="s">
        <v>817</v>
      </c>
      <c r="C164" s="420" t="str">
        <f>IF('Kennzahlenbogen plus'!H64= "", "",'Kennzahlenbogen plus'!H64)</f>
        <v/>
      </c>
      <c r="D164" s="420" t="str">
        <f>IF('Kennzahlenbogen plus'!I64= "", "",'Kennzahlenbogen plus'!I64)</f>
        <v/>
      </c>
    </row>
    <row r="165" spans="1:4" x14ac:dyDescent="0.25">
      <c r="A165" s="417" t="s">
        <v>972</v>
      </c>
      <c r="B165" s="418" t="s">
        <v>876</v>
      </c>
      <c r="C165" s="420" t="str">
        <f>IF('Kennzahlenbogen plus'!J64= "", "",'Kennzahlenbogen plus'!J64)</f>
        <v/>
      </c>
      <c r="D165" s="420" t="str">
        <f>IF('Kennzahlenbogen plus'!K64= "", "",'Kennzahlenbogen plus'!K64)</f>
        <v/>
      </c>
    </row>
    <row r="166" spans="1:4" x14ac:dyDescent="0.25">
      <c r="A166" s="417" t="s">
        <v>1022</v>
      </c>
      <c r="B166" s="418" t="s">
        <v>1081</v>
      </c>
      <c r="C166" s="425" t="str">
        <f>IF(AND('Kennzahlenbogen plus'!H64 = "",'Kennzahlenbogen plus'!J64 = ""),"",SUM('Kennzahlenbogen plus'!H64,'Kennzahlenbogen plus'!J64))</f>
        <v/>
      </c>
      <c r="D166" s="425" t="str">
        <f>IF(AND('Kennzahlenbogen plus'!I64 = "",'Kennzahlenbogen plus'!K64 = ""),"",SUM('Kennzahlenbogen plus'!I64,'Kennzahlenbogen plus'!K64))</f>
        <v/>
      </c>
    </row>
    <row r="167" spans="1:4" x14ac:dyDescent="0.25">
      <c r="A167" s="417" t="s">
        <v>925</v>
      </c>
      <c r="B167" s="418" t="s">
        <v>818</v>
      </c>
      <c r="C167" s="420" t="str">
        <f>IF('Kennzahlenbogen plus'!H65= "", "",'Kennzahlenbogen plus'!H65)</f>
        <v/>
      </c>
      <c r="D167" s="420" t="str">
        <f>IF('Kennzahlenbogen plus'!I65= "", "",'Kennzahlenbogen plus'!I65)</f>
        <v/>
      </c>
    </row>
    <row r="168" spans="1:4" x14ac:dyDescent="0.25">
      <c r="A168" s="417" t="s">
        <v>973</v>
      </c>
      <c r="B168" s="418" t="s">
        <v>877</v>
      </c>
      <c r="C168" s="420" t="str">
        <f>IF('Kennzahlenbogen plus'!J65= "", "",'Kennzahlenbogen plus'!J65)</f>
        <v/>
      </c>
      <c r="D168" s="420" t="str">
        <f>IF('Kennzahlenbogen plus'!K65= "", "",'Kennzahlenbogen plus'!K65)</f>
        <v/>
      </c>
    </row>
    <row r="169" spans="1:4" x14ac:dyDescent="0.25">
      <c r="A169" s="417" t="s">
        <v>1023</v>
      </c>
      <c r="B169" s="418" t="s">
        <v>1082</v>
      </c>
      <c r="C169" s="425" t="str">
        <f>IF(AND('Kennzahlenbogen plus'!H65 = "",'Kennzahlenbogen plus'!J65 = ""),"",SUM('Kennzahlenbogen plus'!H65,'Kennzahlenbogen plus'!J65))</f>
        <v/>
      </c>
      <c r="D169" s="425" t="str">
        <f>IF(AND('Kennzahlenbogen plus'!I65 = "",'Kennzahlenbogen plus'!K65 = ""),"",SUM('Kennzahlenbogen plus'!I65,'Kennzahlenbogen plus'!K65))</f>
        <v/>
      </c>
    </row>
    <row r="170" spans="1:4" x14ac:dyDescent="0.25">
      <c r="A170" s="417" t="s">
        <v>926</v>
      </c>
      <c r="B170" s="418" t="s">
        <v>819</v>
      </c>
      <c r="C170" s="420" t="str">
        <f>IF('Kennzahlenbogen plus'!H66= "", "",'Kennzahlenbogen plus'!H66)</f>
        <v/>
      </c>
      <c r="D170" s="420" t="str">
        <f>IF('Kennzahlenbogen plus'!I66= "", "",'Kennzahlenbogen plus'!I66)</f>
        <v/>
      </c>
    </row>
    <row r="171" spans="1:4" x14ac:dyDescent="0.25">
      <c r="A171" s="417" t="s">
        <v>974</v>
      </c>
      <c r="B171" s="418" t="s">
        <v>878</v>
      </c>
      <c r="C171" s="420" t="str">
        <f>IF('Kennzahlenbogen plus'!J66= "", "",'Kennzahlenbogen plus'!J66)</f>
        <v/>
      </c>
      <c r="D171" s="420" t="str">
        <f>IF('Kennzahlenbogen plus'!K66= "", "",'Kennzahlenbogen plus'!K66)</f>
        <v/>
      </c>
    </row>
    <row r="172" spans="1:4" x14ac:dyDescent="0.25">
      <c r="A172" s="417" t="s">
        <v>1024</v>
      </c>
      <c r="B172" s="418" t="s">
        <v>1083</v>
      </c>
      <c r="C172" s="425" t="str">
        <f>IF(AND('Kennzahlenbogen plus'!H66 = "",'Kennzahlenbogen plus'!J66 = ""),"",SUM('Kennzahlenbogen plus'!H66,'Kennzahlenbogen plus'!J66))</f>
        <v/>
      </c>
      <c r="D172" s="425" t="str">
        <f>IF(AND('Kennzahlenbogen plus'!I66 = "",'Kennzahlenbogen plus'!K66 = ""),"",SUM('Kennzahlenbogen plus'!I66,'Kennzahlenbogen plus'!K66))</f>
        <v/>
      </c>
    </row>
    <row r="173" spans="1:4" x14ac:dyDescent="0.25">
      <c r="A173" s="417" t="s">
        <v>927</v>
      </c>
      <c r="B173" s="418" t="s">
        <v>820</v>
      </c>
      <c r="C173" s="420" t="str">
        <f>IF('Kennzahlenbogen plus'!H67= "", "",'Kennzahlenbogen plus'!H67)</f>
        <v/>
      </c>
      <c r="D173" s="420" t="str">
        <f>IF('Kennzahlenbogen plus'!I67= "", "",'Kennzahlenbogen plus'!I67)</f>
        <v/>
      </c>
    </row>
    <row r="174" spans="1:4" x14ac:dyDescent="0.25">
      <c r="A174" s="417" t="s">
        <v>975</v>
      </c>
      <c r="B174" s="418" t="s">
        <v>879</v>
      </c>
      <c r="C174" s="420" t="str">
        <f>IF('Kennzahlenbogen plus'!J67= "", "",'Kennzahlenbogen plus'!J67)</f>
        <v/>
      </c>
      <c r="D174" s="420" t="str">
        <f>IF('Kennzahlenbogen plus'!K67= "", "",'Kennzahlenbogen plus'!K67)</f>
        <v/>
      </c>
    </row>
    <row r="175" spans="1:4" x14ac:dyDescent="0.25">
      <c r="A175" s="417" t="s">
        <v>1025</v>
      </c>
      <c r="B175" s="418" t="s">
        <v>1084</v>
      </c>
      <c r="C175" s="425" t="str">
        <f>IF(AND('Kennzahlenbogen plus'!H67 = "",'Kennzahlenbogen plus'!J67 = ""),"",SUM('Kennzahlenbogen plus'!H67,'Kennzahlenbogen plus'!J67))</f>
        <v/>
      </c>
      <c r="D175" s="425" t="str">
        <f>IF(AND('Kennzahlenbogen plus'!I67 = "",'Kennzahlenbogen plus'!K67 = ""),"",SUM('Kennzahlenbogen plus'!I67,'Kennzahlenbogen plus'!K67))</f>
        <v/>
      </c>
    </row>
    <row r="176" spans="1:4" x14ac:dyDescent="0.25">
      <c r="A176" s="417" t="s">
        <v>928</v>
      </c>
      <c r="B176" s="418" t="s">
        <v>821</v>
      </c>
      <c r="C176" s="420" t="str">
        <f>IF('Kennzahlenbogen plus'!H68= "", "",'Kennzahlenbogen plus'!H68)</f>
        <v/>
      </c>
      <c r="D176" s="420" t="str">
        <f>IF('Kennzahlenbogen plus'!I68= "", "",'Kennzahlenbogen plus'!I68)</f>
        <v/>
      </c>
    </row>
    <row r="177" spans="1:4" x14ac:dyDescent="0.25">
      <c r="A177" s="417" t="s">
        <v>976</v>
      </c>
      <c r="B177" s="418" t="s">
        <v>880</v>
      </c>
      <c r="C177" s="420" t="str">
        <f>IF('Kennzahlenbogen plus'!J68= "", "",'Kennzahlenbogen plus'!J68)</f>
        <v/>
      </c>
      <c r="D177" s="420" t="str">
        <f>IF('Kennzahlenbogen plus'!K68= "", "",'Kennzahlenbogen plus'!K68)</f>
        <v/>
      </c>
    </row>
    <row r="178" spans="1:4" x14ac:dyDescent="0.25">
      <c r="A178" s="417" t="s">
        <v>1026</v>
      </c>
      <c r="B178" s="418" t="s">
        <v>1085</v>
      </c>
      <c r="C178" s="425" t="str">
        <f>IF(AND('Kennzahlenbogen plus'!H68 = "",'Kennzahlenbogen plus'!J68 = ""),"",SUM('Kennzahlenbogen plus'!H68,'Kennzahlenbogen plus'!J68))</f>
        <v/>
      </c>
      <c r="D178" s="425" t="str">
        <f>IF(AND('Kennzahlenbogen plus'!I68 = "",'Kennzahlenbogen plus'!K68 = ""),"",SUM('Kennzahlenbogen plus'!I68,'Kennzahlenbogen plus'!K68))</f>
        <v/>
      </c>
    </row>
    <row r="179" spans="1:4" x14ac:dyDescent="0.25">
      <c r="A179" s="417" t="s">
        <v>929</v>
      </c>
      <c r="B179" s="418" t="s">
        <v>822</v>
      </c>
      <c r="C179" s="420" t="str">
        <f>IF('Kennzahlenbogen plus'!H69= "", "",'Kennzahlenbogen plus'!H69)</f>
        <v/>
      </c>
      <c r="D179" s="420" t="str">
        <f>IF('Kennzahlenbogen plus'!I69= "", "",'Kennzahlenbogen plus'!I69)</f>
        <v/>
      </c>
    </row>
    <row r="180" spans="1:4" x14ac:dyDescent="0.25">
      <c r="A180" s="417" t="s">
        <v>977</v>
      </c>
      <c r="B180" s="418" t="s">
        <v>881</v>
      </c>
      <c r="C180" s="420" t="str">
        <f>IF('Kennzahlenbogen plus'!J69= "", "",'Kennzahlenbogen plus'!J69)</f>
        <v/>
      </c>
      <c r="D180" s="420" t="str">
        <f>IF('Kennzahlenbogen plus'!K69= "", "",'Kennzahlenbogen plus'!K69)</f>
        <v/>
      </c>
    </row>
    <row r="181" spans="1:4" x14ac:dyDescent="0.25">
      <c r="A181" s="417" t="s">
        <v>1027</v>
      </c>
      <c r="B181" s="418" t="s">
        <v>1086</v>
      </c>
      <c r="C181" s="425" t="str">
        <f>IF(AND('Kennzahlenbogen plus'!H69 = "",'Kennzahlenbogen plus'!J69 = ""),"",SUM('Kennzahlenbogen plus'!H69,'Kennzahlenbogen plus'!J69))</f>
        <v/>
      </c>
      <c r="D181" s="425" t="str">
        <f>IF(AND('Kennzahlenbogen plus'!I69 = "",'Kennzahlenbogen plus'!K69 = ""),"",SUM('Kennzahlenbogen plus'!I69,'Kennzahlenbogen plus'!K69))</f>
        <v/>
      </c>
    </row>
  </sheetData>
  <pageMargins left="0.7" right="0.7" top="0.75" bottom="0.75" header="0.3" footer="0.3"/>
  <pageSetup paperSize="9" orientation="portrait" horizontalDpi="0" verticalDpi="0" r:id="rId1"/>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Tabelle6"/>
  <dimension ref="A1:AR118"/>
  <sheetViews>
    <sheetView showGridLines="0" showRuler="0" zoomScaleNormal="100" zoomScaleSheetLayoutView="100" workbookViewId="0">
      <selection activeCell="D23" sqref="D23"/>
    </sheetView>
  </sheetViews>
  <sheetFormatPr defaultColWidth="9" defaultRowHeight="14.25" x14ac:dyDescent="0.2"/>
  <cols>
    <col min="1" max="1" width="12" style="8" customWidth="1"/>
    <col min="2" max="2" width="4.7109375" style="8" customWidth="1"/>
    <col min="3" max="7" width="5.7109375" style="8" customWidth="1"/>
    <col min="8" max="8" width="0.42578125" style="8" customWidth="1"/>
    <col min="9" max="9" width="4.7109375" style="8" customWidth="1"/>
    <col min="10" max="12" width="5.28515625" style="8" customWidth="1"/>
    <col min="13" max="13" width="7.7109375" style="8" customWidth="1"/>
    <col min="14" max="14" width="0.42578125" style="8" customWidth="1"/>
    <col min="15" max="15" width="5.7109375" style="8" customWidth="1"/>
    <col min="16" max="16" width="6.7109375" style="8" hidden="1" customWidth="1"/>
    <col min="17" max="23" width="5.28515625" style="8" customWidth="1"/>
    <col min="24" max="24" width="0.5703125" style="8" customWidth="1"/>
    <col min="25" max="25" width="7.42578125" style="8" customWidth="1"/>
    <col min="26" max="26" width="7.42578125" style="18" customWidth="1"/>
    <col min="27" max="28" width="8.42578125" style="8" customWidth="1"/>
    <col min="29" max="213" width="11.42578125" style="8" customWidth="1"/>
    <col min="214" max="16384" width="9" style="8"/>
  </cols>
  <sheetData>
    <row r="1" spans="1:44" ht="9.9499999999999993" customHeight="1" x14ac:dyDescent="0.2">
      <c r="C1" s="31"/>
      <c r="J1" s="19"/>
      <c r="K1" s="19"/>
      <c r="L1" s="19"/>
      <c r="M1" s="19"/>
      <c r="N1" s="19"/>
      <c r="O1" s="19"/>
      <c r="P1" s="19"/>
      <c r="Q1" s="19"/>
      <c r="R1" s="19"/>
    </row>
    <row r="2" spans="1:44" ht="12.95" customHeight="1" x14ac:dyDescent="0.2">
      <c r="A2" s="17" t="str">
        <f>Basisdaten!A2</f>
        <v>Anlage EB P1.1 (Auditjahr 2026 / Kennzahlenjahr 2025)</v>
      </c>
      <c r="G2" s="41"/>
      <c r="J2" s="19"/>
      <c r="K2" s="19"/>
      <c r="L2" s="19"/>
      <c r="M2" s="19"/>
      <c r="N2" s="19"/>
      <c r="O2" s="19"/>
      <c r="P2" s="19"/>
      <c r="Q2" s="19"/>
      <c r="R2" s="19"/>
    </row>
    <row r="3" spans="1:44" ht="16.5" x14ac:dyDescent="0.25">
      <c r="A3" s="22" t="s">
        <v>1318</v>
      </c>
      <c r="J3" s="19"/>
      <c r="K3" s="19"/>
      <c r="L3" s="19"/>
      <c r="M3" s="19"/>
      <c r="N3" s="19"/>
      <c r="O3" s="19"/>
      <c r="P3" s="19"/>
      <c r="R3" s="20"/>
      <c r="S3" s="20"/>
      <c r="T3" s="20"/>
      <c r="U3" s="20"/>
    </row>
    <row r="4" spans="1:44" x14ac:dyDescent="0.2">
      <c r="A4" s="48" t="s">
        <v>416</v>
      </c>
      <c r="J4" s="19"/>
      <c r="K4" s="19"/>
      <c r="L4" s="19"/>
      <c r="M4" s="19"/>
      <c r="N4" s="19"/>
      <c r="O4" s="19"/>
      <c r="P4" s="19"/>
      <c r="R4" s="20"/>
      <c r="S4" s="20"/>
      <c r="T4" s="20"/>
      <c r="U4" s="20"/>
      <c r="AL4" s="42"/>
      <c r="AM4" s="42"/>
      <c r="AN4" s="42"/>
      <c r="AO4" s="42"/>
      <c r="AP4" s="42"/>
      <c r="AQ4" s="42"/>
    </row>
    <row r="5" spans="1:44" ht="15" customHeight="1" x14ac:dyDescent="0.2">
      <c r="O5" s="19"/>
      <c r="P5" s="19"/>
      <c r="AL5" s="42"/>
      <c r="AM5" s="42"/>
      <c r="AN5" s="42"/>
      <c r="AO5" s="42"/>
      <c r="AP5" s="42"/>
      <c r="AQ5" s="42"/>
    </row>
    <row r="6" spans="1:44" s="26" customFormat="1" ht="15" customHeight="1" x14ac:dyDescent="0.25">
      <c r="B6" s="29" t="s">
        <v>398</v>
      </c>
      <c r="D6" s="8"/>
      <c r="F6" s="701" t="str">
        <f>IF(Basisdaten!B8=0,"",Basisdaten!B8)</f>
        <v/>
      </c>
      <c r="G6" s="870"/>
      <c r="H6" s="871"/>
      <c r="I6" s="871"/>
      <c r="J6" s="871"/>
      <c r="K6" s="871"/>
      <c r="L6" s="871"/>
      <c r="M6" s="871"/>
      <c r="N6" s="871"/>
      <c r="O6" s="804"/>
      <c r="P6" s="804"/>
      <c r="Q6" s="804"/>
      <c r="R6" s="804"/>
      <c r="S6" s="804"/>
      <c r="T6" s="804"/>
      <c r="U6" s="804"/>
      <c r="V6" s="804"/>
      <c r="W6" s="805"/>
      <c r="Z6" s="17"/>
      <c r="AL6" s="42"/>
      <c r="AM6" s="42"/>
      <c r="AN6" s="42"/>
      <c r="AO6" s="42"/>
      <c r="AP6" s="42"/>
      <c r="AQ6" s="42"/>
    </row>
    <row r="7" spans="1:44" s="26" customFormat="1" ht="6.95" customHeight="1" x14ac:dyDescent="0.2">
      <c r="B7" s="10"/>
      <c r="C7" s="25"/>
      <c r="D7" s="8"/>
      <c r="E7" s="8"/>
      <c r="F7" s="8"/>
      <c r="G7" s="8"/>
      <c r="H7" s="23"/>
      <c r="I7" s="24"/>
      <c r="J7" s="24"/>
      <c r="K7" s="24"/>
      <c r="AL7" s="42"/>
      <c r="AM7" s="42"/>
      <c r="AN7" s="42"/>
      <c r="AO7" s="42"/>
      <c r="AP7" s="42"/>
      <c r="AQ7" s="42"/>
    </row>
    <row r="8" spans="1:44" s="26" customFormat="1" ht="15" customHeight="1" x14ac:dyDescent="0.25">
      <c r="B8" s="27" t="s">
        <v>346</v>
      </c>
      <c r="C8" s="28"/>
      <c r="D8" s="8"/>
      <c r="F8" s="872" t="str">
        <f>IF(Basisdaten!B6=0,"",Basisdaten!B6)</f>
        <v/>
      </c>
      <c r="G8" s="873"/>
      <c r="H8" s="804"/>
      <c r="I8" s="804"/>
      <c r="J8" s="805"/>
      <c r="Q8" s="9" t="s">
        <v>344</v>
      </c>
      <c r="T8" s="874" t="str">
        <f>IF(Basisdaten!G12=0,"",Basisdaten!G12)</f>
        <v/>
      </c>
      <c r="U8" s="875"/>
      <c r="V8" s="875"/>
      <c r="W8" s="805"/>
      <c r="AL8" s="42"/>
      <c r="AM8" s="42"/>
      <c r="AN8" s="42"/>
      <c r="AO8" s="42"/>
      <c r="AP8" s="42"/>
      <c r="AQ8" s="42"/>
    </row>
    <row r="9" spans="1:44" s="26" customFormat="1" ht="6" customHeight="1" x14ac:dyDescent="0.2">
      <c r="B9" s="27"/>
      <c r="C9" s="28"/>
      <c r="D9" s="8"/>
      <c r="F9" s="8"/>
      <c r="G9" s="8"/>
      <c r="H9" s="30"/>
      <c r="J9" s="24"/>
      <c r="K9" s="24"/>
      <c r="L9" s="8"/>
      <c r="M9" s="8"/>
      <c r="Z9" s="17"/>
      <c r="AL9" s="42"/>
      <c r="AM9" s="42"/>
      <c r="AN9" s="42"/>
      <c r="AO9" s="42"/>
      <c r="AP9" s="42"/>
      <c r="AQ9" s="42"/>
    </row>
    <row r="10" spans="1:44" ht="6" customHeight="1" x14ac:dyDescent="0.2">
      <c r="I10" s="26"/>
      <c r="AL10" s="42"/>
      <c r="AM10" s="42"/>
      <c r="AN10" s="42"/>
      <c r="AO10" s="42"/>
      <c r="AP10" s="42"/>
      <c r="AQ10" s="42"/>
    </row>
    <row r="11" spans="1:44" ht="7.5" customHeight="1" x14ac:dyDescent="0.2">
      <c r="A11" s="884"/>
      <c r="B11" s="884"/>
      <c r="C11" s="884"/>
      <c r="D11" s="884"/>
      <c r="E11" s="884"/>
      <c r="F11" s="884"/>
      <c r="G11" s="884"/>
      <c r="H11" s="884"/>
      <c r="I11" s="884"/>
      <c r="J11" s="884"/>
      <c r="K11" s="884"/>
      <c r="L11" s="884"/>
      <c r="M11" s="884"/>
      <c r="N11" s="884"/>
      <c r="O11" s="884"/>
      <c r="P11" s="884"/>
      <c r="Q11" s="884"/>
      <c r="R11" s="884"/>
      <c r="S11" s="884"/>
      <c r="T11" s="884"/>
      <c r="U11" s="884"/>
      <c r="V11" s="884"/>
      <c r="W11" s="884"/>
      <c r="X11" s="884"/>
      <c r="Y11" s="884"/>
      <c r="Z11" s="884"/>
      <c r="AL11" s="42"/>
      <c r="AM11" s="42"/>
      <c r="AN11" s="42"/>
      <c r="AO11" s="42"/>
      <c r="AP11" s="42"/>
      <c r="AQ11" s="42"/>
    </row>
    <row r="12" spans="1:44" ht="15" x14ac:dyDescent="0.25">
      <c r="A12" s="32" t="s">
        <v>358</v>
      </c>
    </row>
    <row r="13" spans="1:44" ht="11.25" customHeight="1" x14ac:dyDescent="0.25">
      <c r="B13" s="876" t="str">
        <f>IF(OR(B14="",B14="Matrix kann eingereicht werden"),"In Ordnung",IF(B14="die inkorrekten und unvollständigen Einträge beheben","Nicht in Ordnung"))</f>
        <v>In Ordnung</v>
      </c>
      <c r="C13" s="876"/>
      <c r="D13" s="877"/>
      <c r="E13" s="877"/>
      <c r="F13" s="877"/>
      <c r="G13" s="878" t="s">
        <v>345</v>
      </c>
      <c r="H13" s="879"/>
      <c r="I13" s="879"/>
      <c r="J13" s="879"/>
      <c r="K13" s="879"/>
      <c r="L13" s="880" t="s">
        <v>294</v>
      </c>
      <c r="M13" s="881"/>
      <c r="N13" s="881"/>
      <c r="O13" s="881"/>
      <c r="P13" s="881"/>
      <c r="Q13" s="881"/>
      <c r="R13" s="881"/>
      <c r="S13" s="882" t="s">
        <v>353</v>
      </c>
      <c r="T13" s="883"/>
      <c r="U13" s="883"/>
      <c r="V13" s="883"/>
      <c r="W13" s="882" t="s">
        <v>443</v>
      </c>
      <c r="X13" s="879"/>
      <c r="Y13" s="879"/>
      <c r="Z13" s="879"/>
    </row>
    <row r="14" spans="1:44" ht="20.25" customHeight="1" x14ac:dyDescent="0.25">
      <c r="B14" s="891" t="str">
        <f>Berechnung2!B6</f>
        <v/>
      </c>
      <c r="C14" s="891"/>
      <c r="D14" s="892"/>
      <c r="E14" s="892"/>
      <c r="F14" s="892"/>
      <c r="G14" s="893">
        <f>Berechnung2!C6</f>
        <v>0</v>
      </c>
      <c r="H14" s="894"/>
      <c r="I14" s="894"/>
      <c r="J14" s="894"/>
      <c r="K14" s="894"/>
      <c r="L14" s="895">
        <f>Berechnung2!D6</f>
        <v>0</v>
      </c>
      <c r="M14" s="896"/>
      <c r="N14" s="896"/>
      <c r="O14" s="896"/>
      <c r="P14" s="896"/>
      <c r="Q14" s="896"/>
      <c r="R14" s="896"/>
      <c r="S14" s="897">
        <f>Berechnung2!E6</f>
        <v>0</v>
      </c>
      <c r="T14" s="898"/>
      <c r="U14" s="898"/>
      <c r="V14" s="898"/>
      <c r="W14" s="897">
        <f>Berechnung2!F6</f>
        <v>0</v>
      </c>
      <c r="X14" s="894"/>
      <c r="Y14" s="894"/>
      <c r="Z14" s="894"/>
    </row>
    <row r="15" spans="1:44" s="26" customFormat="1" ht="5.25" customHeight="1" x14ac:dyDescent="0.2">
      <c r="B15" s="10"/>
      <c r="C15" s="16"/>
      <c r="D15" s="16"/>
      <c r="E15" s="16"/>
      <c r="F15" s="16"/>
      <c r="G15" s="16"/>
      <c r="Z15" s="17"/>
      <c r="AO15" s="42"/>
      <c r="AP15" s="42"/>
      <c r="AQ15" s="42"/>
      <c r="AR15" s="42"/>
    </row>
    <row r="16" spans="1:44" s="26" customFormat="1" ht="6" customHeight="1" x14ac:dyDescent="0.2">
      <c r="B16" s="10"/>
      <c r="C16" s="16"/>
      <c r="D16" s="16"/>
      <c r="E16" s="16"/>
      <c r="F16" s="16"/>
      <c r="G16" s="16"/>
      <c r="Z16" s="17"/>
      <c r="AO16" s="42"/>
      <c r="AP16" s="42"/>
      <c r="AQ16" s="42"/>
      <c r="AR16" s="42"/>
    </row>
    <row r="17" spans="1:44" s="26" customFormat="1" ht="4.5" customHeight="1" x14ac:dyDescent="0.2">
      <c r="B17" s="10"/>
      <c r="C17" s="16"/>
      <c r="D17" s="16"/>
      <c r="E17" s="16"/>
      <c r="F17" s="16"/>
      <c r="G17" s="16"/>
      <c r="Z17" s="17"/>
      <c r="AO17" s="42"/>
      <c r="AP17" s="42"/>
      <c r="AQ17" s="42"/>
      <c r="AR17" s="42"/>
    </row>
    <row r="18" spans="1:44" s="26" customFormat="1" ht="6" customHeight="1" thickBot="1" x14ac:dyDescent="0.25">
      <c r="B18" s="10"/>
      <c r="C18" s="16"/>
      <c r="D18" s="16"/>
      <c r="E18" s="16"/>
      <c r="F18" s="16"/>
      <c r="G18" s="16"/>
      <c r="Z18" s="17"/>
      <c r="AO18" s="42"/>
      <c r="AP18" s="42"/>
      <c r="AQ18" s="42"/>
      <c r="AR18" s="42"/>
    </row>
    <row r="19" spans="1:44" ht="24" customHeight="1" thickTop="1" thickBot="1" x14ac:dyDescent="0.3">
      <c r="A19" s="49"/>
      <c r="B19" s="50"/>
      <c r="C19" s="885" t="s">
        <v>417</v>
      </c>
      <c r="D19" s="886"/>
      <c r="E19" s="886"/>
      <c r="F19" s="886"/>
      <c r="G19" s="886"/>
      <c r="H19" s="351"/>
      <c r="I19" s="887" t="s">
        <v>350</v>
      </c>
      <c r="J19" s="888"/>
      <c r="K19" s="888"/>
      <c r="L19" s="888"/>
      <c r="M19" s="888"/>
      <c r="N19" s="888"/>
      <c r="O19" s="888"/>
      <c r="P19" s="888"/>
      <c r="Q19" s="888"/>
      <c r="R19" s="888"/>
      <c r="S19" s="888"/>
      <c r="T19" s="888"/>
      <c r="U19" s="888"/>
      <c r="V19" s="888"/>
      <c r="W19" s="889"/>
      <c r="X19" s="350"/>
      <c r="Y19" s="887" t="s">
        <v>1436</v>
      </c>
      <c r="Z19" s="890"/>
      <c r="AL19" s="42"/>
      <c r="AM19" s="42"/>
      <c r="AN19" s="42"/>
      <c r="AO19" s="42"/>
      <c r="AP19" s="42"/>
      <c r="AQ19" s="42"/>
    </row>
    <row r="20" spans="1:44" ht="15.75" customHeight="1" thickBot="1" x14ac:dyDescent="0.25">
      <c r="A20" s="51" t="s">
        <v>393</v>
      </c>
      <c r="B20" s="51" t="s">
        <v>282</v>
      </c>
      <c r="C20" s="285" t="s">
        <v>295</v>
      </c>
      <c r="D20" s="1" t="s">
        <v>296</v>
      </c>
      <c r="E20" s="1" t="s">
        <v>297</v>
      </c>
      <c r="F20" s="1" t="s">
        <v>298</v>
      </c>
      <c r="G20" s="1" t="s">
        <v>299</v>
      </c>
      <c r="H20" s="352"/>
      <c r="I20" s="285" t="s">
        <v>300</v>
      </c>
      <c r="J20" s="312" t="s">
        <v>348</v>
      </c>
      <c r="K20" s="312" t="s">
        <v>418</v>
      </c>
      <c r="L20" s="312" t="s">
        <v>349</v>
      </c>
      <c r="M20" s="312" t="s">
        <v>419</v>
      </c>
      <c r="N20" s="348"/>
      <c r="O20" s="285" t="s">
        <v>301</v>
      </c>
      <c r="P20" s="312" t="s">
        <v>302</v>
      </c>
      <c r="Q20" s="312" t="s">
        <v>303</v>
      </c>
      <c r="R20" s="312" t="s">
        <v>338</v>
      </c>
      <c r="S20" s="312" t="s">
        <v>420</v>
      </c>
      <c r="T20" s="312" t="s">
        <v>304</v>
      </c>
      <c r="U20" s="312" t="s">
        <v>305</v>
      </c>
      <c r="V20" s="312" t="s">
        <v>306</v>
      </c>
      <c r="W20" s="312" t="s">
        <v>307</v>
      </c>
      <c r="X20" s="349"/>
      <c r="Y20" s="285" t="s">
        <v>308</v>
      </c>
      <c r="Z20" s="313" t="s">
        <v>309</v>
      </c>
      <c r="AL20" s="42"/>
      <c r="AM20" s="42"/>
      <c r="AN20" s="42"/>
      <c r="AO20" s="42"/>
      <c r="AP20" s="42"/>
      <c r="AQ20" s="42"/>
    </row>
    <row r="21" spans="1:44" ht="128.25" customHeight="1" thickBot="1" x14ac:dyDescent="0.25">
      <c r="A21" s="866" t="s">
        <v>333</v>
      </c>
      <c r="B21" s="866" t="s">
        <v>445</v>
      </c>
      <c r="C21" s="868" t="s">
        <v>1306</v>
      </c>
      <c r="D21" s="868" t="s">
        <v>694</v>
      </c>
      <c r="E21" s="868" t="s">
        <v>695</v>
      </c>
      <c r="F21" s="868" t="s">
        <v>696</v>
      </c>
      <c r="G21" s="868" t="s">
        <v>697</v>
      </c>
      <c r="H21" s="352"/>
      <c r="I21" s="868" t="s">
        <v>1307</v>
      </c>
      <c r="J21" s="919" t="s">
        <v>698</v>
      </c>
      <c r="K21" s="919" t="s">
        <v>699</v>
      </c>
      <c r="L21" s="919" t="s">
        <v>700</v>
      </c>
      <c r="M21" s="916" t="s">
        <v>421</v>
      </c>
      <c r="N21" s="349"/>
      <c r="O21" s="914" t="s">
        <v>1434</v>
      </c>
      <c r="P21" s="921" t="s">
        <v>88</v>
      </c>
      <c r="Q21" s="923" t="s">
        <v>1308</v>
      </c>
      <c r="R21" s="304" t="s">
        <v>422</v>
      </c>
      <c r="S21" s="304" t="s">
        <v>423</v>
      </c>
      <c r="T21" s="304" t="s">
        <v>424</v>
      </c>
      <c r="U21" s="914" t="s">
        <v>1435</v>
      </c>
      <c r="V21" s="924" t="s">
        <v>82</v>
      </c>
      <c r="W21" s="914" t="s">
        <v>112</v>
      </c>
      <c r="X21" s="349"/>
      <c r="Y21" s="912" t="s">
        <v>310</v>
      </c>
      <c r="Z21" s="908" t="s">
        <v>289</v>
      </c>
      <c r="AL21" s="42"/>
      <c r="AM21" s="42"/>
      <c r="AN21" s="42"/>
      <c r="AO21" s="42"/>
      <c r="AP21" s="42"/>
      <c r="AQ21" s="42"/>
    </row>
    <row r="22" spans="1:44" ht="33" customHeight="1" thickBot="1" x14ac:dyDescent="0.25">
      <c r="A22" s="867"/>
      <c r="B22" s="867"/>
      <c r="C22" s="869"/>
      <c r="D22" s="869"/>
      <c r="E22" s="869"/>
      <c r="F22" s="869"/>
      <c r="G22" s="869"/>
      <c r="H22" s="352"/>
      <c r="I22" s="918"/>
      <c r="J22" s="920"/>
      <c r="K22" s="920"/>
      <c r="L22" s="920"/>
      <c r="M22" s="917"/>
      <c r="N22" s="349"/>
      <c r="O22" s="915"/>
      <c r="P22" s="922"/>
      <c r="Q22" s="918"/>
      <c r="R22" s="910" t="s">
        <v>311</v>
      </c>
      <c r="S22" s="910"/>
      <c r="T22" s="910"/>
      <c r="U22" s="915"/>
      <c r="V22" s="925"/>
      <c r="W22" s="915"/>
      <c r="X22" s="349"/>
      <c r="Y22" s="913"/>
      <c r="Z22" s="909"/>
      <c r="AL22" s="42"/>
      <c r="AM22" s="42"/>
      <c r="AN22" s="42"/>
      <c r="AO22" s="42"/>
      <c r="AP22" s="42"/>
      <c r="AQ22" s="42"/>
    </row>
    <row r="23" spans="1:44" ht="20.100000000000001" customHeight="1" thickBot="1" x14ac:dyDescent="0.25">
      <c r="A23" s="69" t="str">
        <f>IF(Datenquelle!$F$3&gt;6,IF(Datenquelle!$F$3=7,"EZ",IF(Datenquelle!$F$3&gt;7,"relevant","?")),"nicht relevant")</f>
        <v>nicht relevant</v>
      </c>
      <c r="B23" s="68">
        <v>2019</v>
      </c>
      <c r="C23" s="302">
        <f t="shared" ref="C23:C28" si="0">SUM(D23:G23)</f>
        <v>0</v>
      </c>
      <c r="D23" s="74"/>
      <c r="E23" s="74"/>
      <c r="F23" s="74"/>
      <c r="G23" s="74"/>
      <c r="H23" s="352"/>
      <c r="I23" s="289" t="str">
        <f>IF(SUM(J23:L23)=0,"",SUM(J23:L23))</f>
        <v/>
      </c>
      <c r="J23" s="74"/>
      <c r="K23" s="74"/>
      <c r="L23" s="74"/>
      <c r="M23" s="291" t="str">
        <f>IF(I23="","",IF(I23&gt;0,SUM(J23:K23) /I23,0))</f>
        <v/>
      </c>
      <c r="N23" s="349"/>
      <c r="O23" s="289" t="str">
        <f>IF(COUNTA(Q23:W23)&lt;7,"",SUM(J23+K23-Q23-V23-W23-U23))</f>
        <v/>
      </c>
      <c r="P23" s="52" t="str">
        <f>IF(AND(COUNTA(J23:K23)&gt;0,O23&lt;&gt;"",SUM(J23:K23)&gt;0),O23 /(J23+K23),"")</f>
        <v/>
      </c>
      <c r="Q23" s="74"/>
      <c r="R23" s="74"/>
      <c r="S23" s="74"/>
      <c r="T23" s="74"/>
      <c r="U23" s="74"/>
      <c r="V23" s="74"/>
      <c r="W23" s="74"/>
      <c r="X23" s="349"/>
      <c r="Y23" s="115"/>
      <c r="Z23" s="116"/>
      <c r="AL23" s="42"/>
      <c r="AM23" s="42"/>
      <c r="AN23" s="42"/>
      <c r="AO23" s="42"/>
      <c r="AP23" s="42"/>
      <c r="AQ23" s="42"/>
    </row>
    <row r="24" spans="1:44" s="16" customFormat="1" ht="20.100000000000001" customHeight="1" thickBot="1" x14ac:dyDescent="0.25">
      <c r="A24" s="70" t="str">
        <f>IF(Datenquelle!$F$3&gt;5,IF(Datenquelle!$F$3=6,"EZ",IF(Datenquelle!$F$3&gt;6,"relevant","?")),"nicht relevant")</f>
        <v>nicht relevant</v>
      </c>
      <c r="B24" s="66">
        <v>2020</v>
      </c>
      <c r="C24" s="302">
        <f t="shared" si="0"/>
        <v>0</v>
      </c>
      <c r="D24" s="74"/>
      <c r="E24" s="74"/>
      <c r="F24" s="74"/>
      <c r="G24" s="74"/>
      <c r="H24" s="352"/>
      <c r="I24" s="289" t="str">
        <f>IF(SUM(J24:L24)=0,"",SUM(J24:L24))</f>
        <v/>
      </c>
      <c r="J24" s="74"/>
      <c r="K24" s="74"/>
      <c r="L24" s="74"/>
      <c r="M24" s="292" t="str">
        <f>IF(I24="","",IF(I24&gt;0,SUM(J24:K24) /I24,0))</f>
        <v/>
      </c>
      <c r="N24" s="349"/>
      <c r="O24" s="289" t="str">
        <f>IF(COUNTA(Q24:W24)&lt;7,"",SUM(J24+K24-Q24-V24-W24-U24))</f>
        <v/>
      </c>
      <c r="P24" s="52" t="str">
        <f>IF(AND(COUNTA(J24:K24)&gt;0,O24&lt;&gt;"",SUM(J24:K24)&gt;0),O24 /(J24+K24),"")</f>
        <v/>
      </c>
      <c r="Q24" s="74"/>
      <c r="R24" s="74"/>
      <c r="S24" s="74"/>
      <c r="T24" s="74"/>
      <c r="U24" s="74"/>
      <c r="V24" s="74"/>
      <c r="W24" s="74"/>
      <c r="X24" s="349"/>
      <c r="Y24" s="115"/>
      <c r="Z24" s="116"/>
      <c r="AL24" s="42"/>
      <c r="AM24" s="42"/>
      <c r="AN24" s="42"/>
      <c r="AO24" s="42"/>
      <c r="AP24" s="42"/>
      <c r="AQ24" s="42"/>
    </row>
    <row r="25" spans="1:44" s="16" customFormat="1" ht="20.100000000000001" customHeight="1" thickBot="1" x14ac:dyDescent="0.25">
      <c r="A25" s="70" t="str">
        <f>IF(Datenquelle!$F$3&gt;4,IF(Datenquelle!$F$3=5,"EZ",IF(Datenquelle!$F$3&gt;5,"relevant","?")),"nicht relevant")</f>
        <v>nicht relevant</v>
      </c>
      <c r="B25" s="66">
        <v>2021</v>
      </c>
      <c r="C25" s="302">
        <f t="shared" si="0"/>
        <v>0</v>
      </c>
      <c r="D25" s="74"/>
      <c r="E25" s="74"/>
      <c r="F25" s="74"/>
      <c r="G25" s="74"/>
      <c r="H25" s="352"/>
      <c r="I25" s="289" t="str">
        <f>IF(SUM(J25:L25)=0,"",SUM(J25:L25))</f>
        <v/>
      </c>
      <c r="J25" s="74"/>
      <c r="K25" s="74"/>
      <c r="L25" s="74"/>
      <c r="M25" s="292" t="str">
        <f>IF(I25="","",IF(I25&gt;0,SUM(J25:K25) /I25,0))</f>
        <v/>
      </c>
      <c r="N25" s="349"/>
      <c r="O25" s="289" t="str">
        <f>IF(COUNTA(Q25:W25)&lt;7,"",SUM(J25+K25-Q25-V25-W25-U25))</f>
        <v/>
      </c>
      <c r="P25" s="52" t="str">
        <f>IF(AND(COUNTA(J25:K25)&gt;0,O25&lt;&gt;"",SUM(J25:K25)&gt;0),O25 /(J25+K25),"")</f>
        <v/>
      </c>
      <c r="Q25" s="74"/>
      <c r="R25" s="74"/>
      <c r="S25" s="74"/>
      <c r="T25" s="74"/>
      <c r="U25" s="74"/>
      <c r="V25" s="74"/>
      <c r="W25" s="74"/>
      <c r="X25" s="349"/>
      <c r="Y25" s="115"/>
      <c r="Z25" s="116"/>
      <c r="AL25" s="42"/>
      <c r="AM25" s="42"/>
      <c r="AN25" s="42"/>
      <c r="AO25" s="42"/>
      <c r="AP25" s="42"/>
      <c r="AQ25" s="42"/>
    </row>
    <row r="26" spans="1:44" s="16" customFormat="1" ht="20.100000000000001" customHeight="1" thickBot="1" x14ac:dyDescent="0.25">
      <c r="A26" s="70" t="str">
        <f>IF(Datenquelle!$F$3&gt;3,IF(Datenquelle!$F$3=4,"EZ",IF(Datenquelle!$F$3&gt;4,"relevant","?")),"nicht relevant")</f>
        <v>nicht relevant</v>
      </c>
      <c r="B26" s="66">
        <v>2022</v>
      </c>
      <c r="C26" s="302">
        <f t="shared" si="0"/>
        <v>0</v>
      </c>
      <c r="D26" s="74"/>
      <c r="E26" s="74"/>
      <c r="F26" s="74"/>
      <c r="G26" s="74"/>
      <c r="H26" s="352"/>
      <c r="I26" s="289" t="str">
        <f>IF(SUM(J26:L26)=0,"",SUM(J26:L26))</f>
        <v/>
      </c>
      <c r="J26" s="74"/>
      <c r="K26" s="74"/>
      <c r="L26" s="74"/>
      <c r="M26" s="292" t="str">
        <f>IF(I26="","",IF(I26&gt;0,SUM(J26:K26) /I26,0))</f>
        <v/>
      </c>
      <c r="N26" s="349"/>
      <c r="O26" s="289" t="str">
        <f>IF(COUNTA(Q26:W26)&lt;7,"",SUM(J26+K26-Q26-V26-W26-U26))</f>
        <v/>
      </c>
      <c r="P26" s="52" t="str">
        <f>IF(AND(COUNTA(J26:K26)&gt;0,O26&lt;&gt;"",SUM(J26:K26)&gt;0),O26 /(J26+K26),"")</f>
        <v/>
      </c>
      <c r="Q26" s="74"/>
      <c r="R26" s="74"/>
      <c r="S26" s="74"/>
      <c r="T26" s="74"/>
      <c r="U26" s="74"/>
      <c r="V26" s="74"/>
      <c r="W26" s="74"/>
      <c r="X26" s="349"/>
      <c r="Y26" s="115"/>
      <c r="Z26" s="116"/>
      <c r="AA26" s="40"/>
      <c r="AB26" s="40"/>
      <c r="AL26" s="42"/>
      <c r="AM26" s="42"/>
      <c r="AN26" s="42"/>
      <c r="AO26" s="42"/>
      <c r="AP26" s="42"/>
      <c r="AQ26" s="42"/>
    </row>
    <row r="27" spans="1:44" s="16" customFormat="1" ht="20.100000000000001" customHeight="1" thickBot="1" x14ac:dyDescent="0.25">
      <c r="A27" s="71" t="str">
        <f>IF(Datenquelle!$F$3&gt;2,IF(Datenquelle!$F$3=3,"EZ",IF(Datenquelle!$F$3&gt;3,"relevant","?")),"nicht relevant")</f>
        <v>nicht relevant</v>
      </c>
      <c r="B27" s="67">
        <v>2023</v>
      </c>
      <c r="C27" s="60">
        <f t="shared" si="0"/>
        <v>0</v>
      </c>
      <c r="D27" s="75"/>
      <c r="E27" s="75"/>
      <c r="F27" s="75"/>
      <c r="G27" s="75"/>
      <c r="H27" s="352"/>
      <c r="I27" s="289" t="str">
        <f>IF(SUM(J27:L27)=0,"",SUM(J27:L27))</f>
        <v/>
      </c>
      <c r="J27" s="74"/>
      <c r="K27" s="74"/>
      <c r="L27" s="74"/>
      <c r="M27" s="292" t="str">
        <f>IF(I27="","",IF(I27&gt;0,SUM(J27:K27) /I27,0))</f>
        <v/>
      </c>
      <c r="N27" s="349"/>
      <c r="O27" s="289" t="str">
        <f>IF(COUNTA(Q27:W27)&lt;7,"",SUM(J27+K27-Q27-V27-W27-U27))</f>
        <v/>
      </c>
      <c r="P27" s="52" t="str">
        <f>IF(AND(COUNTA(J27:K27)&gt;0,O27&lt;&gt;"",SUM(J27:K27)&gt;0),O27 /(J27+K27),"")</f>
        <v/>
      </c>
      <c r="Q27" s="74"/>
      <c r="R27" s="74"/>
      <c r="S27" s="74"/>
      <c r="T27" s="74"/>
      <c r="U27" s="74"/>
      <c r="V27" s="74"/>
      <c r="W27" s="74"/>
      <c r="X27" s="349"/>
      <c r="Y27" s="115"/>
      <c r="Z27" s="116"/>
      <c r="AL27" s="42"/>
      <c r="AM27" s="42"/>
      <c r="AN27" s="42"/>
      <c r="AO27" s="42"/>
      <c r="AP27" s="42"/>
      <c r="AQ27" s="42"/>
    </row>
    <row r="28" spans="1:44" s="16" customFormat="1" ht="20.100000000000001" customHeight="1" thickBot="1" x14ac:dyDescent="0.25">
      <c r="A28" s="71" t="str">
        <f>IF(Datenquelle!$F$3&gt;1,IF(Datenquelle!$F$3=2,"EZ",IF(Datenquelle!$F$3&gt;2,"relevant","?")),"nicht relevant")</f>
        <v>nicht relevant</v>
      </c>
      <c r="B28" s="67" t="s">
        <v>1491</v>
      </c>
      <c r="C28" s="455">
        <f t="shared" si="0"/>
        <v>0</v>
      </c>
      <c r="D28" s="75"/>
      <c r="E28" s="75"/>
      <c r="F28" s="75"/>
      <c r="G28" s="75"/>
      <c r="H28" s="352"/>
      <c r="I28" s="911"/>
      <c r="J28" s="911"/>
      <c r="K28" s="911"/>
      <c r="L28" s="911"/>
      <c r="M28" s="911"/>
      <c r="N28" s="458"/>
      <c r="O28" s="911"/>
      <c r="P28" s="911"/>
      <c r="Q28" s="911"/>
      <c r="R28" s="911"/>
      <c r="S28" s="911"/>
      <c r="T28" s="911"/>
      <c r="U28" s="911"/>
      <c r="V28" s="911"/>
      <c r="W28" s="911"/>
      <c r="X28" s="458"/>
      <c r="Y28" s="906"/>
      <c r="Z28" s="907"/>
      <c r="AA28" s="46"/>
      <c r="AB28" s="46"/>
      <c r="AL28" s="42"/>
      <c r="AM28" s="42"/>
      <c r="AN28" s="42"/>
      <c r="AO28" s="42"/>
      <c r="AP28" s="42"/>
      <c r="AQ28" s="42"/>
    </row>
    <row r="29" spans="1:44" s="16" customFormat="1" ht="20.100000000000001" customHeight="1" thickBot="1" x14ac:dyDescent="0.25">
      <c r="A29" s="77" t="str">
        <f>IF(Datenquelle!$F$3&gt;0,IF(Datenquelle!$F$3=1,"EZ",IF(Datenquelle!$F$3&gt;1,"relevant","?")),"nicht relevant")</f>
        <v>nicht relevant</v>
      </c>
      <c r="B29" s="78" t="s">
        <v>1818</v>
      </c>
      <c r="C29" s="79">
        <f t="shared" ref="C29" si="1">SUM(D29:G29)</f>
        <v>0</v>
      </c>
      <c r="D29" s="80"/>
      <c r="E29" s="80"/>
      <c r="F29" s="80"/>
      <c r="G29" s="80"/>
      <c r="H29" s="456"/>
      <c r="I29" s="926"/>
      <c r="J29" s="926"/>
      <c r="K29" s="926"/>
      <c r="L29" s="926"/>
      <c r="M29" s="926"/>
      <c r="N29" s="457"/>
      <c r="O29" s="926"/>
      <c r="P29" s="926"/>
      <c r="Q29" s="926"/>
      <c r="R29" s="926"/>
      <c r="S29" s="926"/>
      <c r="T29" s="926"/>
      <c r="U29" s="926"/>
      <c r="V29" s="926"/>
      <c r="W29" s="926"/>
      <c r="X29" s="457"/>
      <c r="Y29" s="945"/>
      <c r="Z29" s="946"/>
      <c r="AA29" s="46"/>
      <c r="AB29" s="46"/>
      <c r="AL29" s="42"/>
      <c r="AM29" s="42"/>
      <c r="AN29" s="42"/>
      <c r="AO29" s="42"/>
      <c r="AP29" s="42"/>
      <c r="AQ29" s="42"/>
    </row>
    <row r="30" spans="1:44" ht="3" customHeight="1" thickTop="1" x14ac:dyDescent="0.25">
      <c r="A30"/>
      <c r="B30"/>
      <c r="C30"/>
      <c r="D30"/>
      <c r="E30"/>
      <c r="F30"/>
      <c r="G30"/>
      <c r="H30"/>
      <c r="I30"/>
      <c r="J30"/>
      <c r="K30"/>
      <c r="L30"/>
      <c r="M30"/>
      <c r="N30"/>
      <c r="O30"/>
      <c r="P30"/>
      <c r="Q30"/>
      <c r="R30"/>
      <c r="S30"/>
      <c r="T30"/>
      <c r="U30"/>
      <c r="V30"/>
      <c r="W30"/>
      <c r="X30"/>
      <c r="Y30"/>
      <c r="Z30"/>
      <c r="AL30" s="42"/>
      <c r="AM30" s="42"/>
      <c r="AN30" s="42"/>
      <c r="AO30" s="42"/>
      <c r="AP30" s="42"/>
      <c r="AQ30" s="42"/>
    </row>
    <row r="31" spans="1:44" ht="15" customHeight="1" x14ac:dyDescent="0.25">
      <c r="A31"/>
      <c r="B31"/>
      <c r="C31"/>
      <c r="D31"/>
      <c r="E31"/>
      <c r="F31" s="4" t="s">
        <v>1819</v>
      </c>
      <c r="G31" s="82"/>
      <c r="H31"/>
      <c r="I31"/>
      <c r="J31"/>
      <c r="K31"/>
      <c r="L31"/>
      <c r="M31" s="294" t="str">
        <f>IF(A27="EZ","-----",IF(A27= "Nicht relevant","-----",IF(COUNTBLANK(M25:M27)=3,"",SUMIF(A25:A27,"relevant",M25:M27) /COUNTIF(A25:A27,"relevant"))))</f>
        <v>-----</v>
      </c>
      <c r="N31"/>
      <c r="O31"/>
      <c r="P31"/>
      <c r="Q31"/>
      <c r="R31"/>
      <c r="S31"/>
      <c r="T31"/>
      <c r="U31"/>
      <c r="V31"/>
      <c r="W31"/>
      <c r="X31"/>
      <c r="Y31"/>
      <c r="AL31" s="42"/>
      <c r="AM31" s="42"/>
      <c r="AN31" s="42"/>
      <c r="AO31" s="42"/>
      <c r="AP31" s="42"/>
      <c r="AQ31" s="42"/>
    </row>
    <row r="32" spans="1:44" ht="11.25" customHeight="1" x14ac:dyDescent="0.2">
      <c r="A32" s="53"/>
      <c r="B32" s="21"/>
      <c r="C32" s="21"/>
      <c r="D32" s="21"/>
      <c r="E32" s="21"/>
      <c r="F32" s="21"/>
      <c r="G32" s="21"/>
      <c r="H32" s="21"/>
      <c r="I32" s="21"/>
      <c r="J32" s="21"/>
      <c r="K32" s="21"/>
      <c r="L32" s="21"/>
      <c r="M32" s="21"/>
      <c r="N32" s="21"/>
      <c r="O32" s="21"/>
      <c r="P32" s="54"/>
      <c r="Q32" s="54"/>
      <c r="R32" s="21"/>
      <c r="S32" s="21"/>
      <c r="T32" s="21"/>
      <c r="U32" s="21"/>
      <c r="V32" s="21"/>
      <c r="W32" s="21"/>
      <c r="X32" s="21"/>
      <c r="AL32" s="42"/>
      <c r="AM32" s="42"/>
      <c r="AN32" s="42"/>
      <c r="AO32" s="42"/>
      <c r="AP32" s="42"/>
      <c r="AQ32" s="42"/>
    </row>
    <row r="33" spans="1:27" s="11" customFormat="1" ht="14.1" customHeight="1" x14ac:dyDescent="0.2">
      <c r="A33" s="864" t="s">
        <v>701</v>
      </c>
      <c r="B33" s="864"/>
      <c r="C33" s="864"/>
      <c r="D33" s="864"/>
      <c r="E33" s="864"/>
      <c r="F33" s="864"/>
      <c r="G33" s="864"/>
      <c r="H33" s="864"/>
      <c r="I33" s="864"/>
      <c r="J33" s="864"/>
      <c r="K33" s="864"/>
      <c r="L33" s="864"/>
      <c r="M33" s="864"/>
      <c r="N33" s="864"/>
      <c r="O33" s="864"/>
      <c r="P33" s="864"/>
      <c r="Q33" s="864"/>
      <c r="R33" s="864"/>
      <c r="S33" s="864"/>
      <c r="T33" s="864"/>
      <c r="U33" s="864"/>
      <c r="V33" s="864"/>
      <c r="W33" s="864"/>
      <c r="X33" s="864"/>
      <c r="Y33" s="864"/>
      <c r="Z33" s="864"/>
    </row>
    <row r="34" spans="1:27" s="11" customFormat="1" ht="14.1" customHeight="1" x14ac:dyDescent="0.2">
      <c r="A34" s="864" t="s">
        <v>1309</v>
      </c>
      <c r="B34" s="864"/>
      <c r="C34" s="864"/>
      <c r="D34" s="864"/>
      <c r="E34" s="864"/>
      <c r="F34" s="864"/>
      <c r="G34" s="864"/>
      <c r="H34" s="864"/>
      <c r="I34" s="864"/>
      <c r="J34" s="864"/>
      <c r="K34" s="864"/>
      <c r="L34" s="864"/>
      <c r="M34" s="864"/>
      <c r="N34" s="864"/>
      <c r="O34" s="864"/>
      <c r="P34" s="864"/>
      <c r="Q34" s="864"/>
      <c r="R34" s="864"/>
      <c r="S34" s="864"/>
      <c r="T34" s="864"/>
      <c r="U34" s="864"/>
      <c r="V34" s="864"/>
      <c r="W34" s="864"/>
      <c r="X34" s="864"/>
      <c r="Y34" s="864"/>
      <c r="Z34" s="864"/>
    </row>
    <row r="35" spans="1:27" s="11" customFormat="1" ht="23.25" customHeight="1" x14ac:dyDescent="0.2">
      <c r="A35" s="865" t="s">
        <v>1310</v>
      </c>
      <c r="B35" s="865"/>
      <c r="C35" s="865"/>
      <c r="D35" s="865"/>
      <c r="E35" s="865"/>
      <c r="F35" s="865"/>
      <c r="G35" s="865"/>
      <c r="H35" s="865"/>
      <c r="I35" s="865"/>
      <c r="J35" s="865"/>
      <c r="K35" s="865"/>
      <c r="L35" s="865"/>
      <c r="M35" s="865"/>
      <c r="N35" s="865"/>
      <c r="O35" s="865"/>
      <c r="P35" s="865"/>
      <c r="Q35" s="865"/>
      <c r="R35" s="865"/>
      <c r="S35" s="865"/>
      <c r="T35" s="865"/>
      <c r="U35" s="865"/>
      <c r="V35" s="865"/>
      <c r="W35" s="865"/>
      <c r="X35" s="865"/>
      <c r="Y35" s="865"/>
      <c r="Z35" s="865"/>
    </row>
    <row r="36" spans="1:27" s="11" customFormat="1" ht="24" customHeight="1" x14ac:dyDescent="0.2">
      <c r="A36" s="865" t="s">
        <v>1820</v>
      </c>
      <c r="B36" s="865"/>
      <c r="C36" s="865"/>
      <c r="D36" s="865"/>
      <c r="E36" s="865"/>
      <c r="F36" s="865"/>
      <c r="G36" s="865"/>
      <c r="H36" s="865"/>
      <c r="I36" s="865"/>
      <c r="J36" s="865"/>
      <c r="K36" s="865"/>
      <c r="L36" s="865"/>
      <c r="M36" s="865"/>
      <c r="N36" s="865"/>
      <c r="O36" s="865"/>
      <c r="P36" s="865"/>
      <c r="Q36" s="865"/>
      <c r="R36" s="865"/>
      <c r="S36" s="865"/>
      <c r="T36" s="865"/>
      <c r="U36" s="865"/>
      <c r="V36" s="865"/>
      <c r="W36" s="865"/>
      <c r="X36" s="865"/>
      <c r="Y36" s="865"/>
      <c r="Z36" s="865"/>
      <c r="AA36" s="354"/>
    </row>
    <row r="37" spans="1:27" s="11" customFormat="1" ht="14.1" customHeight="1" x14ac:dyDescent="0.2">
      <c r="A37" s="864" t="s">
        <v>702</v>
      </c>
      <c r="B37" s="864"/>
      <c r="C37" s="864"/>
      <c r="D37" s="864"/>
      <c r="E37" s="864"/>
      <c r="F37" s="864"/>
      <c r="G37" s="864"/>
      <c r="H37" s="864"/>
      <c r="I37" s="864"/>
      <c r="J37" s="864"/>
      <c r="K37" s="864"/>
      <c r="L37" s="864"/>
      <c r="M37" s="864"/>
      <c r="N37" s="864"/>
      <c r="O37" s="864"/>
      <c r="P37" s="864"/>
      <c r="Q37" s="864"/>
      <c r="R37" s="864"/>
      <c r="S37" s="864"/>
      <c r="T37" s="864"/>
      <c r="U37" s="864"/>
      <c r="V37" s="864"/>
      <c r="W37" s="864"/>
      <c r="X37" s="864"/>
      <c r="Y37" s="864"/>
      <c r="Z37" s="864"/>
    </row>
    <row r="38" spans="1:27" s="11" customFormat="1" ht="14.1" customHeight="1" x14ac:dyDescent="0.2">
      <c r="A38" s="864" t="s">
        <v>1311</v>
      </c>
      <c r="B38" s="864"/>
      <c r="C38" s="864"/>
      <c r="D38" s="864"/>
      <c r="E38" s="864"/>
      <c r="F38" s="864"/>
      <c r="G38" s="864"/>
      <c r="H38" s="864"/>
      <c r="I38" s="864"/>
      <c r="J38" s="864"/>
      <c r="K38" s="864"/>
      <c r="L38" s="864"/>
      <c r="M38" s="864"/>
      <c r="N38" s="864"/>
      <c r="O38" s="864"/>
      <c r="P38" s="864"/>
      <c r="Q38" s="864"/>
      <c r="R38" s="864"/>
      <c r="S38" s="864"/>
      <c r="T38" s="864"/>
      <c r="U38" s="864"/>
      <c r="V38" s="864"/>
      <c r="W38" s="864"/>
      <c r="X38" s="864"/>
      <c r="Y38" s="864"/>
      <c r="Z38" s="864"/>
    </row>
    <row r="39" spans="1:27" s="11" customFormat="1" ht="14.1" customHeight="1" x14ac:dyDescent="0.2">
      <c r="A39" s="864" t="s">
        <v>1312</v>
      </c>
      <c r="B39" s="864"/>
      <c r="C39" s="864"/>
      <c r="D39" s="864"/>
      <c r="E39" s="864"/>
      <c r="F39" s="864"/>
      <c r="G39" s="864"/>
      <c r="H39" s="864"/>
      <c r="I39" s="864"/>
      <c r="J39" s="864"/>
      <c r="K39" s="864"/>
      <c r="L39" s="864"/>
      <c r="M39" s="864"/>
      <c r="N39" s="864"/>
      <c r="O39" s="864"/>
      <c r="P39" s="864"/>
      <c r="Q39" s="864"/>
      <c r="R39" s="864"/>
      <c r="S39" s="864"/>
      <c r="T39" s="864"/>
      <c r="U39" s="864"/>
      <c r="V39" s="864"/>
      <c r="W39" s="864"/>
      <c r="X39" s="864"/>
      <c r="Y39" s="864"/>
      <c r="Z39" s="864"/>
    </row>
    <row r="40" spans="1:27" s="11" customFormat="1" ht="24" customHeight="1" x14ac:dyDescent="0.2">
      <c r="A40" s="863" t="s">
        <v>1428</v>
      </c>
      <c r="B40" s="863"/>
      <c r="C40" s="863"/>
      <c r="D40" s="863"/>
      <c r="E40" s="863"/>
      <c r="F40" s="863"/>
      <c r="G40" s="863"/>
      <c r="H40" s="863"/>
      <c r="I40" s="863"/>
      <c r="J40" s="863"/>
      <c r="K40" s="863"/>
      <c r="L40" s="863"/>
      <c r="M40" s="863"/>
      <c r="N40" s="863"/>
      <c r="O40" s="863"/>
      <c r="P40" s="863"/>
      <c r="Q40" s="863"/>
      <c r="R40" s="863"/>
      <c r="S40" s="863"/>
      <c r="T40" s="863"/>
      <c r="U40" s="863"/>
      <c r="V40" s="863"/>
      <c r="W40" s="863"/>
      <c r="X40" s="863"/>
      <c r="Y40" s="863"/>
      <c r="Z40" s="863"/>
      <c r="AA40" s="355"/>
    </row>
    <row r="41" spans="1:27" s="11" customFormat="1" ht="15.75" customHeight="1" x14ac:dyDescent="0.2">
      <c r="A41" s="953" t="s">
        <v>1429</v>
      </c>
      <c r="B41" s="953"/>
      <c r="C41" s="953"/>
      <c r="D41" s="953"/>
      <c r="E41" s="953"/>
      <c r="F41" s="953"/>
      <c r="G41" s="953"/>
      <c r="H41" s="953"/>
      <c r="I41" s="953"/>
      <c r="J41" s="953"/>
      <c r="K41" s="953"/>
      <c r="L41" s="953"/>
      <c r="M41" s="953"/>
      <c r="N41" s="953"/>
      <c r="O41" s="953"/>
      <c r="P41" s="953"/>
      <c r="Q41" s="953"/>
      <c r="R41" s="953"/>
      <c r="S41" s="953"/>
      <c r="T41" s="953"/>
      <c r="U41" s="953"/>
      <c r="V41" s="953"/>
      <c r="W41" s="953"/>
      <c r="X41" s="953"/>
      <c r="Y41" s="953"/>
      <c r="Z41" s="953"/>
    </row>
    <row r="42" spans="1:27" s="11" customFormat="1" ht="37.5" customHeight="1" x14ac:dyDescent="0.2">
      <c r="A42" s="952" t="s">
        <v>1430</v>
      </c>
      <c r="B42" s="952"/>
      <c r="C42" s="952"/>
      <c r="D42" s="952"/>
      <c r="E42" s="952"/>
      <c r="F42" s="952"/>
      <c r="G42" s="952"/>
      <c r="H42" s="952"/>
      <c r="I42" s="952"/>
      <c r="J42" s="952"/>
      <c r="K42" s="952"/>
      <c r="L42" s="952"/>
      <c r="M42" s="952"/>
      <c r="N42" s="952"/>
      <c r="O42" s="952"/>
      <c r="P42" s="952"/>
      <c r="Q42" s="952"/>
      <c r="R42" s="952"/>
      <c r="S42" s="952"/>
      <c r="T42" s="952"/>
      <c r="U42" s="952"/>
      <c r="V42" s="952"/>
      <c r="W42" s="952"/>
      <c r="X42" s="952"/>
      <c r="Y42" s="952"/>
      <c r="Z42" s="952"/>
    </row>
    <row r="43" spans="1:27" s="11" customFormat="1" ht="14.1" customHeight="1" x14ac:dyDescent="0.2">
      <c r="A43" s="72" t="s">
        <v>343</v>
      </c>
      <c r="Z43" s="4"/>
    </row>
    <row r="44" spans="1:27" s="11" customFormat="1" ht="14.1" customHeight="1" x14ac:dyDescent="0.2">
      <c r="A44" s="35" t="s">
        <v>425</v>
      </c>
      <c r="Z44" s="4"/>
    </row>
    <row r="45" spans="1:27" s="35" customFormat="1" ht="14.1" customHeight="1" x14ac:dyDescent="0.25">
      <c r="A45" s="35" t="s">
        <v>426</v>
      </c>
    </row>
    <row r="46" spans="1:27" s="11" customFormat="1" ht="14.1" customHeight="1" x14ac:dyDescent="0.2">
      <c r="A46" s="87" t="s">
        <v>400</v>
      </c>
      <c r="B46" s="35" t="s">
        <v>1313</v>
      </c>
      <c r="Z46" s="4"/>
    </row>
    <row r="47" spans="1:27" s="11" customFormat="1" ht="14.1" customHeight="1" x14ac:dyDescent="0.2">
      <c r="A47" s="87" t="s">
        <v>401</v>
      </c>
      <c r="B47" s="35" t="s">
        <v>610</v>
      </c>
      <c r="Z47" s="4"/>
    </row>
    <row r="48" spans="1:27" s="11" customFormat="1" ht="14.1" customHeight="1" x14ac:dyDescent="0.2">
      <c r="A48" s="87" t="s">
        <v>402</v>
      </c>
      <c r="B48" s="35" t="s">
        <v>447</v>
      </c>
      <c r="E48" s="88"/>
      <c r="Z48" s="4"/>
    </row>
    <row r="49" spans="1:37" s="11" customFormat="1" ht="14.1" customHeight="1" x14ac:dyDescent="0.2">
      <c r="A49" s="87" t="s">
        <v>403</v>
      </c>
      <c r="B49" s="35" t="s">
        <v>281</v>
      </c>
      <c r="Z49" s="4"/>
    </row>
    <row r="50" spans="1:37" s="11" customFormat="1" ht="14.1" customHeight="1" x14ac:dyDescent="0.2">
      <c r="A50" s="89" t="s">
        <v>404</v>
      </c>
      <c r="B50" s="35" t="s">
        <v>283</v>
      </c>
      <c r="Z50" s="4"/>
    </row>
    <row r="51" spans="1:37" s="11" customFormat="1" ht="14.1" customHeight="1" x14ac:dyDescent="0.2">
      <c r="A51" s="87" t="s">
        <v>408</v>
      </c>
      <c r="B51" s="35" t="s">
        <v>111</v>
      </c>
      <c r="Z51" s="4"/>
    </row>
    <row r="52" spans="1:37" s="11" customFormat="1" ht="18.75" customHeight="1" x14ac:dyDescent="0.2">
      <c r="A52" s="35"/>
      <c r="Z52" s="4"/>
    </row>
    <row r="53" spans="1:37" s="11" customFormat="1" ht="14.1" customHeight="1" x14ac:dyDescent="0.2">
      <c r="A53" s="72" t="s">
        <v>388</v>
      </c>
    </row>
    <row r="54" spans="1:37" s="11" customFormat="1" ht="14.1" customHeight="1" x14ac:dyDescent="0.2">
      <c r="A54" s="35" t="s">
        <v>389</v>
      </c>
    </row>
    <row r="55" spans="1:37" s="11" customFormat="1" ht="14.1" customHeight="1" x14ac:dyDescent="0.2">
      <c r="A55" s="35" t="s">
        <v>390</v>
      </c>
    </row>
    <row r="56" spans="1:37" s="11" customFormat="1" ht="14.1" customHeight="1" x14ac:dyDescent="0.2">
      <c r="A56" s="35" t="s">
        <v>110</v>
      </c>
      <c r="AF56" s="35"/>
      <c r="AG56" s="35"/>
      <c r="AH56" s="35"/>
      <c r="AI56" s="35"/>
      <c r="AJ56" s="35"/>
      <c r="AK56" s="35"/>
    </row>
    <row r="57" spans="1:37" s="11" customFormat="1" ht="14.1" customHeight="1" x14ac:dyDescent="0.2">
      <c r="A57" s="35"/>
    </row>
    <row r="58" spans="1:37" s="11" customFormat="1" ht="14.1" customHeight="1" x14ac:dyDescent="0.2">
      <c r="A58" s="90" t="s">
        <v>342</v>
      </c>
    </row>
    <row r="59" spans="1:37" s="11" customFormat="1" ht="22.5" customHeight="1" x14ac:dyDescent="0.25">
      <c r="A59" s="91" t="s">
        <v>116</v>
      </c>
      <c r="B59" s="901" t="s">
        <v>284</v>
      </c>
      <c r="C59" s="902"/>
      <c r="D59" s="902"/>
      <c r="E59" s="903" t="s">
        <v>336</v>
      </c>
      <c r="F59" s="904"/>
      <c r="G59" s="905"/>
      <c r="H59" s="934" t="s">
        <v>394</v>
      </c>
      <c r="I59" s="935"/>
      <c r="J59" s="935"/>
      <c r="K59" s="935"/>
      <c r="L59" s="935"/>
      <c r="M59" s="935"/>
      <c r="N59" s="935"/>
      <c r="O59" s="935"/>
      <c r="P59" s="935"/>
      <c r="Q59" s="935"/>
      <c r="R59" s="935"/>
      <c r="S59" s="935"/>
      <c r="T59" s="935"/>
      <c r="U59" s="935"/>
      <c r="V59" s="935"/>
      <c r="W59" s="935"/>
      <c r="X59" s="935"/>
      <c r="Y59" s="935"/>
      <c r="Z59" s="936"/>
      <c r="AC59"/>
      <c r="AD59"/>
      <c r="AE59"/>
      <c r="AF59"/>
      <c r="AG59"/>
      <c r="AH59"/>
      <c r="AI59"/>
    </row>
    <row r="60" spans="1:37" s="11" customFormat="1" ht="14.1" customHeight="1" x14ac:dyDescent="0.25">
      <c r="A60" s="94" t="s">
        <v>362</v>
      </c>
      <c r="B60" s="954" t="s">
        <v>275</v>
      </c>
      <c r="C60" s="902"/>
      <c r="D60" s="902"/>
      <c r="E60" s="942"/>
      <c r="F60" s="943"/>
      <c r="G60" s="944"/>
      <c r="H60" s="140"/>
      <c r="I60" s="95" t="s">
        <v>291</v>
      </c>
      <c r="J60" s="96"/>
      <c r="K60" s="96"/>
      <c r="L60" s="96"/>
      <c r="M60" s="96"/>
      <c r="N60" s="96"/>
      <c r="O60" s="96"/>
      <c r="P60" s="96"/>
      <c r="Q60" s="96"/>
      <c r="R60" s="96"/>
      <c r="S60" s="96"/>
      <c r="T60" s="96"/>
      <c r="U60" s="96"/>
      <c r="V60" s="96"/>
      <c r="W60" s="96"/>
      <c r="X60" s="96"/>
      <c r="Y60" s="96"/>
      <c r="Z60" s="261"/>
      <c r="AC60"/>
      <c r="AD60"/>
      <c r="AE60"/>
      <c r="AF60"/>
      <c r="AG60"/>
      <c r="AH60"/>
      <c r="AI60"/>
    </row>
    <row r="61" spans="1:37" s="11" customFormat="1" ht="14.1" customHeight="1" x14ac:dyDescent="0.25">
      <c r="A61" s="94" t="s">
        <v>362</v>
      </c>
      <c r="B61" s="954" t="s">
        <v>395</v>
      </c>
      <c r="C61" s="902"/>
      <c r="D61" s="955"/>
      <c r="E61" s="937"/>
      <c r="F61" s="938"/>
      <c r="G61" s="939"/>
      <c r="H61" s="140"/>
      <c r="I61" s="97" t="s">
        <v>100</v>
      </c>
      <c r="J61" s="98"/>
      <c r="K61" s="98"/>
      <c r="L61" s="98"/>
      <c r="M61" s="98"/>
      <c r="N61" s="98"/>
      <c r="O61" s="98"/>
      <c r="P61" s="98"/>
      <c r="Q61" s="98"/>
      <c r="R61" s="98"/>
      <c r="S61" s="98"/>
      <c r="T61" s="98"/>
      <c r="U61" s="98"/>
      <c r="V61" s="98"/>
      <c r="W61" s="98"/>
      <c r="X61" s="98"/>
      <c r="Y61" s="98"/>
      <c r="Z61" s="262"/>
      <c r="AC61"/>
      <c r="AD61"/>
      <c r="AE61"/>
      <c r="AF61"/>
      <c r="AG61"/>
      <c r="AH61"/>
      <c r="AI61"/>
    </row>
    <row r="62" spans="1:37" s="11" customFormat="1" ht="14.1" customHeight="1" x14ac:dyDescent="0.25">
      <c r="A62" s="94" t="s">
        <v>393</v>
      </c>
      <c r="B62" s="954" t="s">
        <v>285</v>
      </c>
      <c r="C62" s="902"/>
      <c r="D62" s="902"/>
      <c r="E62" s="940" t="s">
        <v>443</v>
      </c>
      <c r="F62" s="941"/>
      <c r="G62" s="941"/>
      <c r="H62" s="140"/>
      <c r="I62" s="97" t="s">
        <v>101</v>
      </c>
      <c r="J62" s="97"/>
      <c r="K62" s="97"/>
      <c r="L62" s="97"/>
      <c r="M62" s="97"/>
      <c r="N62" s="97"/>
      <c r="O62" s="97"/>
      <c r="P62" s="97"/>
      <c r="Q62" s="97"/>
      <c r="R62" s="97"/>
      <c r="S62" s="97"/>
      <c r="T62" s="97"/>
      <c r="U62" s="97"/>
      <c r="V62" s="97"/>
      <c r="W62" s="97"/>
      <c r="X62" s="97"/>
      <c r="Y62" s="97"/>
      <c r="Z62" s="263"/>
      <c r="AC62"/>
      <c r="AD62"/>
      <c r="AE62"/>
      <c r="AF62"/>
      <c r="AG62"/>
      <c r="AH62"/>
      <c r="AI62"/>
    </row>
    <row r="63" spans="1:37" s="11" customFormat="1" ht="14.1" customHeight="1" x14ac:dyDescent="0.25">
      <c r="A63" s="94" t="s">
        <v>300</v>
      </c>
      <c r="B63" s="954" t="s">
        <v>427</v>
      </c>
      <c r="C63" s="902"/>
      <c r="D63" s="902"/>
      <c r="E63" s="932" t="s">
        <v>353</v>
      </c>
      <c r="F63" s="933"/>
      <c r="G63" s="933"/>
      <c r="H63" s="140"/>
      <c r="I63" s="97" t="s">
        <v>1314</v>
      </c>
      <c r="J63" s="97"/>
      <c r="K63" s="97"/>
      <c r="L63" s="97"/>
      <c r="M63" s="97"/>
      <c r="N63" s="97"/>
      <c r="O63" s="97"/>
      <c r="P63" s="97"/>
      <c r="Q63" s="97"/>
      <c r="R63" s="97"/>
      <c r="S63" s="97"/>
      <c r="T63" s="97"/>
      <c r="U63" s="97"/>
      <c r="V63" s="97"/>
      <c r="W63" s="97"/>
      <c r="X63" s="97"/>
      <c r="Y63" s="97"/>
      <c r="Z63" s="263"/>
      <c r="AC63"/>
      <c r="AD63"/>
      <c r="AE63"/>
      <c r="AF63"/>
      <c r="AG63"/>
      <c r="AH63"/>
      <c r="AI63"/>
    </row>
    <row r="64" spans="1:37" s="11" customFormat="1" ht="14.1" customHeight="1" x14ac:dyDescent="0.25">
      <c r="A64" s="94" t="s">
        <v>301</v>
      </c>
      <c r="B64" s="954" t="s">
        <v>85</v>
      </c>
      <c r="C64" s="902"/>
      <c r="D64" s="902"/>
      <c r="E64" s="932" t="s">
        <v>353</v>
      </c>
      <c r="F64" s="933"/>
      <c r="G64" s="933"/>
      <c r="H64" s="140"/>
      <c r="I64" s="97" t="s">
        <v>86</v>
      </c>
      <c r="J64" s="97"/>
      <c r="K64" s="97"/>
      <c r="L64" s="97"/>
      <c r="M64" s="97"/>
      <c r="N64" s="97"/>
      <c r="O64" s="97"/>
      <c r="P64" s="97"/>
      <c r="Q64" s="97"/>
      <c r="R64" s="97"/>
      <c r="S64" s="97"/>
      <c r="T64" s="97"/>
      <c r="U64" s="97"/>
      <c r="V64" s="97"/>
      <c r="W64" s="97"/>
      <c r="X64" s="97"/>
      <c r="Y64" s="97"/>
      <c r="Z64" s="263"/>
      <c r="AC64"/>
      <c r="AD64"/>
      <c r="AE64"/>
      <c r="AF64"/>
      <c r="AG64"/>
      <c r="AH64"/>
      <c r="AI64"/>
    </row>
    <row r="65" spans="1:35" s="11" customFormat="1" ht="14.1" customHeight="1" x14ac:dyDescent="0.25">
      <c r="A65" s="94" t="s">
        <v>428</v>
      </c>
      <c r="B65" s="954" t="s">
        <v>113</v>
      </c>
      <c r="C65" s="902"/>
      <c r="D65" s="902"/>
      <c r="E65" s="932" t="s">
        <v>353</v>
      </c>
      <c r="F65" s="933"/>
      <c r="G65" s="933"/>
      <c r="H65" s="140"/>
      <c r="I65" s="97" t="s">
        <v>89</v>
      </c>
      <c r="J65" s="97"/>
      <c r="K65" s="97"/>
      <c r="L65" s="97"/>
      <c r="M65" s="97"/>
      <c r="N65" s="97"/>
      <c r="O65" s="97"/>
      <c r="P65" s="97"/>
      <c r="Q65" s="97"/>
      <c r="R65" s="97"/>
      <c r="S65" s="97"/>
      <c r="T65" s="97"/>
      <c r="U65" s="97"/>
      <c r="V65" s="97"/>
      <c r="W65" s="97"/>
      <c r="X65" s="97"/>
      <c r="Y65" s="97"/>
      <c r="Z65" s="263"/>
      <c r="AC65"/>
      <c r="AD65"/>
      <c r="AE65"/>
      <c r="AF65"/>
      <c r="AG65"/>
      <c r="AH65"/>
      <c r="AI65"/>
    </row>
    <row r="66" spans="1:35" s="11" customFormat="1" ht="14.1" customHeight="1" x14ac:dyDescent="0.25">
      <c r="A66" s="94" t="s">
        <v>1184</v>
      </c>
      <c r="B66" s="954" t="s">
        <v>1185</v>
      </c>
      <c r="C66" s="902"/>
      <c r="D66" s="902"/>
      <c r="E66" s="930" t="s">
        <v>294</v>
      </c>
      <c r="F66" s="931"/>
      <c r="G66" s="931"/>
      <c r="H66" s="140"/>
      <c r="I66" s="97" t="s">
        <v>1821</v>
      </c>
      <c r="J66" s="97"/>
      <c r="K66" s="97"/>
      <c r="L66" s="97"/>
      <c r="M66" s="97"/>
      <c r="N66" s="97"/>
      <c r="O66" s="97"/>
      <c r="P66" s="97"/>
      <c r="Q66" s="97"/>
      <c r="R66" s="97"/>
      <c r="S66" s="97"/>
      <c r="T66" s="97"/>
      <c r="U66" s="97"/>
      <c r="V66" s="97"/>
      <c r="W66" s="97"/>
      <c r="X66" s="97"/>
      <c r="Y66" s="97"/>
      <c r="Z66" s="263"/>
      <c r="AC66"/>
      <c r="AD66"/>
      <c r="AE66"/>
      <c r="AF66"/>
      <c r="AG66"/>
      <c r="AH66"/>
      <c r="AI66"/>
    </row>
    <row r="67" spans="1:35" s="11" customFormat="1" ht="14.1" customHeight="1" x14ac:dyDescent="0.25">
      <c r="A67" s="94" t="s">
        <v>295</v>
      </c>
      <c r="B67" s="954" t="s">
        <v>429</v>
      </c>
      <c r="C67" s="902"/>
      <c r="D67" s="902"/>
      <c r="E67" s="899" t="s">
        <v>345</v>
      </c>
      <c r="F67" s="900"/>
      <c r="G67" s="900"/>
      <c r="H67" s="140"/>
      <c r="I67" s="97" t="s">
        <v>1306</v>
      </c>
      <c r="J67" s="97"/>
      <c r="K67" s="97"/>
      <c r="L67" s="97"/>
      <c r="M67" s="97"/>
      <c r="N67" s="97"/>
      <c r="O67" s="97"/>
      <c r="P67" s="97"/>
      <c r="Q67" s="97"/>
      <c r="R67" s="97"/>
      <c r="S67" s="97"/>
      <c r="T67" s="97"/>
      <c r="U67" s="97"/>
      <c r="V67" s="97"/>
      <c r="W67" s="97"/>
      <c r="X67" s="97"/>
      <c r="Y67" s="97"/>
      <c r="Z67" s="263"/>
      <c r="AC67"/>
      <c r="AD67"/>
      <c r="AE67"/>
      <c r="AF67"/>
      <c r="AG67"/>
      <c r="AH67"/>
      <c r="AI67"/>
    </row>
    <row r="68" spans="1:35" s="11" customFormat="1" ht="14.1" customHeight="1" x14ac:dyDescent="0.25">
      <c r="A68" s="94" t="s">
        <v>419</v>
      </c>
      <c r="B68" s="954" t="s">
        <v>99</v>
      </c>
      <c r="C68" s="902"/>
      <c r="D68" s="902"/>
      <c r="E68" s="899" t="s">
        <v>345</v>
      </c>
      <c r="F68" s="900"/>
      <c r="G68" s="900"/>
      <c r="H68" s="140"/>
      <c r="I68" s="97" t="s">
        <v>90</v>
      </c>
      <c r="J68" s="97"/>
      <c r="K68" s="97"/>
      <c r="L68" s="97"/>
      <c r="M68" s="97"/>
      <c r="N68" s="97"/>
      <c r="O68" s="97"/>
      <c r="P68" s="97"/>
      <c r="Q68" s="97"/>
      <c r="R68" s="97"/>
      <c r="S68" s="97"/>
      <c r="T68" s="97"/>
      <c r="U68" s="97"/>
      <c r="V68" s="97"/>
      <c r="W68" s="97"/>
      <c r="X68" s="97"/>
      <c r="Y68" s="97"/>
      <c r="Z68" s="263"/>
      <c r="AC68"/>
      <c r="AD68"/>
      <c r="AE68"/>
      <c r="AF68"/>
      <c r="AG68"/>
      <c r="AH68"/>
      <c r="AI68"/>
    </row>
    <row r="69" spans="1:35" s="11" customFormat="1" ht="14.1" customHeight="1" x14ac:dyDescent="0.25">
      <c r="A69" s="94" t="s">
        <v>1184</v>
      </c>
      <c r="B69" s="954" t="s">
        <v>1186</v>
      </c>
      <c r="C69" s="902"/>
      <c r="D69" s="902"/>
      <c r="E69" s="899" t="s">
        <v>345</v>
      </c>
      <c r="F69" s="900"/>
      <c r="G69" s="900"/>
      <c r="H69" s="140"/>
      <c r="I69" s="97" t="s">
        <v>1822</v>
      </c>
      <c r="J69" s="97"/>
      <c r="K69" s="97"/>
      <c r="L69" s="97"/>
      <c r="M69" s="97"/>
      <c r="N69" s="97"/>
      <c r="O69" s="97"/>
      <c r="P69" s="97"/>
      <c r="Q69" s="97"/>
      <c r="R69" s="97"/>
      <c r="S69" s="97"/>
      <c r="T69" s="97"/>
      <c r="U69" s="97"/>
      <c r="V69" s="97"/>
      <c r="W69" s="97"/>
      <c r="X69" s="97"/>
      <c r="Y69" s="97"/>
      <c r="Z69" s="263"/>
      <c r="AC69"/>
      <c r="AD69"/>
      <c r="AE69"/>
      <c r="AF69"/>
      <c r="AG69"/>
      <c r="AH69"/>
      <c r="AI69"/>
    </row>
    <row r="70" spans="1:35" s="11" customFormat="1" ht="14.1" hidden="1" customHeight="1" x14ac:dyDescent="0.25">
      <c r="A70" s="94" t="s">
        <v>302</v>
      </c>
      <c r="B70" s="954" t="s">
        <v>79</v>
      </c>
      <c r="C70" s="902"/>
      <c r="D70" s="902"/>
      <c r="E70" s="899" t="s">
        <v>345</v>
      </c>
      <c r="F70" s="900"/>
      <c r="G70" s="900"/>
      <c r="H70" s="140"/>
      <c r="I70" s="97" t="s">
        <v>76</v>
      </c>
      <c r="J70" s="97"/>
      <c r="K70" s="97"/>
      <c r="L70" s="97"/>
      <c r="M70" s="97"/>
      <c r="N70" s="97"/>
      <c r="O70" s="97"/>
      <c r="P70" s="97"/>
      <c r="Q70" s="97"/>
      <c r="R70" s="97"/>
      <c r="S70" s="97"/>
      <c r="T70" s="97"/>
      <c r="U70" s="97"/>
      <c r="V70" s="97"/>
      <c r="W70" s="97"/>
      <c r="X70" s="97"/>
      <c r="Y70" s="97"/>
      <c r="Z70" s="263"/>
      <c r="AC70"/>
      <c r="AD70"/>
      <c r="AE70"/>
      <c r="AF70"/>
      <c r="AG70"/>
      <c r="AH70"/>
      <c r="AI70"/>
    </row>
    <row r="71" spans="1:35" s="11" customFormat="1" ht="14.1" customHeight="1" x14ac:dyDescent="0.25">
      <c r="A71" s="94" t="s">
        <v>102</v>
      </c>
      <c r="B71" s="947" t="s">
        <v>125</v>
      </c>
      <c r="C71" s="950"/>
      <c r="D71" s="951"/>
      <c r="E71" s="899" t="s">
        <v>345</v>
      </c>
      <c r="F71" s="900"/>
      <c r="G71" s="900"/>
      <c r="H71" s="140"/>
      <c r="I71" s="102" t="s">
        <v>396</v>
      </c>
      <c r="J71" s="97"/>
      <c r="K71" s="97"/>
      <c r="L71" s="97"/>
      <c r="M71" s="97"/>
      <c r="N71" s="97"/>
      <c r="O71" s="260" t="s">
        <v>250</v>
      </c>
      <c r="P71" s="97"/>
      <c r="Q71" s="102">
        <f>B23</f>
        <v>2019</v>
      </c>
      <c r="R71" s="97"/>
      <c r="S71" s="102"/>
      <c r="T71" s="97"/>
      <c r="U71" s="97"/>
      <c r="V71" s="97"/>
      <c r="W71" s="97"/>
      <c r="X71" s="97"/>
      <c r="Y71" s="97"/>
      <c r="Z71" s="263"/>
      <c r="AC71"/>
      <c r="AD71"/>
      <c r="AE71"/>
      <c r="AF71"/>
      <c r="AG71"/>
      <c r="AH71"/>
      <c r="AI71"/>
    </row>
    <row r="72" spans="1:35" s="11" customFormat="1" ht="14.1" customHeight="1" x14ac:dyDescent="0.25">
      <c r="A72" s="94" t="s">
        <v>103</v>
      </c>
      <c r="B72" s="947" t="s">
        <v>125</v>
      </c>
      <c r="C72" s="948"/>
      <c r="D72" s="949"/>
      <c r="E72" s="899" t="s">
        <v>345</v>
      </c>
      <c r="F72" s="900"/>
      <c r="G72" s="900"/>
      <c r="H72" s="140"/>
      <c r="I72" s="102" t="s">
        <v>396</v>
      </c>
      <c r="J72" s="97"/>
      <c r="K72" s="97"/>
      <c r="L72" s="97"/>
      <c r="M72" s="97"/>
      <c r="N72" s="97"/>
      <c r="O72" s="260" t="s">
        <v>250</v>
      </c>
      <c r="P72" s="97"/>
      <c r="Q72" s="102">
        <f>B24</f>
        <v>2020</v>
      </c>
      <c r="R72" s="97"/>
      <c r="S72" s="102"/>
      <c r="T72" s="97"/>
      <c r="U72" s="97"/>
      <c r="V72" s="97"/>
      <c r="W72" s="97"/>
      <c r="X72" s="97"/>
      <c r="Y72" s="97"/>
      <c r="Z72" s="263"/>
      <c r="AC72"/>
      <c r="AD72"/>
      <c r="AE72"/>
      <c r="AF72"/>
      <c r="AG72"/>
      <c r="AH72"/>
      <c r="AI72"/>
    </row>
    <row r="73" spans="1:35" s="11" customFormat="1" ht="14.1" customHeight="1" x14ac:dyDescent="0.25">
      <c r="A73" s="94" t="s">
        <v>83</v>
      </c>
      <c r="B73" s="947" t="s">
        <v>120</v>
      </c>
      <c r="C73" s="948"/>
      <c r="D73" s="949"/>
      <c r="E73" s="899" t="s">
        <v>345</v>
      </c>
      <c r="F73" s="900"/>
      <c r="G73" s="900"/>
      <c r="H73" s="140"/>
      <c r="I73" s="102" t="s">
        <v>396</v>
      </c>
      <c r="J73" s="97"/>
      <c r="K73" s="97"/>
      <c r="L73" s="97"/>
      <c r="M73" s="97"/>
      <c r="N73" s="97"/>
      <c r="O73" s="260" t="s">
        <v>250</v>
      </c>
      <c r="P73" s="97"/>
      <c r="Q73" s="102">
        <f>B25</f>
        <v>2021</v>
      </c>
      <c r="R73" s="97"/>
      <c r="S73" s="102"/>
      <c r="T73" s="97"/>
      <c r="U73" s="97"/>
      <c r="V73" s="97"/>
      <c r="W73" s="97"/>
      <c r="X73" s="97"/>
      <c r="Y73" s="97"/>
      <c r="Z73" s="263"/>
      <c r="AC73"/>
      <c r="AD73"/>
      <c r="AE73"/>
      <c r="AF73"/>
      <c r="AG73"/>
      <c r="AH73"/>
      <c r="AI73"/>
    </row>
    <row r="74" spans="1:35" s="11" customFormat="1" ht="14.1" customHeight="1" x14ac:dyDescent="0.25">
      <c r="A74" s="94" t="s">
        <v>647</v>
      </c>
      <c r="B74" s="947" t="s">
        <v>126</v>
      </c>
      <c r="C74" s="948"/>
      <c r="D74" s="949"/>
      <c r="E74" s="899" t="s">
        <v>345</v>
      </c>
      <c r="F74" s="900"/>
      <c r="G74" s="900"/>
      <c r="H74" s="140"/>
      <c r="I74" s="102" t="s">
        <v>396</v>
      </c>
      <c r="J74" s="97"/>
      <c r="K74" s="97"/>
      <c r="L74" s="97"/>
      <c r="M74" s="97"/>
      <c r="N74" s="97"/>
      <c r="O74" s="260" t="s">
        <v>250</v>
      </c>
      <c r="P74" s="97"/>
      <c r="Q74" s="102">
        <f>B26</f>
        <v>2022</v>
      </c>
      <c r="R74" s="97"/>
      <c r="S74" s="102"/>
      <c r="T74" s="97"/>
      <c r="U74" s="97"/>
      <c r="V74" s="97"/>
      <c r="W74" s="97"/>
      <c r="X74" s="97"/>
      <c r="Y74" s="97"/>
      <c r="Z74" s="263"/>
      <c r="AC74"/>
      <c r="AD74"/>
      <c r="AE74"/>
      <c r="AF74"/>
      <c r="AG74"/>
      <c r="AH74"/>
      <c r="AI74"/>
    </row>
    <row r="75" spans="1:35" s="11" customFormat="1" ht="14.1" customHeight="1" x14ac:dyDescent="0.25">
      <c r="A75" s="94" t="s">
        <v>1187</v>
      </c>
      <c r="B75" s="947" t="s">
        <v>118</v>
      </c>
      <c r="C75" s="948"/>
      <c r="D75" s="949"/>
      <c r="E75" s="899" t="s">
        <v>345</v>
      </c>
      <c r="F75" s="900"/>
      <c r="G75" s="900"/>
      <c r="H75" s="140"/>
      <c r="I75" s="102" t="s">
        <v>396</v>
      </c>
      <c r="J75" s="97"/>
      <c r="K75" s="97"/>
      <c r="L75" s="97"/>
      <c r="M75" s="97"/>
      <c r="N75" s="97"/>
      <c r="O75" s="260" t="s">
        <v>250</v>
      </c>
      <c r="P75" s="97"/>
      <c r="Q75" s="102">
        <f>B27</f>
        <v>2023</v>
      </c>
      <c r="R75" s="97"/>
      <c r="S75" s="102"/>
      <c r="T75" s="97"/>
      <c r="U75" s="97"/>
      <c r="V75" s="97"/>
      <c r="W75" s="97"/>
      <c r="X75" s="97"/>
      <c r="Y75" s="97"/>
      <c r="Z75" s="263"/>
      <c r="AC75"/>
      <c r="AD75"/>
      <c r="AE75"/>
      <c r="AF75"/>
      <c r="AG75"/>
      <c r="AH75"/>
      <c r="AI75"/>
    </row>
    <row r="76" spans="1:35" s="11" customFormat="1" ht="14.1" customHeight="1" x14ac:dyDescent="0.25">
      <c r="A76" s="94" t="s">
        <v>104</v>
      </c>
      <c r="B76" s="947" t="s">
        <v>118</v>
      </c>
      <c r="C76" s="950"/>
      <c r="D76" s="951"/>
      <c r="E76" s="899" t="s">
        <v>345</v>
      </c>
      <c r="F76" s="900"/>
      <c r="G76" s="900"/>
      <c r="H76" s="140"/>
      <c r="I76" s="102" t="s">
        <v>397</v>
      </c>
      <c r="J76" s="97"/>
      <c r="K76" s="97"/>
      <c r="L76" s="97"/>
      <c r="M76" s="97"/>
      <c r="N76" s="97"/>
      <c r="O76" s="260" t="s">
        <v>250</v>
      </c>
      <c r="P76" s="97"/>
      <c r="Q76" s="102">
        <f>B23</f>
        <v>2019</v>
      </c>
      <c r="R76" s="97"/>
      <c r="S76" s="102"/>
      <c r="T76" s="97"/>
      <c r="U76" s="97"/>
      <c r="V76" s="97"/>
      <c r="W76" s="97"/>
      <c r="X76" s="97"/>
      <c r="Y76" s="97"/>
      <c r="Z76" s="263"/>
      <c r="AC76"/>
      <c r="AD76"/>
      <c r="AE76"/>
      <c r="AF76"/>
      <c r="AG76"/>
      <c r="AH76"/>
      <c r="AI76"/>
    </row>
    <row r="77" spans="1:35" s="11" customFormat="1" ht="14.1" customHeight="1" x14ac:dyDescent="0.2">
      <c r="A77" s="94" t="s">
        <v>105</v>
      </c>
      <c r="B77" s="947" t="s">
        <v>118</v>
      </c>
      <c r="C77" s="950"/>
      <c r="D77" s="951"/>
      <c r="E77" s="899" t="s">
        <v>345</v>
      </c>
      <c r="F77" s="900"/>
      <c r="G77" s="900"/>
      <c r="H77" s="140"/>
      <c r="I77" s="102" t="s">
        <v>397</v>
      </c>
      <c r="J77" s="97"/>
      <c r="K77" s="97"/>
      <c r="L77" s="97"/>
      <c r="M77" s="97"/>
      <c r="N77" s="97"/>
      <c r="O77" s="260" t="s">
        <v>250</v>
      </c>
      <c r="P77" s="97"/>
      <c r="Q77" s="102">
        <f>B24</f>
        <v>2020</v>
      </c>
      <c r="R77" s="97"/>
      <c r="S77" s="102"/>
      <c r="T77" s="97"/>
      <c r="U77" s="97"/>
      <c r="V77" s="97"/>
      <c r="W77" s="97"/>
      <c r="X77" s="97"/>
      <c r="Y77" s="97"/>
      <c r="Z77" s="263"/>
    </row>
    <row r="78" spans="1:35" s="11" customFormat="1" ht="14.1" customHeight="1" x14ac:dyDescent="0.2">
      <c r="A78" s="94" t="s">
        <v>84</v>
      </c>
      <c r="B78" s="947" t="s">
        <v>118</v>
      </c>
      <c r="C78" s="950"/>
      <c r="D78" s="951"/>
      <c r="E78" s="899" t="s">
        <v>345</v>
      </c>
      <c r="F78" s="900"/>
      <c r="G78" s="900"/>
      <c r="H78" s="140"/>
      <c r="I78" s="102" t="s">
        <v>397</v>
      </c>
      <c r="J78" s="97"/>
      <c r="K78" s="97"/>
      <c r="L78" s="97"/>
      <c r="M78" s="97"/>
      <c r="N78" s="97"/>
      <c r="O78" s="260" t="s">
        <v>250</v>
      </c>
      <c r="P78" s="97"/>
      <c r="Q78" s="102">
        <f>B25</f>
        <v>2021</v>
      </c>
      <c r="R78" s="97"/>
      <c r="S78" s="102"/>
      <c r="T78" s="97"/>
      <c r="U78" s="97"/>
      <c r="V78" s="97"/>
      <c r="W78" s="97"/>
      <c r="X78" s="97"/>
      <c r="Y78" s="97"/>
      <c r="Z78" s="263"/>
    </row>
    <row r="79" spans="1:35" s="11" customFormat="1" ht="14.1" customHeight="1" x14ac:dyDescent="0.2">
      <c r="A79" s="94" t="s">
        <v>648</v>
      </c>
      <c r="B79" s="947" t="s">
        <v>128</v>
      </c>
      <c r="C79" s="948"/>
      <c r="D79" s="949"/>
      <c r="E79" s="927" t="s">
        <v>345</v>
      </c>
      <c r="F79" s="928"/>
      <c r="G79" s="929"/>
      <c r="H79" s="140"/>
      <c r="I79" s="102" t="s">
        <v>397</v>
      </c>
      <c r="J79" s="97"/>
      <c r="K79" s="97"/>
      <c r="L79" s="97"/>
      <c r="M79" s="97"/>
      <c r="N79" s="97"/>
      <c r="O79" s="260" t="s">
        <v>250</v>
      </c>
      <c r="P79" s="97"/>
      <c r="Q79" s="102">
        <f>B26</f>
        <v>2022</v>
      </c>
      <c r="R79" s="97"/>
      <c r="S79" s="102"/>
      <c r="T79" s="97"/>
      <c r="U79" s="97"/>
      <c r="V79" s="97"/>
      <c r="W79" s="97"/>
      <c r="X79" s="97"/>
      <c r="Y79" s="97"/>
      <c r="Z79" s="263"/>
    </row>
    <row r="80" spans="1:35" x14ac:dyDescent="0.2">
      <c r="A80" s="94" t="s">
        <v>1188</v>
      </c>
      <c r="B80" s="947" t="s">
        <v>127</v>
      </c>
      <c r="C80" s="948"/>
      <c r="D80" s="949"/>
      <c r="E80" s="927" t="s">
        <v>345</v>
      </c>
      <c r="F80" s="928"/>
      <c r="G80" s="929"/>
      <c r="H80" s="140"/>
      <c r="I80" s="102" t="s">
        <v>397</v>
      </c>
      <c r="J80" s="97"/>
      <c r="K80" s="97"/>
      <c r="L80" s="97"/>
      <c r="M80" s="97"/>
      <c r="N80" s="97"/>
      <c r="O80" s="260" t="s">
        <v>250</v>
      </c>
      <c r="P80" s="97"/>
      <c r="Q80" s="102">
        <f>B27</f>
        <v>2023</v>
      </c>
      <c r="R80" s="97"/>
      <c r="S80" s="102"/>
      <c r="T80" s="97"/>
      <c r="U80" s="97"/>
      <c r="V80" s="97"/>
      <c r="W80" s="97"/>
      <c r="X80" s="97"/>
      <c r="Y80" s="97"/>
      <c r="Z80" s="263"/>
    </row>
    <row r="82" spans="1:26" ht="15" x14ac:dyDescent="0.25">
      <c r="A82"/>
      <c r="B82"/>
      <c r="C82"/>
      <c r="D82"/>
      <c r="E82"/>
      <c r="F82"/>
      <c r="G82"/>
      <c r="H82"/>
      <c r="I82"/>
      <c r="J82"/>
      <c r="K82"/>
      <c r="L82"/>
      <c r="M82"/>
      <c r="N82"/>
      <c r="O82"/>
      <c r="P82"/>
      <c r="Q82"/>
      <c r="R82"/>
      <c r="S82"/>
      <c r="T82"/>
      <c r="U82"/>
      <c r="V82"/>
      <c r="W82"/>
      <c r="X82"/>
      <c r="Y82"/>
      <c r="Z82"/>
    </row>
    <row r="83" spans="1:26" ht="17.25" hidden="1" customHeight="1" x14ac:dyDescent="0.2">
      <c r="B83" s="42" t="str">
        <f>Berechnung2!B29</f>
        <v>Matrix</v>
      </c>
      <c r="C83" s="42"/>
      <c r="D83" s="42"/>
      <c r="E83" s="43"/>
      <c r="F83" s="43"/>
      <c r="G83" s="43"/>
      <c r="H83" s="43"/>
      <c r="I83" s="43"/>
      <c r="J83" s="43"/>
      <c r="K83" s="43"/>
      <c r="L83" s="43"/>
      <c r="M83" s="43"/>
      <c r="N83" s="43"/>
      <c r="O83" s="42"/>
      <c r="P83" s="42"/>
    </row>
    <row r="84" spans="1:26" hidden="1" x14ac:dyDescent="0.2">
      <c r="A84" s="42" t="str">
        <f>Berechnung2!B30</f>
        <v>ART</v>
      </c>
      <c r="C84" s="42">
        <f>Berechnung2!C30</f>
        <v>0</v>
      </c>
      <c r="D84" s="42">
        <f>Berechnung2!D30</f>
        <v>0</v>
      </c>
      <c r="E84" s="43">
        <f>Berechnung2!E30</f>
        <v>0</v>
      </c>
      <c r="F84" s="43" t="str">
        <f>Berechnung2!F30</f>
        <v>Werte</v>
      </c>
      <c r="G84" s="43">
        <f>Berechnung2!G30</f>
        <v>0</v>
      </c>
      <c r="H84" s="43">
        <f>Berechnung2!H30</f>
        <v>0</v>
      </c>
      <c r="I84" s="43">
        <f>Berechnung2!I30</f>
        <v>0</v>
      </c>
      <c r="J84" s="43">
        <f>Berechnung2!J30</f>
        <v>0</v>
      </c>
      <c r="K84" s="43">
        <f>Berechnung2!K30</f>
        <v>0</v>
      </c>
      <c r="L84" s="43" t="str">
        <f>Berechnung2!L30</f>
        <v>Texte Matrix Datenquali</v>
      </c>
      <c r="M84" s="43">
        <f>Berechnung2!M30</f>
        <v>0</v>
      </c>
      <c r="N84" s="43" t="str">
        <f>Berechnung2!N30</f>
        <v>Fehlermeldungen Matrix</v>
      </c>
      <c r="O84" s="42"/>
      <c r="P84" s="42"/>
    </row>
    <row r="85" spans="1:26" hidden="1" x14ac:dyDescent="0.2">
      <c r="A85" s="42">
        <f>Berechnung2!B31</f>
        <v>0</v>
      </c>
      <c r="C85" s="42">
        <f>Berechnung2!C31</f>
        <v>0</v>
      </c>
      <c r="D85" s="42">
        <f>Berechnung2!D31</f>
        <v>0</v>
      </c>
      <c r="E85" s="55">
        <f>Berechnung2!E31</f>
        <v>0</v>
      </c>
      <c r="F85" s="55">
        <f>Berechnung2!F31</f>
        <v>0</v>
      </c>
      <c r="G85" s="55">
        <f>Berechnung2!G31</f>
        <v>0</v>
      </c>
      <c r="H85" s="55">
        <f>Berechnung2!H31</f>
        <v>0</v>
      </c>
      <c r="I85" s="55">
        <f>Berechnung2!I31</f>
        <v>0</v>
      </c>
      <c r="J85" s="55">
        <f>Berechnung2!J31</f>
        <v>0</v>
      </c>
      <c r="K85" s="43">
        <f>Berechnung2!K31</f>
        <v>0</v>
      </c>
      <c r="L85" s="43">
        <f>Berechnung2!L31</f>
        <v>0</v>
      </c>
      <c r="M85" s="43">
        <f>Berechnung2!M31</f>
        <v>0</v>
      </c>
      <c r="N85" s="43" t="str">
        <f>Berechnung2!N31</f>
        <v>Ganze Zahl zwischen 0 und 5000 eingeben</v>
      </c>
      <c r="O85" s="42"/>
      <c r="P85" s="42"/>
    </row>
    <row r="86" spans="1:26" hidden="1" x14ac:dyDescent="0.2">
      <c r="A86" s="42" t="str">
        <f>Berechnung2!B32</f>
        <v>relevante Nachsorgejahre nicht/unvollständig bearbeitet</v>
      </c>
      <c r="C86" s="42">
        <f>Berechnung2!C32</f>
        <v>0</v>
      </c>
      <c r="D86" s="42" t="str">
        <f>Berechnung2!D32</f>
        <v>unvollständig</v>
      </c>
      <c r="E86" s="55">
        <f>Berechnung2!E32</f>
        <v>0</v>
      </c>
      <c r="F86" s="55">
        <f>Berechnung2!F32</f>
        <v>0</v>
      </c>
      <c r="G86" s="55">
        <f>Berechnung2!G32</f>
        <v>0</v>
      </c>
      <c r="H86" s="55">
        <f>Berechnung2!H32</f>
        <v>0</v>
      </c>
      <c r="I86" s="55">
        <f>Berechnung2!I32</f>
        <v>0</v>
      </c>
      <c r="J86" s="55">
        <f>Berechnung2!J32</f>
        <v>0</v>
      </c>
      <c r="K86" s="43">
        <f>Berechnung2!K32</f>
        <v>0</v>
      </c>
      <c r="L86" s="43" t="str">
        <f>Berechnung2!L32</f>
        <v>relevante Nachsorgejahre nicht/unvollständig bearbeitet</v>
      </c>
      <c r="M86" s="43">
        <f>Berechnung2!M32</f>
        <v>0</v>
      </c>
      <c r="N86" s="43">
        <f>Berechnung2!N32</f>
        <v>0</v>
      </c>
      <c r="O86" s="42"/>
      <c r="P86" s="42"/>
    </row>
    <row r="87" spans="1:26" ht="14.25" hidden="1" customHeight="1" x14ac:dyDescent="0.2">
      <c r="A87" s="42" t="str">
        <f>Berechnung2!B33</f>
        <v>Relative Quote tumorfrei</v>
      </c>
      <c r="C87" s="42">
        <f>Berechnung2!C33</f>
        <v>0</v>
      </c>
      <c r="D87" s="42" t="str">
        <f>Berechnung2!D33</f>
        <v>plausi</v>
      </c>
      <c r="E87" s="55" t="str">
        <f>Berechnung2!E33</f>
        <v>nicht geprüft</v>
      </c>
      <c r="F87" s="55">
        <f>Berechnung2!F33</f>
        <v>-1</v>
      </c>
      <c r="G87" s="55">
        <f>Berechnung2!G33</f>
        <v>-1</v>
      </c>
      <c r="H87" s="55">
        <f>Berechnung2!H33</f>
        <v>-1</v>
      </c>
      <c r="I87" s="55">
        <f>Berechnung2!I33</f>
        <v>-1</v>
      </c>
      <c r="J87" s="55">
        <f>Berechnung2!J33</f>
        <v>-1</v>
      </c>
      <c r="K87" s="43">
        <f>Berechnung2!K33</f>
        <v>0</v>
      </c>
      <c r="L87" s="43" t="str">
        <f>Berechnung2!L33</f>
        <v>auffällig niedrige Quote tumorfreier Patienten</v>
      </c>
      <c r="M87" s="43">
        <f>Berechnung2!M33</f>
        <v>0</v>
      </c>
      <c r="N87" s="43">
        <f>Berechnung2!N33</f>
        <v>0</v>
      </c>
      <c r="O87" s="42"/>
      <c r="P87" s="42"/>
      <c r="Z87" s="8"/>
    </row>
    <row r="88" spans="1:26" ht="14.25" hidden="1" customHeight="1" x14ac:dyDescent="0.2">
      <c r="A88" s="42" t="str">
        <f>Berechnung2!B34</f>
        <v xml:space="preserve">nur Prozentwerte können eingegeben werden </v>
      </c>
      <c r="C88" s="42">
        <f>Berechnung2!C34</f>
        <v>0</v>
      </c>
      <c r="D88" s="42" t="str">
        <f>Berechnung2!D34</f>
        <v>inkorrekt</v>
      </c>
      <c r="E88" s="55" t="str">
        <f>Berechnung2!E34</f>
        <v>&gt;</v>
      </c>
      <c r="F88" s="55">
        <f>Berechnung2!F34</f>
        <v>0</v>
      </c>
      <c r="G88" s="55">
        <f>Berechnung2!G34</f>
        <v>0</v>
      </c>
      <c r="H88" s="55">
        <f>Berechnung2!H34</f>
        <v>0</v>
      </c>
      <c r="I88" s="55">
        <f>Berechnung2!I34</f>
        <v>0</v>
      </c>
      <c r="J88" s="55">
        <f>Berechnung2!J34</f>
        <v>1</v>
      </c>
      <c r="K88" s="43">
        <f>Berechnung2!K34</f>
        <v>0</v>
      </c>
      <c r="L88" s="43">
        <f>Berechnung2!L34</f>
        <v>0</v>
      </c>
      <c r="M88" s="43">
        <f>Berechnung2!M34</f>
        <v>0</v>
      </c>
      <c r="N88" s="43">
        <f>Berechnung2!N34</f>
        <v>0</v>
      </c>
      <c r="O88" s="42"/>
      <c r="P88" s="42"/>
      <c r="Z88" s="8"/>
    </row>
    <row r="89" spans="1:26" ht="14.25" hidden="1" customHeight="1" x14ac:dyDescent="0.2">
      <c r="A89" s="42" t="str">
        <f>Berechnung2!B35</f>
        <v>zu geringe Anzahl der Primärfälle</v>
      </c>
      <c r="C89" s="42">
        <f>Berechnung2!C35</f>
        <v>0</v>
      </c>
      <c r="D89" s="42" t="str">
        <f>Berechnung2!D35</f>
        <v>plausi</v>
      </c>
      <c r="E89" s="43" t="str">
        <f>Berechnung2!E35</f>
        <v>&lt;</v>
      </c>
      <c r="F89" s="43">
        <f>Berechnung2!F35</f>
        <v>0</v>
      </c>
      <c r="G89" s="43">
        <f>Berechnung2!G35</f>
        <v>25</v>
      </c>
      <c r="H89" s="43">
        <f>Berechnung2!H35</f>
        <v>0</v>
      </c>
      <c r="I89" s="43">
        <f>Berechnung2!I35</f>
        <v>0</v>
      </c>
      <c r="J89" s="43">
        <f>Berechnung2!J35</f>
        <v>0</v>
      </c>
      <c r="K89" s="43">
        <f>Berechnung2!K35</f>
        <v>0</v>
      </c>
      <c r="L89" s="43" t="str">
        <f>Berechnung2!L35</f>
        <v>zu wenig Primärfälle angegeben</v>
      </c>
      <c r="M89" s="43">
        <f>Berechnung2!M35</f>
        <v>0</v>
      </c>
      <c r="N89" s="43">
        <f>Berechnung2!N35</f>
        <v>0</v>
      </c>
      <c r="O89" s="42"/>
      <c r="P89" s="42"/>
      <c r="Z89" s="8"/>
    </row>
    <row r="90" spans="1:26" ht="14.25" hidden="1" customHeight="1" x14ac:dyDescent="0.2">
      <c r="A90" s="42" t="str">
        <f>Berechnung2!B36</f>
        <v>zu viele Patientinnen im Follow-Up</v>
      </c>
      <c r="C90" s="42">
        <f>Berechnung2!C36</f>
        <v>0</v>
      </c>
      <c r="D90" s="42" t="str">
        <f>Berechnung2!D36</f>
        <v>inkorrekt</v>
      </c>
      <c r="E90" s="56">
        <f>Berechnung2!E36</f>
        <v>0</v>
      </c>
      <c r="F90" s="56">
        <f>Berechnung2!F36</f>
        <v>0</v>
      </c>
      <c r="G90" s="56">
        <f>Berechnung2!G36</f>
        <v>0</v>
      </c>
      <c r="H90" s="56">
        <f>Berechnung2!H36</f>
        <v>0</v>
      </c>
      <c r="I90" s="56">
        <f>Berechnung2!I36</f>
        <v>0</v>
      </c>
      <c r="J90" s="56">
        <f>Berechnung2!J36</f>
        <v>0</v>
      </c>
      <c r="K90" s="43">
        <f>Berechnung2!K36</f>
        <v>0</v>
      </c>
      <c r="L90" s="43" t="str">
        <f>Berechnung2!L36</f>
        <v>zu viele Pat im Follow-Up</v>
      </c>
      <c r="M90" s="43">
        <f>Berechnung2!M36</f>
        <v>0</v>
      </c>
      <c r="N90" s="43" t="str">
        <f>Berechnung2!N36</f>
        <v>Anzahl Pat. Im Follow-Up zu hoch</v>
      </c>
      <c r="O90" s="42"/>
      <c r="P90" s="42"/>
      <c r="Z90" s="8"/>
    </row>
    <row r="91" spans="1:26" ht="14.25" hidden="1" customHeight="1" x14ac:dyDescent="0.2">
      <c r="A91" s="42" t="str">
        <f>Berechnung2!B37</f>
        <v>geringe Follow-Up Quote</v>
      </c>
      <c r="C91" s="42">
        <f>Berechnung2!C37</f>
        <v>0</v>
      </c>
      <c r="D91" s="42" t="str">
        <f>Berechnung2!D37</f>
        <v>plausi</v>
      </c>
      <c r="E91" s="56" t="str">
        <f>Berechnung2!E37</f>
        <v>&lt;</v>
      </c>
      <c r="F91" s="56">
        <f>Berechnung2!F37</f>
        <v>0</v>
      </c>
      <c r="G91" s="56">
        <f>Berechnung2!G37</f>
        <v>0</v>
      </c>
      <c r="H91" s="56">
        <f>Berechnung2!H37</f>
        <v>0</v>
      </c>
      <c r="I91" s="56">
        <f>Berechnung2!I37</f>
        <v>0.69999</v>
      </c>
      <c r="J91" s="56">
        <f>Berechnung2!J37</f>
        <v>0.69999</v>
      </c>
      <c r="K91" s="43">
        <f>Berechnung2!K37</f>
        <v>0</v>
      </c>
      <c r="L91" s="43" t="str">
        <f>Berechnung2!L37</f>
        <v>geringe Follow-Up Quote der Nachsorgejahre</v>
      </c>
      <c r="M91" s="43">
        <f>Berechnung2!M37</f>
        <v>0</v>
      </c>
      <c r="N91" s="43">
        <f>Berechnung2!N37</f>
        <v>0</v>
      </c>
      <c r="O91" s="42"/>
      <c r="P91" s="42"/>
      <c r="Z91" s="8"/>
    </row>
    <row r="92" spans="1:26" ht="14.25" hidden="1" customHeight="1" x14ac:dyDescent="0.2">
      <c r="A92" s="42" t="str">
        <f>Berechnung2!B38</f>
        <v>geringe Follow-Up Quote der Jahre 2019-2021</v>
      </c>
      <c r="C92" s="42">
        <f>Berechnung2!C38</f>
        <v>0</v>
      </c>
      <c r="D92" s="42" t="str">
        <f>Berechnung2!D38</f>
        <v>sollvorgabe</v>
      </c>
      <c r="E92" s="56" t="str">
        <f>Berechnung2!E38</f>
        <v>&lt;</v>
      </c>
      <c r="F92" s="56">
        <f>Berechnung2!F38</f>
        <v>0</v>
      </c>
      <c r="G92" s="56">
        <f>Berechnung2!G38</f>
        <v>0</v>
      </c>
      <c r="H92" s="56">
        <f>Berechnung2!H38</f>
        <v>0</v>
      </c>
      <c r="I92" s="56">
        <f>Berechnung2!I38</f>
        <v>0.79998999999999998</v>
      </c>
      <c r="J92" s="56">
        <f>Berechnung2!J38</f>
        <v>0.79998999999999998</v>
      </c>
      <c r="K92" s="43">
        <f>Berechnung2!K38</f>
        <v>0</v>
      </c>
      <c r="L92" s="43" t="str">
        <f>Berechnung2!L38</f>
        <v>durchschnittliche Follow-Up Quote &lt; 80%</v>
      </c>
      <c r="M92" s="43">
        <f>Berechnung2!M38</f>
        <v>0</v>
      </c>
      <c r="N92" s="43">
        <f>Berechnung2!N38</f>
        <v>0</v>
      </c>
      <c r="O92" s="42"/>
      <c r="P92" s="42"/>
      <c r="Z92" s="8"/>
    </row>
    <row r="93" spans="1:26" ht="14.25" hidden="1" customHeight="1" x14ac:dyDescent="0.2">
      <c r="A93" s="42" t="str">
        <f>Berechnung2!B39</f>
        <v>zu hohe Follow-Up Quote der Jahre 2019-2021</v>
      </c>
      <c r="C93" s="42">
        <f>Berechnung2!C39</f>
        <v>0</v>
      </c>
      <c r="D93" s="42" t="str">
        <f>Berechnung2!D39</f>
        <v>plausi</v>
      </c>
      <c r="E93" s="56" t="str">
        <f>Berechnung2!E39</f>
        <v>&gt;</v>
      </c>
      <c r="F93" s="56">
        <f>Berechnung2!F39</f>
        <v>0</v>
      </c>
      <c r="G93" s="56">
        <f>Berechnung2!G39</f>
        <v>0</v>
      </c>
      <c r="H93" s="56">
        <f>Berechnung2!H39</f>
        <v>0.99000999999999995</v>
      </c>
      <c r="I93" s="56">
        <f>Berechnung2!I39</f>
        <v>1</v>
      </c>
      <c r="J93" s="56">
        <f>Berechnung2!J39</f>
        <v>0.99000999999999995</v>
      </c>
      <c r="K93" s="43">
        <f>Berechnung2!K39</f>
        <v>0</v>
      </c>
      <c r="L93" s="43" t="str">
        <f>Berechnung2!L39</f>
        <v>durchschnittliche Follow-Up Quote &gt; 99%</v>
      </c>
      <c r="M93" s="43">
        <f>Berechnung2!M39</f>
        <v>0</v>
      </c>
      <c r="N93" s="43">
        <f>Berechnung2!N39</f>
        <v>0</v>
      </c>
      <c r="O93" s="42"/>
      <c r="P93" s="42"/>
      <c r="Z93" s="8"/>
    </row>
    <row r="94" spans="1:26" ht="14.25" hidden="1" customHeight="1" x14ac:dyDescent="0.2">
      <c r="A94" s="42" t="str">
        <f>Berechnung2!B40</f>
        <v xml:space="preserve">Fehler bei Ereignisse </v>
      </c>
      <c r="C94" s="42">
        <f>Berechnung2!C40</f>
        <v>0</v>
      </c>
      <c r="D94" s="42" t="str">
        <f>Berechnung2!D40</f>
        <v>inkorrekt</v>
      </c>
      <c r="E94" s="56">
        <f>Berechnung2!E40</f>
        <v>0</v>
      </c>
      <c r="F94" s="56">
        <f>Berechnung2!F40</f>
        <v>0</v>
      </c>
      <c r="G94" s="56">
        <f>Berechnung2!G40</f>
        <v>0</v>
      </c>
      <c r="H94" s="56">
        <f>Berechnung2!H40</f>
        <v>0</v>
      </c>
      <c r="I94" s="56">
        <f>Berechnung2!I40</f>
        <v>0</v>
      </c>
      <c r="J94" s="56">
        <f>Berechnung2!J40</f>
        <v>0</v>
      </c>
      <c r="K94" s="43">
        <f>Berechnung2!K40</f>
        <v>0</v>
      </c>
      <c r="L94" s="43" t="str">
        <f>Berechnung2!L40</f>
        <v>Werte in Spalte R,S,T dürfen den Wert Spalte Q nicht übersteigen</v>
      </c>
      <c r="M94" s="43">
        <f>Berechnung2!M40</f>
        <v>0</v>
      </c>
      <c r="N94" s="43" t="str">
        <f>Berechnung2!N40</f>
        <v>Eingabe kann nicht größer sein als Ereignisse Spalte Q</v>
      </c>
      <c r="O94" s="42"/>
      <c r="P94" s="42"/>
      <c r="Z94" s="8"/>
    </row>
    <row r="95" spans="1:26" ht="14.25" hidden="1" customHeight="1" x14ac:dyDescent="0.2">
      <c r="A95" s="42">
        <f>Berechnung2!B41</f>
        <v>0</v>
      </c>
      <c r="C95" s="42">
        <f>Berechnung2!C41</f>
        <v>0</v>
      </c>
      <c r="D95" s="42">
        <f>Berechnung2!D41</f>
        <v>0</v>
      </c>
      <c r="E95" s="56">
        <f>Berechnung2!E41</f>
        <v>0</v>
      </c>
      <c r="F95" s="56">
        <f>Berechnung2!F41</f>
        <v>0</v>
      </c>
      <c r="G95" s="56">
        <f>Berechnung2!G41</f>
        <v>0</v>
      </c>
      <c r="H95" s="56">
        <f>Berechnung2!H41</f>
        <v>0</v>
      </c>
      <c r="I95" s="56">
        <f>Berechnung2!I41</f>
        <v>0</v>
      </c>
      <c r="J95" s="56">
        <f>Berechnung2!J41</f>
        <v>0</v>
      </c>
      <c r="K95" s="43">
        <f>Berechnung2!K41</f>
        <v>0</v>
      </c>
      <c r="L95" s="43">
        <f>Berechnung2!L41</f>
        <v>0</v>
      </c>
      <c r="M95" s="43">
        <f>Berechnung2!M41</f>
        <v>0</v>
      </c>
      <c r="N95" s="43">
        <f>Berechnung2!N41</f>
        <v>0</v>
      </c>
      <c r="O95" s="42"/>
      <c r="P95" s="42"/>
      <c r="Z95" s="8"/>
    </row>
    <row r="96" spans="1:26" ht="14.25" hidden="1" customHeight="1" x14ac:dyDescent="0.2">
      <c r="A96" s="42" t="str">
        <f>Berechnung2!B42</f>
        <v>wenn sich Minuswerte berechnen</v>
      </c>
      <c r="C96" s="42">
        <f>Berechnung2!C42</f>
        <v>0</v>
      </c>
      <c r="D96" s="42" t="str">
        <f>Berechnung2!D42</f>
        <v>inkorrekt</v>
      </c>
      <c r="E96" s="56" t="str">
        <f>Berechnung2!E42</f>
        <v>&lt;</v>
      </c>
      <c r="F96" s="56">
        <f>Berechnung2!F42</f>
        <v>0</v>
      </c>
      <c r="G96" s="56">
        <f>Berechnung2!G42</f>
        <v>0</v>
      </c>
      <c r="H96" s="56">
        <f>Berechnung2!H42</f>
        <v>0</v>
      </c>
      <c r="I96" s="56">
        <f>Berechnung2!I42</f>
        <v>0</v>
      </c>
      <c r="J96" s="56">
        <f>Berechnung2!J42</f>
        <v>0</v>
      </c>
      <c r="K96" s="43">
        <f>Berechnung2!K42</f>
        <v>0</v>
      </c>
      <c r="L96" s="43" t="str">
        <f>Berechnung2!L42</f>
        <v>Zahlen in Spalte O dürfen keine negativen Werte annehmen</v>
      </c>
      <c r="M96" s="43">
        <f>Berechnung2!M42</f>
        <v>0</v>
      </c>
      <c r="N96" s="43"/>
      <c r="O96" s="42"/>
      <c r="P96" s="42"/>
      <c r="Z96" s="8"/>
    </row>
    <row r="97" spans="1:26" ht="14.25" hidden="1" customHeight="1" x14ac:dyDescent="0.2">
      <c r="A97" s="42">
        <f>Berechnung2!B43</f>
        <v>0</v>
      </c>
      <c r="C97" s="42">
        <f>Berechnung2!C43</f>
        <v>0</v>
      </c>
      <c r="D97" s="42">
        <f>Berechnung2!D43</f>
        <v>0</v>
      </c>
      <c r="E97" s="56">
        <f>Berechnung2!E43</f>
        <v>0</v>
      </c>
      <c r="F97" s="56">
        <f>Berechnung2!F43</f>
        <v>0</v>
      </c>
      <c r="G97" s="56">
        <f>Berechnung2!G43</f>
        <v>0</v>
      </c>
      <c r="H97" s="56">
        <f>Berechnung2!H43</f>
        <v>0</v>
      </c>
      <c r="I97" s="56">
        <f>Berechnung2!I43</f>
        <v>0</v>
      </c>
      <c r="J97" s="56">
        <f>Berechnung2!J43</f>
        <v>0</v>
      </c>
      <c r="K97" s="43">
        <f>Berechnung2!K43</f>
        <v>0</v>
      </c>
      <c r="L97" s="43">
        <f>Berechnung2!L43</f>
        <v>0</v>
      </c>
      <c r="M97" s="43">
        <f>Berechnung2!M43</f>
        <v>0</v>
      </c>
      <c r="N97" s="43">
        <f>Berechnung2!N43</f>
        <v>0</v>
      </c>
      <c r="O97" s="42"/>
      <c r="P97" s="42"/>
      <c r="Z97" s="8"/>
    </row>
    <row r="98" spans="1:26" ht="14.25" hidden="1" customHeight="1" x14ac:dyDescent="0.2">
      <c r="A98" s="42" t="str">
        <f>Berechnung2!B46</f>
        <v>DFS</v>
      </c>
      <c r="C98" s="42">
        <f>Berechnung2!C46</f>
        <v>0</v>
      </c>
      <c r="D98" s="42">
        <f>Berechnung2!D46</f>
        <v>0</v>
      </c>
      <c r="E98" s="42" t="str">
        <f>Berechnung2!E46</f>
        <v>von</v>
      </c>
      <c r="F98" s="42">
        <f>Berechnung2!F46</f>
        <v>0</v>
      </c>
      <c r="G98" s="42" t="str">
        <f>Berechnung2!G46</f>
        <v>untere Grenze</v>
      </c>
      <c r="H98" s="42">
        <f>Berechnung2!H46</f>
        <v>0</v>
      </c>
      <c r="I98" s="42">
        <f>Berechnung2!I46</f>
        <v>0</v>
      </c>
      <c r="J98" s="42" t="str">
        <f>Berechnung2!J46</f>
        <v>obere Grenze</v>
      </c>
      <c r="K98" s="42">
        <f>Berechnung2!K46</f>
        <v>0</v>
      </c>
      <c r="L98" s="42">
        <f>Berechnung2!L46</f>
        <v>0</v>
      </c>
      <c r="M98" s="42"/>
      <c r="N98" s="42">
        <f>Berechnung2!M46</f>
        <v>0</v>
      </c>
      <c r="O98" s="42"/>
      <c r="P98" s="42"/>
      <c r="Z98" s="8"/>
    </row>
    <row r="99" spans="1:26" ht="14.25" hidden="1" customHeight="1" x14ac:dyDescent="0.2">
      <c r="A99" s="42"/>
      <c r="C99" s="42"/>
      <c r="D99" s="42"/>
      <c r="E99" s="42"/>
      <c r="F99" s="42"/>
      <c r="G99" s="57"/>
      <c r="H99" s="57"/>
      <c r="I99" s="42"/>
      <c r="J99" s="57"/>
      <c r="K99" s="42"/>
      <c r="L99" s="42"/>
      <c r="M99" s="42"/>
      <c r="N99" s="42">
        <f>Berechnung2!M45</f>
        <v>0</v>
      </c>
      <c r="O99" s="42"/>
      <c r="P99" s="42"/>
      <c r="Z99" s="8"/>
    </row>
    <row r="100" spans="1:26" ht="14.25" hidden="1" customHeight="1" x14ac:dyDescent="0.2">
      <c r="A100" s="42"/>
      <c r="C100" s="42"/>
      <c r="D100" s="42"/>
      <c r="E100" s="42"/>
      <c r="F100" s="42"/>
      <c r="G100" s="57"/>
      <c r="H100" s="57"/>
      <c r="I100" s="42"/>
      <c r="J100" s="57"/>
      <c r="K100" s="42"/>
      <c r="L100" s="42"/>
      <c r="M100" s="42"/>
      <c r="N100" s="42" t="e">
        <f>Berechnung2!#REF!</f>
        <v>#REF!</v>
      </c>
      <c r="O100" s="42"/>
      <c r="P100" s="42"/>
      <c r="Z100" s="8"/>
    </row>
    <row r="101" spans="1:26" ht="14.25" hidden="1" customHeight="1" x14ac:dyDescent="0.2">
      <c r="A101" s="42" t="str">
        <f>Berechnung2!B47</f>
        <v>2018,</v>
      </c>
      <c r="C101" s="42">
        <f>Berechnung2!C47</f>
        <v>0</v>
      </c>
      <c r="D101" s="42">
        <f>Berechnung2!D47</f>
        <v>0</v>
      </c>
      <c r="E101" s="42">
        <f>Berechnung2!E47</f>
        <v>0</v>
      </c>
      <c r="F101" s="42">
        <f>Berechnung2!F47</f>
        <v>0.49998999999999999</v>
      </c>
      <c r="G101" s="57">
        <f>Berechnung2!G47</f>
        <v>0.49998999999999999</v>
      </c>
      <c r="H101" s="57">
        <f>Berechnung2!H47</f>
        <v>0</v>
      </c>
      <c r="I101" s="42">
        <f>Berechnung2!I47</f>
        <v>0.90000999999999998</v>
      </c>
      <c r="J101" s="57">
        <f>Berechnung2!J47</f>
        <v>0.90000999999999998</v>
      </c>
      <c r="K101" s="42">
        <f>Berechnung2!K47</f>
        <v>0</v>
      </c>
      <c r="L101" s="42" t="str">
        <f>Berechnung2!L47</f>
        <v>DFS auffällig niedrig oder hoch</v>
      </c>
      <c r="M101" s="42"/>
      <c r="N101" s="42" t="str">
        <f>Berechnung2!M47</f>
        <v>DFS auffällig niedrig oder hoch</v>
      </c>
      <c r="O101" s="42"/>
      <c r="P101" s="42"/>
      <c r="Z101" s="8"/>
    </row>
    <row r="102" spans="1:26" ht="14.25" hidden="1" customHeight="1" x14ac:dyDescent="0.2">
      <c r="A102" s="42" t="str">
        <f>Berechnung2!B48</f>
        <v xml:space="preserve">2019, </v>
      </c>
      <c r="C102" s="42">
        <f>Berechnung2!C48</f>
        <v>0</v>
      </c>
      <c r="D102" s="42">
        <f>Berechnung2!D48</f>
        <v>0</v>
      </c>
      <c r="E102" s="42">
        <f>Berechnung2!E48</f>
        <v>0</v>
      </c>
      <c r="F102" s="42">
        <f>Berechnung2!F48</f>
        <v>0.49998999999999999</v>
      </c>
      <c r="G102" s="57">
        <f>Berechnung2!G48</f>
        <v>0.49998999999999999</v>
      </c>
      <c r="H102" s="57">
        <f>Berechnung2!H48</f>
        <v>0</v>
      </c>
      <c r="I102" s="42">
        <f>Berechnung2!I48</f>
        <v>0.90000999999999998</v>
      </c>
      <c r="J102" s="57">
        <f>Berechnung2!J48</f>
        <v>0.90000999999999998</v>
      </c>
      <c r="K102" s="42">
        <f>Berechnung2!K48</f>
        <v>0</v>
      </c>
      <c r="L102" s="42" t="str">
        <f>Berechnung2!L48</f>
        <v>DFS auffällig niedrig oder hoch</v>
      </c>
      <c r="M102" s="42"/>
      <c r="N102" s="42" t="str">
        <f>Berechnung2!M48</f>
        <v>DFS auffällig niedrig oder hoch</v>
      </c>
      <c r="O102" s="42"/>
      <c r="P102" s="42"/>
      <c r="Z102" s="8"/>
    </row>
    <row r="103" spans="1:26" ht="14.25" hidden="1" customHeight="1" x14ac:dyDescent="0.2">
      <c r="A103" s="42" t="str">
        <f>Berechnung2!B49</f>
        <v xml:space="preserve">2020, </v>
      </c>
      <c r="C103" s="42">
        <f>Berechnung2!C49</f>
        <v>0</v>
      </c>
      <c r="D103" s="42">
        <f>Berechnung2!D49</f>
        <v>0</v>
      </c>
      <c r="E103" s="42">
        <f>Berechnung2!E49</f>
        <v>0</v>
      </c>
      <c r="F103" s="42">
        <f>Berechnung2!F49</f>
        <v>0.54998999999999998</v>
      </c>
      <c r="G103" s="57">
        <f>Berechnung2!G49</f>
        <v>0.54998999999999998</v>
      </c>
      <c r="H103" s="57">
        <f>Berechnung2!H49</f>
        <v>0</v>
      </c>
      <c r="I103" s="42">
        <f>Berechnung2!I49</f>
        <v>0.90000999999999998</v>
      </c>
      <c r="J103" s="57">
        <f>Berechnung2!J49</f>
        <v>0.90000999999999998</v>
      </c>
      <c r="K103" s="42">
        <f>Berechnung2!K49</f>
        <v>0</v>
      </c>
      <c r="L103" s="42" t="str">
        <f>Berechnung2!L49</f>
        <v>DFS auffällig niedrig oder hoch</v>
      </c>
      <c r="M103" s="42"/>
      <c r="N103" s="42" t="str">
        <f>Berechnung2!M49</f>
        <v>DFS auffällig niedrig oder hoch</v>
      </c>
      <c r="O103" s="42"/>
      <c r="P103" s="42"/>
      <c r="Z103" s="8"/>
    </row>
    <row r="104" spans="1:26" ht="14.25" hidden="1" customHeight="1" x14ac:dyDescent="0.2">
      <c r="A104" s="42" t="str">
        <f>Berechnung2!B50</f>
        <v xml:space="preserve">2021, </v>
      </c>
      <c r="C104" s="42">
        <f>Berechnung2!C50</f>
        <v>0</v>
      </c>
      <c r="D104" s="42">
        <f>Berechnung2!D50</f>
        <v>0</v>
      </c>
      <c r="E104" s="42">
        <f>Berechnung2!E50</f>
        <v>0</v>
      </c>
      <c r="F104" s="42">
        <f>Berechnung2!F50</f>
        <v>0.59999000000000002</v>
      </c>
      <c r="G104" s="57">
        <f>Berechnung2!G50</f>
        <v>0.59999000000000002</v>
      </c>
      <c r="H104" s="57">
        <f>Berechnung2!H50</f>
        <v>0</v>
      </c>
      <c r="I104" s="42">
        <f>Berechnung2!I50</f>
        <v>0.95001000000000002</v>
      </c>
      <c r="J104" s="57">
        <f>Berechnung2!J50</f>
        <v>0.95001000000000002</v>
      </c>
      <c r="K104" s="42">
        <f>Berechnung2!K50</f>
        <v>0</v>
      </c>
      <c r="L104" s="42" t="str">
        <f>Berechnung2!L50</f>
        <v>DFS auffällig niedrig oder hoch</v>
      </c>
      <c r="M104" s="42"/>
      <c r="N104" s="42" t="str">
        <f>Berechnung2!M50</f>
        <v>DFS auffällig niedrig oder hoch</v>
      </c>
      <c r="O104" s="42"/>
      <c r="P104" s="42"/>
      <c r="Z104" s="8"/>
    </row>
    <row r="105" spans="1:26" ht="14.25" hidden="1" customHeight="1" x14ac:dyDescent="0.2">
      <c r="A105" s="42" t="str">
        <f>Berechnung2!B51</f>
        <v xml:space="preserve">2022, </v>
      </c>
      <c r="C105" s="42">
        <f>Berechnung2!C51</f>
        <v>0</v>
      </c>
      <c r="D105" s="42">
        <f>Berechnung2!D51</f>
        <v>0</v>
      </c>
      <c r="E105" s="42">
        <f>Berechnung2!E51</f>
        <v>0</v>
      </c>
      <c r="F105" s="42">
        <f>Berechnung2!F51</f>
        <v>0.64998999999999996</v>
      </c>
      <c r="G105" s="57">
        <f>Berechnung2!G51</f>
        <v>0.64998999999999996</v>
      </c>
      <c r="H105" s="57">
        <f>Berechnung2!H51</f>
        <v>0</v>
      </c>
      <c r="I105" s="42">
        <f>Berechnung2!I51</f>
        <v>0.95001000000000002</v>
      </c>
      <c r="J105" s="57">
        <f>Berechnung2!J51</f>
        <v>0.95001000000000002</v>
      </c>
      <c r="K105" s="42">
        <f>Berechnung2!K51</f>
        <v>0</v>
      </c>
      <c r="L105" s="42" t="str">
        <f>Berechnung2!L51</f>
        <v>DFS auffällig niedrig oder hoch</v>
      </c>
      <c r="M105" s="42"/>
      <c r="N105" s="42" t="str">
        <f>Berechnung2!M51</f>
        <v>DFS auffällig niedrig oder hoch</v>
      </c>
      <c r="O105" s="42"/>
      <c r="P105" s="42"/>
      <c r="Z105" s="8"/>
    </row>
    <row r="106" spans="1:26" ht="14.25" hidden="1" customHeight="1" x14ac:dyDescent="0.2">
      <c r="A106" s="42">
        <f>Berechnung2!B52</f>
        <v>0</v>
      </c>
      <c r="C106" s="42">
        <f>Berechnung2!D52</f>
        <v>0</v>
      </c>
      <c r="D106" s="42">
        <f>Berechnung2!E52</f>
        <v>0</v>
      </c>
      <c r="E106" s="42">
        <f>Berechnung2!E52</f>
        <v>0</v>
      </c>
      <c r="F106" s="42">
        <f>Berechnung2!F52</f>
        <v>0</v>
      </c>
      <c r="G106" s="42">
        <f>Berechnung2!G52</f>
        <v>0</v>
      </c>
      <c r="H106" s="42">
        <f>Berechnung2!H52</f>
        <v>0</v>
      </c>
      <c r="I106" s="42">
        <f>Berechnung2!I52</f>
        <v>0</v>
      </c>
      <c r="J106" s="57">
        <f>Berechnung2!J52</f>
        <v>0</v>
      </c>
      <c r="K106" s="42">
        <f>Berechnung2!K52</f>
        <v>0</v>
      </c>
      <c r="L106" s="42">
        <f>Berechnung2!L52</f>
        <v>0</v>
      </c>
      <c r="M106" s="42"/>
      <c r="N106" s="42">
        <f>Berechnung2!M52</f>
        <v>0</v>
      </c>
      <c r="O106" s="42"/>
      <c r="P106" s="42"/>
      <c r="Z106" s="8"/>
    </row>
    <row r="107" spans="1:26" ht="14.25" hidden="1" customHeight="1" x14ac:dyDescent="0.2">
      <c r="A107" s="42" t="str">
        <f>Berechnung2!B55</f>
        <v>OAS</v>
      </c>
      <c r="C107" s="42">
        <f>Berechnung2!D55</f>
        <v>0</v>
      </c>
      <c r="D107" s="42">
        <f>Berechnung2!E55</f>
        <v>0</v>
      </c>
      <c r="E107" s="42">
        <f>Berechnung2!E55</f>
        <v>0</v>
      </c>
      <c r="F107" s="42">
        <f>Berechnung2!F55</f>
        <v>0</v>
      </c>
      <c r="G107" s="42" t="str">
        <f>Berechnung2!G55</f>
        <v>untere Grenze</v>
      </c>
      <c r="H107" s="42">
        <f>Berechnung2!H55</f>
        <v>0</v>
      </c>
      <c r="I107" s="42">
        <f>Berechnung2!I55</f>
        <v>0</v>
      </c>
      <c r="J107" s="42" t="str">
        <f>Berechnung2!J55</f>
        <v>obere Grenze</v>
      </c>
      <c r="K107" s="42">
        <f>Berechnung2!K53</f>
        <v>0</v>
      </c>
      <c r="L107" s="42">
        <f>Berechnung2!L53</f>
        <v>0</v>
      </c>
      <c r="M107" s="42"/>
      <c r="N107" s="42">
        <f>Berechnung2!M53</f>
        <v>0</v>
      </c>
      <c r="O107" s="42"/>
      <c r="P107" s="42"/>
      <c r="Z107" s="8"/>
    </row>
    <row r="108" spans="1:26" ht="14.25" hidden="1" customHeight="1" x14ac:dyDescent="0.2">
      <c r="A108" s="42"/>
      <c r="C108" s="42"/>
      <c r="D108" s="42"/>
      <c r="E108" s="42"/>
      <c r="F108" s="42"/>
      <c r="G108" s="57"/>
      <c r="H108" s="57"/>
      <c r="I108" s="42"/>
      <c r="J108" s="57"/>
      <c r="K108" s="42"/>
      <c r="L108" s="42"/>
      <c r="M108" s="42"/>
      <c r="N108" s="42">
        <f>Berechnung2!M54</f>
        <v>0</v>
      </c>
      <c r="O108" s="42"/>
      <c r="P108" s="42"/>
      <c r="Z108" s="8"/>
    </row>
    <row r="109" spans="1:26" ht="14.25" hidden="1" customHeight="1" x14ac:dyDescent="0.2">
      <c r="A109" s="42"/>
      <c r="C109" s="42"/>
      <c r="D109" s="42"/>
      <c r="E109" s="42"/>
      <c r="F109" s="42"/>
      <c r="G109" s="57"/>
      <c r="H109" s="57"/>
      <c r="I109" s="42"/>
      <c r="J109" s="57"/>
      <c r="K109" s="42"/>
      <c r="L109" s="42"/>
      <c r="M109" s="42"/>
      <c r="N109" s="42">
        <f>Berechnung2!M55</f>
        <v>0</v>
      </c>
      <c r="O109" s="42"/>
      <c r="P109" s="42"/>
      <c r="Z109" s="8"/>
    </row>
    <row r="110" spans="1:26" ht="14.25" hidden="1" customHeight="1" x14ac:dyDescent="0.2">
      <c r="A110" s="42" t="str">
        <f>Berechnung2!B56</f>
        <v>2018,</v>
      </c>
      <c r="C110" s="42">
        <f>Berechnung2!C56</f>
        <v>0</v>
      </c>
      <c r="D110" s="42">
        <f>Berechnung2!D56</f>
        <v>0</v>
      </c>
      <c r="E110" s="42">
        <f>Berechnung2!E56</f>
        <v>0</v>
      </c>
      <c r="F110" s="42">
        <f>Berechnung2!F56</f>
        <v>0.64998999999999996</v>
      </c>
      <c r="G110" s="57">
        <f>Berechnung2!G56</f>
        <v>0.64998999999999996</v>
      </c>
      <c r="H110" s="57">
        <f>Berechnung2!H56</f>
        <v>0</v>
      </c>
      <c r="I110" s="42">
        <f>Berechnung2!I56</f>
        <v>0.95001000000000002</v>
      </c>
      <c r="J110" s="57">
        <f>Berechnung2!J56</f>
        <v>0.95001000000000002</v>
      </c>
      <c r="K110" s="42">
        <f>Berechnung2!K56</f>
        <v>0</v>
      </c>
      <c r="L110" s="42" t="str">
        <f>Berechnung2!L56</f>
        <v>OAS auffällig niedrig oder hoch</v>
      </c>
      <c r="M110" s="42"/>
      <c r="N110" s="42" t="str">
        <f>Berechnung2!M56</f>
        <v>OAS auffällig niedrig oder hoch</v>
      </c>
      <c r="O110" s="42"/>
      <c r="P110" s="42"/>
      <c r="Z110" s="8"/>
    </row>
    <row r="111" spans="1:26" ht="14.25" hidden="1" customHeight="1" x14ac:dyDescent="0.2">
      <c r="A111" s="42" t="str">
        <f>Berechnung2!B57</f>
        <v xml:space="preserve">2019, </v>
      </c>
      <c r="C111" s="42">
        <f>Berechnung2!C57</f>
        <v>0</v>
      </c>
      <c r="D111" s="42">
        <f>Berechnung2!D57</f>
        <v>0</v>
      </c>
      <c r="E111" s="42">
        <f>Berechnung2!E57</f>
        <v>0</v>
      </c>
      <c r="F111" s="42">
        <f>Berechnung2!F57</f>
        <v>0.64998999999999996</v>
      </c>
      <c r="G111" s="57">
        <f>Berechnung2!G57</f>
        <v>0.64998999999999996</v>
      </c>
      <c r="H111" s="57">
        <f>Berechnung2!H57</f>
        <v>0</v>
      </c>
      <c r="I111" s="42">
        <f>Berechnung2!I57</f>
        <v>0.95001000000000002</v>
      </c>
      <c r="J111" s="57">
        <f>Berechnung2!J57</f>
        <v>0.95001000000000002</v>
      </c>
      <c r="K111" s="42">
        <f>Berechnung2!K57</f>
        <v>0</v>
      </c>
      <c r="L111" s="42" t="str">
        <f>Berechnung2!L57</f>
        <v>OAS auffällig niedrig oder hoch</v>
      </c>
      <c r="M111" s="42"/>
      <c r="N111" s="42" t="str">
        <f>Berechnung2!M57</f>
        <v>OAS auffällig niedrig oder hoch</v>
      </c>
      <c r="O111" s="42"/>
      <c r="P111" s="42"/>
      <c r="Z111" s="8"/>
    </row>
    <row r="112" spans="1:26" ht="14.25" hidden="1" customHeight="1" x14ac:dyDescent="0.2">
      <c r="A112" s="42" t="str">
        <f>Berechnung2!B58</f>
        <v xml:space="preserve">2020, </v>
      </c>
      <c r="C112" s="42">
        <f>Berechnung2!C58</f>
        <v>0</v>
      </c>
      <c r="D112" s="42">
        <f>Berechnung2!D58</f>
        <v>0</v>
      </c>
      <c r="E112" s="42">
        <f>Berechnung2!E58</f>
        <v>0</v>
      </c>
      <c r="F112" s="42">
        <f>Berechnung2!F58</f>
        <v>0.64998999999999996</v>
      </c>
      <c r="G112" s="57">
        <f>Berechnung2!G58</f>
        <v>0.64998999999999996</v>
      </c>
      <c r="H112" s="57">
        <f>Berechnung2!H58</f>
        <v>0</v>
      </c>
      <c r="I112" s="42">
        <f>Berechnung2!I58</f>
        <v>0.95001000000000002</v>
      </c>
      <c r="J112" s="57">
        <f>Berechnung2!J58</f>
        <v>0.95001000000000002</v>
      </c>
      <c r="K112" s="42">
        <f>Berechnung2!K58</f>
        <v>0</v>
      </c>
      <c r="L112" s="42" t="str">
        <f>Berechnung2!L58</f>
        <v>OAS auffällig niedrig oder hoch</v>
      </c>
      <c r="M112" s="42"/>
      <c r="N112" s="42" t="str">
        <f>Berechnung2!M58</f>
        <v>OAS auffällig niedrig oder hoch</v>
      </c>
      <c r="O112" s="42"/>
      <c r="P112" s="42"/>
      <c r="Z112" s="8"/>
    </row>
    <row r="113" spans="1:26" ht="14.25" hidden="1" customHeight="1" x14ac:dyDescent="0.2">
      <c r="A113" s="42" t="str">
        <f>Berechnung2!B59</f>
        <v xml:space="preserve">2021, </v>
      </c>
      <c r="C113" s="42">
        <f>Berechnung2!C59</f>
        <v>0</v>
      </c>
      <c r="D113" s="42">
        <f>Berechnung2!D59</f>
        <v>0</v>
      </c>
      <c r="E113" s="42">
        <f>Berechnung2!E59</f>
        <v>0</v>
      </c>
      <c r="F113" s="42">
        <f>Berechnung2!F59</f>
        <v>0.69999</v>
      </c>
      <c r="G113" s="57">
        <f>Berechnung2!G59</f>
        <v>0.69999</v>
      </c>
      <c r="H113" s="57">
        <f>Berechnung2!H59</f>
        <v>0</v>
      </c>
      <c r="I113" s="42">
        <f>Berechnung2!I59</f>
        <v>0.99000999999999995</v>
      </c>
      <c r="J113" s="57">
        <f>Berechnung2!J59</f>
        <v>0.99000999999999995</v>
      </c>
      <c r="K113" s="42">
        <f>Berechnung2!K59</f>
        <v>0</v>
      </c>
      <c r="L113" s="42" t="str">
        <f>Berechnung2!L59</f>
        <v>OAS auffällig niedrig oder hoch</v>
      </c>
      <c r="M113" s="42"/>
      <c r="N113" s="42" t="str">
        <f>Berechnung2!M59</f>
        <v>OAS auffällig niedrig oder hoch</v>
      </c>
      <c r="O113" s="42"/>
      <c r="P113" s="42"/>
      <c r="Z113" s="8"/>
    </row>
    <row r="114" spans="1:26" ht="14.25" hidden="1" customHeight="1" x14ac:dyDescent="0.2">
      <c r="A114" s="42" t="str">
        <f>Berechnung2!B60</f>
        <v xml:space="preserve">2022, </v>
      </c>
      <c r="C114" s="42">
        <f>Berechnung2!C60</f>
        <v>0</v>
      </c>
      <c r="D114" s="42">
        <f>Berechnung2!D60</f>
        <v>0</v>
      </c>
      <c r="E114" s="42">
        <f>Berechnung2!E60</f>
        <v>0</v>
      </c>
      <c r="F114" s="42">
        <f>Berechnung2!F60</f>
        <v>0.79998999999999998</v>
      </c>
      <c r="G114" s="57">
        <f>Berechnung2!G60</f>
        <v>0.79998999999999998</v>
      </c>
      <c r="H114" s="57">
        <f>Berechnung2!H60</f>
        <v>0</v>
      </c>
      <c r="I114" s="42">
        <f>Berechnung2!I60</f>
        <v>0.99000999999999995</v>
      </c>
      <c r="J114" s="57">
        <f>Berechnung2!J60</f>
        <v>0.99000999999999995</v>
      </c>
      <c r="K114" s="42">
        <f>Berechnung2!K60</f>
        <v>0</v>
      </c>
      <c r="L114" s="42" t="str">
        <f>Berechnung2!L60</f>
        <v>OAS auffällig niedrig oder hoch</v>
      </c>
      <c r="M114" s="42"/>
      <c r="N114" s="42" t="str">
        <f>Berechnung2!M60</f>
        <v>OAS auffällig niedrig oder hoch</v>
      </c>
      <c r="O114" s="42"/>
      <c r="P114" s="42"/>
      <c r="Z114" s="8"/>
    </row>
    <row r="115" spans="1:26" ht="14.25" customHeight="1" x14ac:dyDescent="0.2">
      <c r="Z115" s="8"/>
    </row>
    <row r="116" spans="1:26" ht="14.25" customHeight="1" x14ac:dyDescent="0.2">
      <c r="Z116" s="8"/>
    </row>
    <row r="117" spans="1:26" ht="14.25" customHeight="1" x14ac:dyDescent="0.2">
      <c r="Z117" s="8"/>
    </row>
    <row r="118" spans="1:26" ht="14.25" customHeight="1" x14ac:dyDescent="0.2">
      <c r="Z118" s="8"/>
    </row>
  </sheetData>
  <sheetProtection algorithmName="SHA-512" hashValue="Afa9awhpDlbadl9WYIKXF1gLsNfQ5Tw3N+BBvQAPHQBUT6tvam6tqKDy1KTQuCpMukYUSsMS7u6j09g39MG/iw==" saltValue="OwQ6svvprWzVbTx4a6hvgg==" spinCount="100000" sheet="1" objects="1" scenarios="1" selectLockedCells="1"/>
  <dataConsolidate/>
  <mergeCells count="99">
    <mergeCell ref="E72:G72"/>
    <mergeCell ref="E69:G69"/>
    <mergeCell ref="E70:G70"/>
    <mergeCell ref="E71:G71"/>
    <mergeCell ref="B70:D70"/>
    <mergeCell ref="B76:D76"/>
    <mergeCell ref="B66:D66"/>
    <mergeCell ref="B67:D67"/>
    <mergeCell ref="B68:D68"/>
    <mergeCell ref="B65:D65"/>
    <mergeCell ref="B69:D69"/>
    <mergeCell ref="E80:G80"/>
    <mergeCell ref="B80:D80"/>
    <mergeCell ref="B78:D78"/>
    <mergeCell ref="B79:D79"/>
    <mergeCell ref="B77:D77"/>
    <mergeCell ref="O29:W29"/>
    <mergeCell ref="Y29:Z29"/>
    <mergeCell ref="E75:G75"/>
    <mergeCell ref="B75:D75"/>
    <mergeCell ref="B73:D73"/>
    <mergeCell ref="B72:D72"/>
    <mergeCell ref="B71:D71"/>
    <mergeCell ref="B74:D74"/>
    <mergeCell ref="A42:Z42"/>
    <mergeCell ref="A41:Z41"/>
    <mergeCell ref="B64:D64"/>
    <mergeCell ref="B63:D63"/>
    <mergeCell ref="B61:D61"/>
    <mergeCell ref="B62:D62"/>
    <mergeCell ref="B60:D60"/>
    <mergeCell ref="E73:G73"/>
    <mergeCell ref="I29:M29"/>
    <mergeCell ref="E79:G79"/>
    <mergeCell ref="E78:G78"/>
    <mergeCell ref="E76:G76"/>
    <mergeCell ref="E77:G77"/>
    <mergeCell ref="E66:G66"/>
    <mergeCell ref="E67:G67"/>
    <mergeCell ref="E68:G68"/>
    <mergeCell ref="E65:G65"/>
    <mergeCell ref="E64:G64"/>
    <mergeCell ref="H59:Z59"/>
    <mergeCell ref="E63:G63"/>
    <mergeCell ref="E61:G61"/>
    <mergeCell ref="E62:G62"/>
    <mergeCell ref="E60:G60"/>
    <mergeCell ref="A33:Z33"/>
    <mergeCell ref="U21:U22"/>
    <mergeCell ref="O21:O22"/>
    <mergeCell ref="L21:L22"/>
    <mergeCell ref="G21:G22"/>
    <mergeCell ref="K21:K22"/>
    <mergeCell ref="E74:G74"/>
    <mergeCell ref="B59:D59"/>
    <mergeCell ref="E59:G59"/>
    <mergeCell ref="Y28:Z28"/>
    <mergeCell ref="Z21:Z22"/>
    <mergeCell ref="R22:T22"/>
    <mergeCell ref="I28:M28"/>
    <mergeCell ref="Y21:Y22"/>
    <mergeCell ref="W21:W22"/>
    <mergeCell ref="M21:M22"/>
    <mergeCell ref="O28:W28"/>
    <mergeCell ref="I21:I22"/>
    <mergeCell ref="J21:J22"/>
    <mergeCell ref="P21:P22"/>
    <mergeCell ref="Q21:Q22"/>
    <mergeCell ref="V21:V22"/>
    <mergeCell ref="C19:G19"/>
    <mergeCell ref="I19:W19"/>
    <mergeCell ref="Y19:Z19"/>
    <mergeCell ref="B14:F14"/>
    <mergeCell ref="G14:K14"/>
    <mergeCell ref="L14:R14"/>
    <mergeCell ref="W14:Z14"/>
    <mergeCell ref="S14:V14"/>
    <mergeCell ref="F6:W6"/>
    <mergeCell ref="F8:J8"/>
    <mergeCell ref="T8:W8"/>
    <mergeCell ref="B13:F13"/>
    <mergeCell ref="G13:K13"/>
    <mergeCell ref="L13:R13"/>
    <mergeCell ref="S13:V13"/>
    <mergeCell ref="W13:Z13"/>
    <mergeCell ref="A11:Z11"/>
    <mergeCell ref="A21:A22"/>
    <mergeCell ref="B21:B22"/>
    <mergeCell ref="C21:C22"/>
    <mergeCell ref="D21:D22"/>
    <mergeCell ref="F21:F22"/>
    <mergeCell ref="E21:E22"/>
    <mergeCell ref="A40:Z40"/>
    <mergeCell ref="A34:Z34"/>
    <mergeCell ref="A35:Z35"/>
    <mergeCell ref="A36:Z36"/>
    <mergeCell ref="A37:Z37"/>
    <mergeCell ref="A38:Z38"/>
    <mergeCell ref="A39:Z39"/>
  </mergeCells>
  <phoneticPr fontId="81" type="noConversion"/>
  <conditionalFormatting sqref="B23:B29">
    <cfRule type="expression" dxfId="123" priority="185" stopIfTrue="1">
      <formula>OR(A23="nicht relevant",A23="EZ")</formula>
    </cfRule>
  </conditionalFormatting>
  <conditionalFormatting sqref="B13:F13">
    <cfRule type="expression" dxfId="122" priority="25" stopIfTrue="1">
      <formula>$B$13="Nicht in Ordnung"</formula>
    </cfRule>
  </conditionalFormatting>
  <conditionalFormatting sqref="B14:F14">
    <cfRule type="expression" dxfId="121" priority="24" stopIfTrue="1">
      <formula>$B$14="die inkorrekten und unvollständigen Einträge beheben"</formula>
    </cfRule>
  </conditionalFormatting>
  <conditionalFormatting sqref="C23:C29">
    <cfRule type="cellIs" dxfId="120" priority="594" stopIfTrue="1" operator="lessThan">
      <formula>$G$89</formula>
    </cfRule>
    <cfRule type="expression" dxfId="119" priority="593" stopIfTrue="1">
      <formula>OR($A23="nicht relevant",$A23="EZ")</formula>
    </cfRule>
  </conditionalFormatting>
  <conditionalFormatting sqref="D23:G29">
    <cfRule type="expression" dxfId="118" priority="184" stopIfTrue="1">
      <formula>OR($A23="nicht relevant",$A23="EZ")</formula>
    </cfRule>
    <cfRule type="expression" dxfId="117" priority="189" stopIfTrue="1">
      <formula>LEN(TRIM(D23))=0</formula>
    </cfRule>
  </conditionalFormatting>
  <conditionalFormatting sqref="I23:I27">
    <cfRule type="expression" dxfId="116" priority="187" stopIfTrue="1">
      <formula>OR($A23="nicht relevant",$A23="EZ")</formula>
    </cfRule>
    <cfRule type="expression" dxfId="115" priority="190" stopIfTrue="1">
      <formula>LEN(TRIM(I23))=0</formula>
    </cfRule>
    <cfRule type="cellIs" dxfId="114" priority="191" stopIfTrue="1" operator="greaterThan">
      <formula>$C23-$G23</formula>
    </cfRule>
  </conditionalFormatting>
  <conditionalFormatting sqref="J23:L27">
    <cfRule type="expression" dxfId="113" priority="6" stopIfTrue="1">
      <formula>OR($A23="nicht relevant",$A23="EZ")</formula>
    </cfRule>
    <cfRule type="expression" dxfId="112" priority="9" stopIfTrue="1">
      <formula>LEN(TRIM(J23))=0</formula>
    </cfRule>
  </conditionalFormatting>
  <conditionalFormatting sqref="M23:M27">
    <cfRule type="expression" dxfId="111" priority="596" stopIfTrue="1">
      <formula>LEN(TRIM(M23))=0</formula>
    </cfRule>
    <cfRule type="expression" dxfId="110" priority="595" stopIfTrue="1">
      <formula>OR($A23="nicht relevant",$A23="EZ")</formula>
    </cfRule>
    <cfRule type="cellIs" dxfId="109" priority="597" stopIfTrue="1" operator="between">
      <formula>$G$91</formula>
      <formula>$I$91</formula>
    </cfRule>
  </conditionalFormatting>
  <conditionalFormatting sqref="M31">
    <cfRule type="cellIs" dxfId="108" priority="431" stopIfTrue="1" operator="between">
      <formula>$G$92</formula>
      <formula>$I$92</formula>
    </cfRule>
    <cfRule type="cellIs" dxfId="107" priority="432" stopIfTrue="1" operator="between">
      <formula>$H$93</formula>
      <formula>$I$93</formula>
    </cfRule>
    <cfRule type="cellIs" dxfId="106" priority="433" stopIfTrue="1" operator="equal">
      <formula>"---"</formula>
    </cfRule>
  </conditionalFormatting>
  <conditionalFormatting sqref="O23:O27">
    <cfRule type="cellIs" dxfId="105" priority="192" stopIfTrue="1" operator="lessThan">
      <formula>0</formula>
    </cfRule>
  </conditionalFormatting>
  <conditionalFormatting sqref="O23:W27">
    <cfRule type="expression" dxfId="104" priority="1" stopIfTrue="1">
      <formula>OR($A23="nicht relevant",$A23="EZ")</formula>
    </cfRule>
  </conditionalFormatting>
  <conditionalFormatting sqref="P23:P27">
    <cfRule type="cellIs" dxfId="103" priority="23" stopIfTrue="1" operator="between">
      <formula>$G$87</formula>
      <formula>$I$87</formula>
    </cfRule>
  </conditionalFormatting>
  <conditionalFormatting sqref="Q23:W27">
    <cfRule type="expression" dxfId="102" priority="2" stopIfTrue="1">
      <formula>LEN(TRIM(Q23))=0</formula>
    </cfRule>
  </conditionalFormatting>
  <conditionalFormatting sqref="R23:T27">
    <cfRule type="cellIs" dxfId="101" priority="5" stopIfTrue="1" operator="greaterThan">
      <formula>$Q23</formula>
    </cfRule>
  </conditionalFormatting>
  <conditionalFormatting sqref="Y23">
    <cfRule type="cellIs" dxfId="100" priority="484" stopIfTrue="1" operator="between">
      <formula>$D$101</formula>
      <formula>$F$101</formula>
    </cfRule>
    <cfRule type="cellIs" dxfId="99" priority="485" stopIfTrue="1" operator="greaterThan">
      <formula>$J101</formula>
    </cfRule>
  </conditionalFormatting>
  <conditionalFormatting sqref="Y24">
    <cfRule type="cellIs" dxfId="98" priority="487" stopIfTrue="1" operator="between">
      <formula>$D$102</formula>
      <formula>$F$102</formula>
    </cfRule>
    <cfRule type="cellIs" dxfId="97" priority="488" stopIfTrue="1" operator="greaterThan">
      <formula>$J$102</formula>
    </cfRule>
  </conditionalFormatting>
  <conditionalFormatting sqref="Y25">
    <cfRule type="cellIs" dxfId="96" priority="490" stopIfTrue="1" operator="between">
      <formula>$D$103</formula>
      <formula>$F$103</formula>
    </cfRule>
    <cfRule type="cellIs" dxfId="95" priority="491" stopIfTrue="1" operator="greaterThan">
      <formula>$J$103</formula>
    </cfRule>
  </conditionalFormatting>
  <conditionalFormatting sqref="Y26">
    <cfRule type="cellIs" dxfId="94" priority="493" stopIfTrue="1" operator="between">
      <formula>$D$104</formula>
      <formula>$F$104</formula>
    </cfRule>
    <cfRule type="cellIs" dxfId="93" priority="494" stopIfTrue="1" operator="greaterThan">
      <formula>$J$104</formula>
    </cfRule>
  </conditionalFormatting>
  <conditionalFormatting sqref="Y27">
    <cfRule type="cellIs" dxfId="92" priority="15" stopIfTrue="1" operator="greaterThan">
      <formula>$J$105</formula>
    </cfRule>
    <cfRule type="cellIs" dxfId="91" priority="14" stopIfTrue="1" operator="between">
      <formula>$D$105</formula>
      <formula>$F$105</formula>
    </cfRule>
  </conditionalFormatting>
  <conditionalFormatting sqref="Y23:Z27">
    <cfRule type="expression" dxfId="90" priority="13" stopIfTrue="1">
      <formula>LEN(TRIM(Y23))=0</formula>
    </cfRule>
  </conditionalFormatting>
  <conditionalFormatting sqref="Z23">
    <cfRule type="cellIs" dxfId="89" priority="500" stopIfTrue="1" operator="greaterThan">
      <formula>$J$110</formula>
    </cfRule>
    <cfRule type="cellIs" dxfId="88" priority="499" stopIfTrue="1" operator="between">
      <formula>$D$110</formula>
      <formula>$F$110</formula>
    </cfRule>
  </conditionalFormatting>
  <conditionalFormatting sqref="Z24">
    <cfRule type="cellIs" dxfId="87" priority="502" stopIfTrue="1" operator="between">
      <formula>$D$110</formula>
      <formula>$F$111</formula>
    </cfRule>
    <cfRule type="cellIs" dxfId="86" priority="503" stopIfTrue="1" operator="greaterThan">
      <formula>$J$111</formula>
    </cfRule>
  </conditionalFormatting>
  <conditionalFormatting sqref="Z25">
    <cfRule type="cellIs" dxfId="85" priority="505" stopIfTrue="1" operator="between">
      <formula>$D110</formula>
      <formula>$F112</formula>
    </cfRule>
  </conditionalFormatting>
  <conditionalFormatting sqref="Z25:Z26">
    <cfRule type="cellIs" dxfId="84" priority="506" stopIfTrue="1" operator="greaterThan">
      <formula>$J112</formula>
    </cfRule>
  </conditionalFormatting>
  <conditionalFormatting sqref="Z26:Z27">
    <cfRule type="cellIs" dxfId="83" priority="17" stopIfTrue="1" operator="between">
      <formula>$D110</formula>
      <formula>$F113</formula>
    </cfRule>
  </conditionalFormatting>
  <conditionalFormatting sqref="Z27">
    <cfRule type="cellIs" dxfId="82" priority="18" stopIfTrue="1" operator="greaterThan">
      <formula>$J114</formula>
    </cfRule>
  </conditionalFormatting>
  <dataValidations count="12">
    <dataValidation type="whole" showInputMessage="1" showErrorMessage="1" errorTitle="Eingabefehler" error="Anzahl Pat. im Follow-Up zu hoch." sqref="L23:L27" xr:uid="{00000000-0002-0000-0F00-000000000000}">
      <formula1>0</formula1>
      <formula2>C23-G23-J23-K23</formula2>
    </dataValidation>
    <dataValidation type="whole" showInputMessage="1" showErrorMessage="1" errorTitle="Eingabefehler" error="Anzahl Pat. im Follow-Up zu hoch." sqref="K23:K27" xr:uid="{00000000-0002-0000-0F00-000001000000}">
      <formula1>0</formula1>
      <formula2>C23-G23-J23-L23</formula2>
    </dataValidation>
    <dataValidation type="whole" showInputMessage="1" showErrorMessage="1" errorTitle="Eingabefehler" error="Anzahl Pat. im Follow-Up zu hoch." sqref="J23:J27" xr:uid="{00000000-0002-0000-0F00-000002000000}">
      <formula1>0</formula1>
      <formula2>C23-G23-K23-L23</formula2>
    </dataValidation>
    <dataValidation type="whole" showInputMessage="1" showErrorMessage="1" errorTitle="Eingabefehler" error="Eingabe kann nicht größer sein als Ereignisse Spalte Q." sqref="S23:T27" xr:uid="{00000000-0002-0000-0F00-000003000000}">
      <formula1>0</formula1>
      <formula2>$Q23</formula2>
    </dataValidation>
    <dataValidation type="whole" showInputMessage="1" showErrorMessage="1" errorTitle="Eingabefehler" error="Eingabe kann nicht größer sein als Ereignisse Spalte Q._x000a_" sqref="R23:R27" xr:uid="{00000000-0002-0000-0F00-000004000000}">
      <formula1>0</formula1>
      <formula2>$Q23</formula2>
    </dataValidation>
    <dataValidation type="whole" operator="greaterThanOrEqual" allowBlank="1" showInputMessage="1" showErrorMessage="1" errorTitle="Error" error="Minuszahlen..." sqref="C23:C29" xr:uid="{00000000-0002-0000-0F00-000005000000}">
      <formula1>0</formula1>
    </dataValidation>
    <dataValidation type="whole" allowBlank="1" showInputMessage="1" showErrorMessage="1" errorTitle="Eingabefehler" error="Ganze Zahl zwischen 0 und 5000 eingeben." sqref="D23:G29" xr:uid="{00000000-0002-0000-0F00-000006000000}">
      <formula1>0</formula1>
      <formula2>5000</formula2>
    </dataValidation>
    <dataValidation type="decimal" allowBlank="1" showInputMessage="1" showErrorMessage="1" errorTitle="Aufüllhinweis" error="Nur Prozentwerte zwischen 0% und 100% können verwendet werden." sqref="Y23:Z27" xr:uid="{00000000-0002-0000-0F00-000007000000}">
      <formula1>0</formula1>
      <formula2>1</formula2>
    </dataValidation>
    <dataValidation type="whole" showInputMessage="1" showErrorMessage="1" errorTitle="Eingabefehler" error="Summe Spalten Q+U+V+W (Patienten mit Ereignisse) darf nicht größer als Summe Spalten J+K (Patientenrückmeldungen) sein." sqref="W23:W27" xr:uid="{00000000-0002-0000-0F00-000008000000}">
      <formula1>0</formula1>
      <formula2>SUM($J23:$K23)-$U23-$V23-$Q23</formula2>
    </dataValidation>
    <dataValidation type="whole" showInputMessage="1" showErrorMessage="1" errorTitle="Eingabefehler" error="Summe Spalten Q+U+V+W (Patienten mit Ereignisse) darf nicht größer als Summe Spalten J+K (Patientenrückmeldungen) sein." sqref="V23:V27" xr:uid="{00000000-0002-0000-0F00-000009000000}">
      <formula1>0</formula1>
      <formula2>SUM($J23:$K23)-$U23-$Q23-$W23</formula2>
    </dataValidation>
    <dataValidation type="whole" showInputMessage="1" showErrorMessage="1" errorTitle="Eingabefehler" error="Summe Spalten Q+U+V+W (Patienten mit Ereignisse) darf nicht größer als Summe Spalten J+K (Patientenrückmeldungen) sein." sqref="U23:U27" xr:uid="{00000000-0002-0000-0F00-00000A000000}">
      <formula1>0</formula1>
      <formula2>SUM($J23:$K23)-$Q23-$V23-$W23</formula2>
    </dataValidation>
    <dataValidation type="whole" showInputMessage="1" showErrorMessage="1" errorTitle="Eingabefehler" error="Summe Spalten Q+U+V+W (Patienten mit Ereignisse) darf nicht größer als Summe Spalten J+K (Patientenrückmeldungen) sein." sqref="Q23:Q27" xr:uid="{00000000-0002-0000-0F00-00000B000000}">
      <formula1>0</formula1>
      <formula2>SUM($J23:$K23)-$U23-$V23-$W23</formula2>
    </dataValidation>
  </dataValidations>
  <pageMargins left="0.39370078740157483" right="3.937007874015748E-2" top="0.59055118110236227" bottom="0.39370078740157483" header="0.11811023622047245" footer="0.11811023622047245"/>
  <pageSetup paperSize="9" scale="96" orientation="landscape" r:id="rId1"/>
  <headerFooter>
    <oddFooter>&amp;L&amp;"Arial,Standard"&amp;7&amp;F&amp;C&amp;"Arial,Standard"&amp;7 © DKG  Alle Rechte vorbehalten&amp;R&amp;"Arial,Standard"&amp;7&amp;P</oddFooter>
  </headerFooter>
  <rowBreaks count="2" manualBreakCount="2">
    <brk id="32" max="16383" man="1"/>
    <brk id="56" max="16383" man="1"/>
  </rowBreaks>
  <drawing r:id="rId2"/>
  <legacyDrawing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Tabelle14"/>
  <dimension ref="A1:BK61"/>
  <sheetViews>
    <sheetView zoomScaleNormal="100" workbookViewId="0">
      <selection activeCell="B61" sqref="B61"/>
    </sheetView>
  </sheetViews>
  <sheetFormatPr defaultColWidth="9" defaultRowHeight="11.25" x14ac:dyDescent="0.25"/>
  <cols>
    <col min="1" max="1" width="20.7109375" style="35" customWidth="1"/>
    <col min="2" max="2" width="25.140625" style="35" customWidth="1"/>
    <col min="3" max="3" width="27.7109375" style="35" customWidth="1"/>
    <col min="4" max="4" width="22.85546875" style="35" customWidth="1"/>
    <col min="5" max="5" width="29.7109375" style="35" customWidth="1"/>
    <col min="6" max="6" width="31.42578125" style="35" customWidth="1"/>
    <col min="7" max="7" width="29.140625" style="169" customWidth="1"/>
    <col min="8" max="8" width="27" style="201" customWidth="1"/>
    <col min="9" max="9" width="27.7109375" style="164" customWidth="1"/>
    <col min="10" max="10" width="34.5703125" style="193" customWidth="1"/>
    <col min="11" max="11" width="29.85546875" style="35" customWidth="1"/>
    <col min="12" max="12" width="32.85546875" style="35" customWidth="1"/>
    <col min="13" max="13" width="30.28515625" style="35" customWidth="1"/>
    <col min="14" max="14" width="24.42578125" style="35" customWidth="1"/>
    <col min="15" max="15" width="14.7109375" style="35" customWidth="1"/>
    <col min="16" max="16" width="11.42578125" style="35" customWidth="1"/>
    <col min="17" max="17" width="27.140625" style="35" customWidth="1"/>
    <col min="18" max="18" width="27.5703125" style="35" customWidth="1"/>
    <col min="19" max="19" width="21.7109375" style="35" customWidth="1"/>
    <col min="20" max="20" width="19.7109375" style="35" customWidth="1"/>
    <col min="21" max="21" width="18.7109375" style="35" customWidth="1"/>
    <col min="22" max="160" width="11.42578125" style="35" customWidth="1"/>
    <col min="161" max="16384" width="9" style="35"/>
  </cols>
  <sheetData>
    <row r="1" spans="1:63" x14ac:dyDescent="0.25">
      <c r="G1" s="35"/>
      <c r="H1" s="193"/>
      <c r="I1" s="35"/>
    </row>
    <row r="2" spans="1:63" ht="12.75" customHeight="1" x14ac:dyDescent="0.25">
      <c r="A2" s="90" t="s">
        <v>358</v>
      </c>
      <c r="G2" s="35"/>
      <c r="H2" s="193"/>
      <c r="I2" s="35"/>
      <c r="AI2" s="164"/>
      <c r="BJ2" s="169"/>
    </row>
    <row r="3" spans="1:63" ht="14.25" customHeight="1" x14ac:dyDescent="0.25">
      <c r="AI3" s="164"/>
      <c r="BJ3" s="169"/>
    </row>
    <row r="4" spans="1:63" x14ac:dyDescent="0.25">
      <c r="G4" s="35"/>
      <c r="H4" s="193"/>
      <c r="I4" s="35"/>
      <c r="AI4" s="164"/>
      <c r="BJ4" s="169"/>
    </row>
    <row r="5" spans="1:63" ht="15" customHeight="1" x14ac:dyDescent="0.25">
      <c r="B5" s="160" t="s">
        <v>352</v>
      </c>
      <c r="C5" s="131" t="s">
        <v>345</v>
      </c>
      <c r="D5" s="161" t="s">
        <v>294</v>
      </c>
      <c r="E5" s="162" t="s">
        <v>353</v>
      </c>
      <c r="F5" s="163" t="s">
        <v>354</v>
      </c>
      <c r="G5" s="35"/>
      <c r="H5" s="193"/>
      <c r="I5" s="35"/>
      <c r="AI5" s="164"/>
      <c r="BI5" s="158"/>
    </row>
    <row r="6" spans="1:63" x14ac:dyDescent="0.25">
      <c r="B6" s="236" t="str">
        <f>IF(AND(E6=0,F6=0,Berechnung3!A7="relevant"),B8,IF(OR(Berechnung3!A7="nicht relevant",Berechnung3!A7="EZ"),"",B9))</f>
        <v/>
      </c>
      <c r="C6" s="165">
        <f>Berechnung3!J70</f>
        <v>0</v>
      </c>
      <c r="D6" s="166">
        <f>Berechnung3!J71</f>
        <v>0</v>
      </c>
      <c r="E6" s="167">
        <f>Berechnung3!J69</f>
        <v>0</v>
      </c>
      <c r="F6" s="168">
        <f>Berechnung3!J68</f>
        <v>0</v>
      </c>
      <c r="G6" s="35"/>
      <c r="H6" s="193"/>
      <c r="I6" s="35"/>
      <c r="AI6" s="164"/>
    </row>
    <row r="7" spans="1:63" x14ac:dyDescent="0.25">
      <c r="G7" s="35"/>
      <c r="H7" s="193"/>
      <c r="I7" s="35"/>
      <c r="AI7" s="164"/>
    </row>
    <row r="8" spans="1:63" x14ac:dyDescent="0.25">
      <c r="A8" s="90" t="s">
        <v>268</v>
      </c>
      <c r="B8" s="35" t="s">
        <v>405</v>
      </c>
      <c r="G8" s="35"/>
      <c r="H8" s="193"/>
      <c r="I8" s="35"/>
      <c r="AI8" s="164"/>
    </row>
    <row r="9" spans="1:63" x14ac:dyDescent="0.25">
      <c r="B9" s="35" t="s">
        <v>290</v>
      </c>
      <c r="G9" s="35"/>
      <c r="H9" s="193"/>
      <c r="I9" s="35"/>
      <c r="AI9" s="164"/>
    </row>
    <row r="10" spans="1:63" x14ac:dyDescent="0.25">
      <c r="G10" s="35"/>
      <c r="H10" s="193"/>
      <c r="I10" s="35"/>
      <c r="AI10" s="164"/>
    </row>
    <row r="11" spans="1:63" x14ac:dyDescent="0.25">
      <c r="A11" s="164"/>
      <c r="B11" s="90" t="s">
        <v>378</v>
      </c>
      <c r="G11" s="35"/>
      <c r="H11" s="193"/>
      <c r="I11" s="35"/>
      <c r="AI11" s="164"/>
    </row>
    <row r="12" spans="1:63" x14ac:dyDescent="0.25">
      <c r="A12" s="164"/>
      <c r="G12" s="35"/>
      <c r="H12" s="193"/>
      <c r="I12" s="35"/>
      <c r="AI12" s="164"/>
    </row>
    <row r="13" spans="1:63" x14ac:dyDescent="0.25">
      <c r="A13" s="164"/>
      <c r="B13" s="956" t="s">
        <v>364</v>
      </c>
      <c r="C13" s="958" t="s">
        <v>380</v>
      </c>
      <c r="D13" s="901" t="s">
        <v>363</v>
      </c>
      <c r="E13" s="960" t="s">
        <v>236</v>
      </c>
      <c r="G13" s="35"/>
      <c r="H13" s="193"/>
      <c r="I13" s="35"/>
      <c r="AI13" s="164"/>
    </row>
    <row r="14" spans="1:63" x14ac:dyDescent="0.25">
      <c r="A14" s="164"/>
      <c r="B14" s="957"/>
      <c r="C14" s="959"/>
      <c r="D14" s="901"/>
      <c r="E14" s="961"/>
      <c r="G14" s="35"/>
      <c r="H14" s="193"/>
      <c r="I14" s="122" t="s">
        <v>236</v>
      </c>
      <c r="J14" s="91" t="s">
        <v>237</v>
      </c>
      <c r="AI14" s="164"/>
    </row>
    <row r="15" spans="1:63" ht="38.1" customHeight="1" x14ac:dyDescent="0.25">
      <c r="A15" s="158" t="s">
        <v>377</v>
      </c>
      <c r="B15" s="34" t="str">
        <f>CONCATENATE(IF(Berechnung3!$H$2=Berechnung2!$L$32,Berechnung3!$B$2,""),IF(Berechnung3!$H$3=Berechnung2!$L$32,Berechnung3!$B$3,""),IF(Berechnung3!$H$4=Berechnung2!$L$32,Berechnung3!$B$4,""),IF(Berechnung3!$H$5=Berechnung2!$L$32,Berechnung3!$B$5,""),IF(Berechnung3!$H$6=Berechnung2!$L$32,Berechnung3!$B$6,""),IF(Berechnung3!$H$7=Berechnung2!$L$32,Berechnung3!$B$7,""),IF(Berechnung3!$H$8=Berechnung2!$L$32,Berechnung3!$B$8,""))</f>
        <v/>
      </c>
      <c r="C15" s="34">
        <f>IF(LEN(B15)&gt;0,"X",0)</f>
        <v>0</v>
      </c>
      <c r="D15" s="34" t="str">
        <f>IF(COUNTIF(Berechnung3!$H$2:$H$8,Berechnung2!$L$32)&gt;0,CONCATENATE(Berechnung2!$F$5,"                                     ",Berechnung2!$L$32),"")</f>
        <v/>
      </c>
      <c r="E15" s="34" t="str">
        <f>IF(COUNTIF(Berechnung3!$H$2:$H$8,Berechnung2!$L$32)&gt;0,"a","")</f>
        <v/>
      </c>
      <c r="G15" s="127" t="e">
        <f t="array" ref="G15">INDEX(B:B,SMALL(IF($C$15:$C$25="X",ROW($15:$25)),1))</f>
        <v>#NUM!</v>
      </c>
      <c r="H15" s="230" t="e">
        <f t="array" ref="H15">INDEX(D:D,SMALL(IF($C$15:$C$25="X",ROW($15:$25)),1))</f>
        <v>#NUM!</v>
      </c>
      <c r="I15" s="94" t="e">
        <f t="array" ref="I15">INDEX(E:E,SMALL(IF($C$15:$C$25="X",ROW($15:$25)),1))</f>
        <v>#NUM!</v>
      </c>
      <c r="J15" s="34" t="e">
        <f>IF(AND('Datendefizite_Matrix-Kolon'!C19="",I15&lt;&gt;""),"Anmerkung OnkoZert : Keine Erläuterung vorhanden",'Datendefizite_Matrix-Kolon'!C19)</f>
        <v>#NUM!</v>
      </c>
      <c r="AJ15" s="164"/>
    </row>
    <row r="16" spans="1:63" ht="38.1" customHeight="1" x14ac:dyDescent="0.25">
      <c r="A16" s="158" t="s">
        <v>382</v>
      </c>
      <c r="B16" s="34" t="str">
        <f>CONCATENATE(IF(Berechnung3!$H$9=Berechnung2!$L$36,Berechnung3!$B$2,""),IF(Berechnung3!$H$10=Berechnung2!$L$36,Berechnung3!$B$3,""),IF(Berechnung3!$H$11=Berechnung2!$L$36,Berechnung3!$B$4,""),IF(Berechnung3!$H$12=Berechnung2!$L$36,Berechnung3!$B$5,""),IF(Berechnung3!$H$13=Berechnung2!$L$36,Berechnung3!$B$6,""),IF(Berechnung3!$H$14=Berechnung2!$L$36,Berechnung3!$B$7,""))</f>
        <v/>
      </c>
      <c r="C16" s="34">
        <f>IF(LEN(B16)&gt;0,"X",0)</f>
        <v>0</v>
      </c>
      <c r="D16" s="34" t="str">
        <f>IF(COUNTIF(Berechnung3!$H$9:$H$14,Berechnung2!$L$36)&gt;0,CONCATENATE(Berechnung2!$E$5,"                                     ",Berechnung2!$L$36),"")</f>
        <v/>
      </c>
      <c r="E16" s="34" t="str">
        <f>IF(COUNTIF(Berechnung3!$H$9:$H$13,Berechnung2!$L$36)&gt;0,"b","")</f>
        <v/>
      </c>
      <c r="G16" s="127" t="e">
        <f t="array" ref="G16">INDEX(B:B,SMALL(IF($C$15:$C$25="X",ROW($15:$25)),2))</f>
        <v>#NUM!</v>
      </c>
      <c r="H16" s="230" t="e">
        <f t="array" ref="H16">INDEX(D:D,SMALL(IF($C$15:$C$25="X",ROW($15:$25)),2))</f>
        <v>#NUM!</v>
      </c>
      <c r="I16" s="94" t="e">
        <f t="array" ref="I16">INDEX(E:E,SMALL(IF($C$15:$C$25="X",ROW($15:$25)),2))</f>
        <v>#NUM!</v>
      </c>
      <c r="J16" s="34" t="e">
        <f>IF(AND('Datendefizite_Matrix-Kolon'!C20="",I16&lt;&gt;""),"Anmerkung OnkoZert : Keine Erläuterung vorhanden",'Datendefizite_Matrix-Kolon'!C20)</f>
        <v>#NUM!</v>
      </c>
      <c r="AJ16" s="164"/>
      <c r="BK16" s="170"/>
    </row>
    <row r="17" spans="1:63" ht="38.1" customHeight="1" x14ac:dyDescent="0.25">
      <c r="A17" s="158" t="s">
        <v>383</v>
      </c>
      <c r="B17" s="156" t="str">
        <f>CONCATENATE(IF(Berechnung3!$H$16=Berechnung2!$L$42,Berechnung3!$B$2,""),IF(Berechnung3!$H$17=Berechnung2!$L$42,Berechnung3!$B$3,""),IF(Berechnung3!$H$18=Berechnung2!$L$42,Berechnung3!$B$4,""),IF(Berechnung3!$H$19=Berechnung2!$L$42,Berechnung3!$B$5,""),IF(Berechnung3!$H$20=Berechnung2!$L$42,Berechnung3!$B$6,""),IF(Berechnung3!$H$21=Berechnung2!$L$42,Berechnung3!$B$7,""))</f>
        <v/>
      </c>
      <c r="C17" s="34">
        <f>IF(LEN(B17)&gt;0,"X",0)</f>
        <v>0</v>
      </c>
      <c r="D17" s="34" t="str">
        <f>IF(COUNTIF(Berechnung3!$H$16:$H$21,Berechnung2!$L$42)&gt;0,CONCATENATE(Berechnung2!$E$5,"                                     ",Berechnung2!$L$42),"")</f>
        <v/>
      </c>
      <c r="E17" s="34" t="str">
        <f>IF(COUNTIF(Berechnung3!$H$16:$H$20,Berechnung2!$L$42)&gt;0,"c","")</f>
        <v/>
      </c>
      <c r="G17" s="127" t="e">
        <f t="array" ref="G17">INDEX(B:B,SMALL(IF($C$15:$C$25="X",ROW($15:$25)),3))</f>
        <v>#NUM!</v>
      </c>
      <c r="H17" s="230" t="e">
        <f t="array" ref="H17">INDEX(D:D,SMALL(IF($C$15:$C$25="X",ROW($15:$25)),3))</f>
        <v>#NUM!</v>
      </c>
      <c r="I17" s="94" t="e">
        <f t="array" ref="I17">INDEX(E:E,SMALL(IF($C$15:$C$25="X",ROW($15:$25)),3))</f>
        <v>#NUM!</v>
      </c>
      <c r="J17" s="34" t="e">
        <f>IF(AND('Datendefizite_Matrix-Kolon'!C21="",I17&lt;&gt;""),"Anmerkung OnkoZert : Keine Erläuterung vorhanden",'Datendefizite_Matrix-Kolon'!C21)</f>
        <v>#NUM!</v>
      </c>
      <c r="AJ17" s="164"/>
    </row>
    <row r="18" spans="1:63" ht="38.1" customHeight="1" x14ac:dyDescent="0.25">
      <c r="A18" s="158" t="s">
        <v>381</v>
      </c>
      <c r="B18" s="156" t="str">
        <f>CONCATENATE(IF(Berechnung3!$H$23=Berechnung2!$L$40,Berechnung3!$B$2,""),IF(Berechnung3!$H$24=Berechnung2!$L$40,Berechnung3!$B$3,""),IF(Berechnung3!$H$25=Berechnung2!$L$40,Berechnung3!$B$4,""),IF(Berechnung3!$H$26=Berechnung2!$L$40,Berechnung3!$B$5,""),IF(Berechnung3!$H$27=Berechnung2!$L$40,Berechnung3!$B$6,""),IF(Berechnung3!$H$28=Berechnung2!$L$40,Berechnung3!$B$7,""))</f>
        <v/>
      </c>
      <c r="C18" s="34">
        <f>IF(LEN(B18)&gt;0,"X",0)</f>
        <v>0</v>
      </c>
      <c r="D18" s="34" t="str">
        <f>IF(COUNTIF(Berechnung3!$H$23:$H$28,Berechnung2!$L$40)&gt;0,CONCATENATE(Berechnung2!$E$5,"                                     ",Berechnung2!$L$40),"")</f>
        <v/>
      </c>
      <c r="E18" s="34" t="str">
        <f>IF(COUNTIF(Berechnung3!$H$23:$H$27,Berechnung2!$L$40)&gt;0,"d","")</f>
        <v/>
      </c>
      <c r="G18" s="127" t="e">
        <f t="array" ref="G18">INDEX(B:B,SMALL(IF($C$15:$C$25="X",ROW($15:$25)),4))</f>
        <v>#NUM!</v>
      </c>
      <c r="H18" s="230" t="e">
        <f t="array" ref="H18">INDEX(D:D,SMALL(IF($C$15:$C$25="X",ROW($15:$25)),4))</f>
        <v>#NUM!</v>
      </c>
      <c r="I18" s="94" t="e">
        <f t="array" ref="I18">INDEX(E:E,SMALL(IF($C$15:$C$25="X",ROW($15:$25)),4))</f>
        <v>#NUM!</v>
      </c>
      <c r="J18" s="34" t="e">
        <f>IF(AND('Datendefizite_Matrix-Kolon'!C22="",I18&lt;&gt;""),"Anmerkung OnkoZert : Keine Erläuterung vorhanden",'Datendefizite_Matrix-Kolon'!C22)</f>
        <v>#NUM!</v>
      </c>
      <c r="AJ18" s="164"/>
      <c r="BK18" s="169"/>
    </row>
    <row r="19" spans="1:63" ht="38.1" customHeight="1" x14ac:dyDescent="0.25">
      <c r="A19" s="158" t="s">
        <v>292</v>
      </c>
      <c r="B19" s="123" t="s">
        <v>1823</v>
      </c>
      <c r="C19" s="34">
        <f>IF(LEN(D19)&gt;0,"X",0)</f>
        <v>0</v>
      </c>
      <c r="D19" s="34" t="str">
        <f>IF(COUNTIF(Berechnung3!$H$30,Berechnung2!$L$38)&gt;0,CONCATENATE(Berechnung2!$D$5,"                                     ",Berechnung2!$L$38),"")</f>
        <v/>
      </c>
      <c r="E19" s="34" t="str">
        <f>IF(COUNTIF(Berechnung3!$H$30,Berechnung2!$L$38)&gt;0,"e","")</f>
        <v/>
      </c>
      <c r="G19" s="127" t="e">
        <f t="array" ref="G19">INDEX(B:B,SMALL(IF($C$15:$C$25="X",ROW($15:$25)),5))</f>
        <v>#NUM!</v>
      </c>
      <c r="H19" s="230" t="e">
        <f t="array" ref="H19">INDEX(D:D,SMALL(IF($C$15:$C$25="X",ROW($15:$25)),5))</f>
        <v>#NUM!</v>
      </c>
      <c r="I19" s="94" t="e">
        <f t="array" ref="I19">INDEX(E:E,SMALL(IF($C$15:$C$25="X",ROW($15:$25)),5))</f>
        <v>#NUM!</v>
      </c>
      <c r="J19" s="34" t="e">
        <f>IF(AND('Datendefizite_Matrix-Kolon'!C23="",I19&lt;&gt;""),"Anmerkung OnkoZert : Keine Erläuterung vorhanden",'Datendefizite_Matrix-Kolon'!C23)</f>
        <v>#NUM!</v>
      </c>
    </row>
    <row r="20" spans="1:63" ht="38.1" customHeight="1" x14ac:dyDescent="0.25">
      <c r="A20" s="158" t="s">
        <v>384</v>
      </c>
      <c r="B20" s="34" t="str">
        <f>CONCATENATE(IF(Berechnung3!$H$31=Berechnung2!$L$35,Berechnung3!$B$2,""),IF(Berechnung3!$H$32=Berechnung2!$L$35,Berechnung3!$B$3,""),IF(Berechnung3!$H$33=Berechnung2!$L$35,Berechnung3!$B$4,""),IF(Berechnung3!$H$34=Berechnung2!$L$35,Berechnung3!$B$5,""),IF(Berechnung3!$H$35=Berechnung2!$L$35,Berechnung3!$B$6,""),IF(Berechnung3!$H$36=Berechnung2!$L$35,Berechnung3!$B$7,""),IF(Berechnung3!$H$37=Berechnung2!$L$35,Berechnung3!$B$8,""))</f>
        <v/>
      </c>
      <c r="C20" s="34">
        <f>IF(LEN(B20)&gt;0,"X",0)</f>
        <v>0</v>
      </c>
      <c r="D20" s="34" t="str">
        <f>IF(COUNTIF(Berechnung3!$H$31:$H$37,Berechnung2!$L$35)&gt;0,CONCATENATE(Berechnung2!$C$5,"                                     ",Berechnung2!$L$35),"")</f>
        <v/>
      </c>
      <c r="E20" s="34" t="str">
        <f>IF(COUNTIF(Berechnung3!$H$31:$H$37,Berechnung2!$L$35)&gt;0,"f","")</f>
        <v/>
      </c>
      <c r="G20" s="127" t="e">
        <f t="array" ref="G20">INDEX(B:B,SMALL(IF($C$15:$C$25="X",ROW($15:$25)),6))</f>
        <v>#NUM!</v>
      </c>
      <c r="H20" s="230" t="e">
        <f t="array" ref="H20">INDEX(D:D,SMALL(IF($C$15:$C$25="X",ROW($15:$25)),6))</f>
        <v>#NUM!</v>
      </c>
      <c r="I20" s="94" t="e">
        <f t="array" ref="I20">INDEX(E:E,SMALL(IF($C$15:$C$25="X",ROW($15:$25)),6))</f>
        <v>#NUM!</v>
      </c>
      <c r="J20" s="34" t="e">
        <f>IF(AND('Datendefizite_Matrix-Kolon'!C24="",I20&lt;&gt;""),"Anmerkung OnkoZert : Keine Erläuterung vorhanden",'Datendefizite_Matrix-Kolon'!C24)</f>
        <v>#NUM!</v>
      </c>
    </row>
    <row r="21" spans="1:63" ht="38.1" customHeight="1" x14ac:dyDescent="0.25">
      <c r="A21" s="158"/>
      <c r="B21" s="123" t="s">
        <v>1823</v>
      </c>
      <c r="C21" s="34">
        <f>IF(LEN(D21)&gt;0,"X",0)</f>
        <v>0</v>
      </c>
      <c r="D21" s="34" t="str">
        <f>IF(COUNTIF(Berechnung3!$H$38,Berechnung2!$L$39),CONCATENATE(Berechnung2!$C$5,"                                     ",Berechnung2!$L$39),"")</f>
        <v/>
      </c>
      <c r="E21" s="34" t="str">
        <f>IF(COUNTIF(Berechnung3!$H$38,Berechnung2!$L$39)&gt;0,"g","")</f>
        <v/>
      </c>
      <c r="G21" s="127" t="e">
        <f t="array" ref="G21">INDEX(B:B,SMALL(IF($C$15:$C$25="X",ROW($15:$25)),7))</f>
        <v>#NUM!</v>
      </c>
      <c r="H21" s="230" t="e">
        <f t="array" ref="H21">INDEX(D:D,SMALL(IF($C$15:$C$25="X",ROW($15:$25)),7))</f>
        <v>#NUM!</v>
      </c>
      <c r="I21" s="94" t="e">
        <f t="array" ref="I21">INDEX(E:E,SMALL(IF($C$15:$C$25="X",ROW($15:$25)),7))</f>
        <v>#NUM!</v>
      </c>
      <c r="J21" s="34" t="e">
        <f>IF(AND('Datendefizite_Matrix-Kolon'!C25="",I21&lt;&gt;""),"Anmerkung OnkoZert : Keine Erläuterung vorhanden",'Datendefizite_Matrix-Kolon'!C25)</f>
        <v>#NUM!</v>
      </c>
    </row>
    <row r="22" spans="1:63" ht="38.1" customHeight="1" x14ac:dyDescent="0.25">
      <c r="A22" s="158" t="s">
        <v>385</v>
      </c>
      <c r="B22" s="34" t="str">
        <f>CONCATENATE(IF(Berechnung3!$H$39=Berechnung2!$L$37,Berechnung3!$B$2,""),IF(Berechnung3!$H$40=Berechnung2!$L$37,Berechnung3!$B$3,""),IF(Berechnung3!$H$41=Berechnung2!$L$37,Berechnung3!$B$4,""),IF(Berechnung3!$H$42=Berechnung2!$L$37,Berechnung3!$B$5,""),IF(Berechnung3!$H$43=Berechnung2!$L$37,Berechnung3!$B$6,""),IF(Berechnung3!$H$44=Berechnung2!$L$37,Berechnung3!$B$7,""),IF(Berechnung3!$H$45=Berechnung2!$L$37,Berechnung3!$B$8,""))</f>
        <v/>
      </c>
      <c r="C22" s="34">
        <f>IF(LEN(B22)&gt;0,"X",0)</f>
        <v>0</v>
      </c>
      <c r="D22" s="34" t="str">
        <f>IF(COUNTIF(Berechnung3!H39:H44,Berechnung2!$L$37)&gt;0,CONCATENATE(Berechnung2!$C$5,"                                     ",Berechnung2!$L$37),"")</f>
        <v/>
      </c>
      <c r="E22" s="34" t="str">
        <f>IF(COUNTIF(Berechnung3!H39:H43,Berechnung2!$L$37)&gt;0,"h","")</f>
        <v/>
      </c>
      <c r="G22" s="127" t="e">
        <f t="array" ref="G22">INDEX(B:B,SMALL(IF($C$15:$C$25="X",ROW($15:$25)),8))</f>
        <v>#NUM!</v>
      </c>
      <c r="H22" s="230" t="e">
        <f t="array" ref="H22">INDEX(D:D,SMALL(IF($C$15:$C$25="X",ROW($15:$25)),8))</f>
        <v>#NUM!</v>
      </c>
      <c r="I22" s="94" t="e">
        <f t="array" ref="I22">INDEX(E:E,SMALL(IF($C$15:$C$25="X",ROW($15:$25)),8))</f>
        <v>#NUM!</v>
      </c>
      <c r="J22" s="34" t="e">
        <f>IF(AND('Datendefizite_Matrix-Kolon'!C26="",I22&lt;&gt;""),"Anmerkung OnkoZert : Keine Erläuterung vorhanden",'Datendefizite_Matrix-Kolon'!C26)</f>
        <v>#NUM!</v>
      </c>
    </row>
    <row r="23" spans="1:63" ht="38.1" customHeight="1" x14ac:dyDescent="0.25">
      <c r="A23" s="158" t="s">
        <v>386</v>
      </c>
      <c r="B23" s="34" t="str">
        <f>CONCATENATE(IF(Berechnung3!$H$46=Berechnung2!$L$33,Berechnung3!$B$2,""),IF(Berechnung3!$H$47=Berechnung2!$L$33,Berechnung3!$B$3,""),IF(Berechnung3!$H$48=Berechnung2!$L$33,Berechnung3!$B$4,""),IF(Berechnung3!$H$49=Berechnung2!$L$33,Berechnung3!$B$5,""),IF(Berechnung3!$H$50=Berechnung2!$L$33,Berechnung3!$B$6,""),IF(Berechnung3!$H$51=Berechnung2!$L$33,Berechnung3!$B$7,""),IF(Berechnung3!$H$52=Berechnung2!$L$33,Berechnung3!$B$8,""))</f>
        <v/>
      </c>
      <c r="C23" s="34">
        <f>IF(LEN(B23)&gt;0,"X",0)</f>
        <v>0</v>
      </c>
      <c r="D23" s="34" t="str">
        <f>IF(COUNTIF(Berechnung3!$H$46:$H$51,Berechnung2!$L$33)&gt;0,CONCATENATE(Berechnung2!$C$5,"                                     ",Berechnung2!$L$33),"")</f>
        <v/>
      </c>
      <c r="E23" s="34" t="str">
        <f>IF(COUNTIF(Berechnung3!$H$46:$H$50,Berechnung2!$L$33)&gt;0,"i","")</f>
        <v/>
      </c>
      <c r="G23" s="127" t="e">
        <f t="array" ref="G23">INDEX(B:B,SMALL(IF($C$15:$C$25="X",ROW($15:$25)),9))</f>
        <v>#NUM!</v>
      </c>
      <c r="H23" s="230" t="e">
        <f t="array" ref="H23">INDEX(D:D,SMALL(IF($C$15:$C$25="X",ROW($15:$25)),9))</f>
        <v>#NUM!</v>
      </c>
      <c r="I23" s="94" t="e">
        <f t="array" ref="I23">INDEX(E:E,SMALL(IF($C$15:$C$25="X",ROW($15:$25)),9))</f>
        <v>#NUM!</v>
      </c>
      <c r="J23" s="34" t="e">
        <f>IF(AND('Datendefizite_Matrix-Kolon'!C27="",I23&lt;&gt;""),"Anmerkung OnkoZert : Keine Erläuterung vorhanden",'Datendefizite_Matrix-Kolon'!C27)</f>
        <v>#NUM!</v>
      </c>
    </row>
    <row r="24" spans="1:63" ht="38.1" customHeight="1" x14ac:dyDescent="0.25">
      <c r="A24" s="158" t="s">
        <v>355</v>
      </c>
      <c r="B24" s="157" t="str">
        <f>CONCATENATE(IF(Berechnung3!$H$53=Berechnung2!$L$47,Berechnung3!$B$2,""),IF(Berechnung3!$H$54=Berechnung2!$L$47,Berechnung3!$B$3,""),IF(Berechnung3!$H$55=Berechnung2!$L$47,Berechnung3!$B$4,""),IF(Berechnung3!$H$56=Berechnung2!$L$47,Berechnung3!$B$5,""),IF(Berechnung3!$H$57=Berechnung2!$L$47,Berechnung3!$B$6,""),IF(Berechnung3!$H$58=Berechnung2!$L$47,Berechnung3!$B$7,""))</f>
        <v/>
      </c>
      <c r="C24" s="34">
        <f>IF(LEN(B24)&gt;0,"X",0)</f>
        <v>0</v>
      </c>
      <c r="D24" s="34" t="str">
        <f>IF(COUNTIF(Berechnung3!$H$53:$H$58,Berechnung2!$L$47)&gt;0,CONCATENATE(Berechnung2!$C$5,"                  ",Berechnung2!$L$47),"")</f>
        <v/>
      </c>
      <c r="E24" s="34" t="str">
        <f>IF(COUNTIF(Berechnung3!$H$53:$H$57,Berechnung2!$L$47)&gt;0,"j","")</f>
        <v/>
      </c>
      <c r="G24" s="127" t="e">
        <f t="array" ref="G24">INDEX(B:B,SMALL(IF($C$15:$C$25="X",ROW($15:$25)),10))</f>
        <v>#NUM!</v>
      </c>
      <c r="H24" s="230" t="e">
        <f t="array" ref="H24">INDEX(D:D,SMALL(IF($C$15:$C$25="X",ROW($15:$25)),10))</f>
        <v>#NUM!</v>
      </c>
      <c r="I24" s="94" t="e">
        <f t="array" ref="I24">INDEX(E:E,SMALL(IF($C$15:$C$25="X",ROW($15:$25)),10))</f>
        <v>#NUM!</v>
      </c>
      <c r="J24" s="34" t="e">
        <f>IF(AND('Datendefizite_Matrix-Kolon'!C28="",I24&lt;&gt;""),"Anmerkung OnkoZert : Keine Erläuterung vorhanden",'Datendefizite_Matrix-Kolon'!C28)</f>
        <v>#NUM!</v>
      </c>
    </row>
    <row r="25" spans="1:63" ht="38.1" customHeight="1" x14ac:dyDescent="0.25">
      <c r="A25" s="158" t="s">
        <v>335</v>
      </c>
      <c r="B25" s="34" t="str">
        <f>CONCATENATE(IF(Berechnung3!H60=Berechnung2!$L$56,Berechnung3!$B$2,""),IF(Berechnung3!$H$61=Berechnung2!$L$56,Berechnung3!$B$3,""),IF(Berechnung3!$H$62=Berechnung2!$L$56,Berechnung3!$B$4,""),IF(Berechnung3!$H$63=Berechnung2!$L$56,Berechnung3!$B$5,""),IF(Berechnung3!$H$64=Berechnung2!$L$56,Berechnung3!$B$6,""),IF(Berechnung3!$H$65=Berechnung2!$L$56,Berechnung3!$B$7,""))</f>
        <v/>
      </c>
      <c r="C25" s="34">
        <f>IF(LEN(B25)&gt;0,"X",0)</f>
        <v>0</v>
      </c>
      <c r="D25" s="34" t="str">
        <f>IF(COUNTIF(Berechnung3!$H$60:$H$65,Berechnung2!$L$56)&gt;0,CONCATENATE(Berechnung2!$C$5,"                 ",Berechnung2!$L$56),"")</f>
        <v/>
      </c>
      <c r="E25" s="34" t="str">
        <f>IF(COUNTIF(Berechnung3!$H$60:$H$64,Berechnung2!$L$56)&gt;0,"k","")</f>
        <v/>
      </c>
      <c r="G25" s="127" t="e">
        <f t="array" ref="G25">INDEX(B:B,SMALL(IF($C$15:$C$25="X",ROW($15:$25)),11))</f>
        <v>#NUM!</v>
      </c>
      <c r="H25" s="230" t="e">
        <f t="array" ref="H25">INDEX(D:D,SMALL(IF($C$15:$C$25="X",ROW($15:$25)),11))</f>
        <v>#NUM!</v>
      </c>
      <c r="I25" s="94" t="e">
        <f t="array" ref="I25">INDEX(E:E,SMALL(IF($C$15:$C$25="X",ROW($15:$25)),11))</f>
        <v>#NUM!</v>
      </c>
      <c r="J25" s="34" t="e">
        <f>IF(AND('Datendefizite_Matrix-Kolon'!C29="",I25&lt;&gt;""),"Anmerkung OnkoZert : Keine Erläuterung vorhanden",'Datendefizite_Matrix-Kolon'!C29)</f>
        <v>#NUM!</v>
      </c>
    </row>
    <row r="26" spans="1:63" x14ac:dyDescent="0.25">
      <c r="A26" s="164"/>
      <c r="F26" s="126"/>
      <c r="G26" s="126"/>
      <c r="H26" s="193"/>
      <c r="I26" s="35"/>
    </row>
    <row r="27" spans="1:63" x14ac:dyDescent="0.25">
      <c r="G27" s="35"/>
      <c r="H27" s="193"/>
    </row>
    <row r="29" spans="1:63" s="136" customFormat="1" x14ac:dyDescent="0.25">
      <c r="B29" s="90" t="s">
        <v>362</v>
      </c>
      <c r="H29" s="194"/>
      <c r="J29" s="194"/>
    </row>
    <row r="30" spans="1:63" x14ac:dyDescent="0.25">
      <c r="A30" s="136"/>
      <c r="B30" s="308" t="s">
        <v>374</v>
      </c>
      <c r="C30" s="308"/>
      <c r="D30" s="308"/>
      <c r="E30" s="122"/>
      <c r="F30" s="128" t="s">
        <v>372</v>
      </c>
      <c r="G30" s="122"/>
      <c r="H30" s="91"/>
      <c r="I30" s="122"/>
      <c r="J30" s="195"/>
      <c r="K30" s="308"/>
      <c r="L30" s="308" t="s">
        <v>273</v>
      </c>
      <c r="M30" s="308"/>
      <c r="N30" s="308" t="s">
        <v>274</v>
      </c>
      <c r="O30" s="308"/>
      <c r="P30" s="136"/>
    </row>
    <row r="31" spans="1:63" x14ac:dyDescent="0.25">
      <c r="A31" s="136"/>
      <c r="B31" s="308"/>
      <c r="C31" s="308"/>
      <c r="D31" s="308"/>
      <c r="E31" s="122"/>
      <c r="F31" s="128"/>
      <c r="G31" s="122"/>
      <c r="H31" s="91"/>
      <c r="I31" s="122"/>
      <c r="J31" s="195"/>
      <c r="K31" s="308"/>
      <c r="L31" s="171"/>
      <c r="M31" s="171"/>
      <c r="N31" s="171" t="s">
        <v>95</v>
      </c>
      <c r="O31" s="232"/>
      <c r="P31" s="136"/>
    </row>
    <row r="32" spans="1:63" x14ac:dyDescent="0.25">
      <c r="B32" s="232" t="s">
        <v>96</v>
      </c>
      <c r="C32" s="232"/>
      <c r="D32" s="232" t="s">
        <v>377</v>
      </c>
      <c r="E32" s="215"/>
      <c r="F32" s="129"/>
      <c r="G32" s="215"/>
      <c r="H32" s="199"/>
      <c r="I32" s="215"/>
      <c r="J32" s="196"/>
      <c r="K32" s="215"/>
      <c r="L32" s="171" t="s">
        <v>96</v>
      </c>
      <c r="M32" s="171"/>
      <c r="N32" s="171"/>
      <c r="O32" s="232"/>
      <c r="P32" s="136"/>
    </row>
    <row r="33" spans="1:16" x14ac:dyDescent="0.25">
      <c r="B33" s="272" t="s">
        <v>361</v>
      </c>
      <c r="C33" s="272"/>
      <c r="D33" s="272" t="s">
        <v>375</v>
      </c>
      <c r="E33" s="108" t="s">
        <v>98</v>
      </c>
      <c r="F33" s="109">
        <v>-1</v>
      </c>
      <c r="G33" s="110">
        <v>-1</v>
      </c>
      <c r="H33" s="202">
        <v>-1</v>
      </c>
      <c r="I33" s="307">
        <v>-1</v>
      </c>
      <c r="J33" s="197">
        <v>-1</v>
      </c>
      <c r="K33" s="134"/>
      <c r="L33" s="133" t="s">
        <v>391</v>
      </c>
      <c r="M33" s="133"/>
      <c r="N33" s="133"/>
      <c r="O33" s="272"/>
      <c r="P33" s="136"/>
    </row>
    <row r="34" spans="1:16" x14ac:dyDescent="0.25">
      <c r="B34" s="232" t="s">
        <v>365</v>
      </c>
      <c r="C34" s="232"/>
      <c r="D34" s="232" t="s">
        <v>356</v>
      </c>
      <c r="E34" s="215" t="s">
        <v>359</v>
      </c>
      <c r="F34" s="129">
        <v>0</v>
      </c>
      <c r="G34" s="130">
        <v>0</v>
      </c>
      <c r="H34" s="198"/>
      <c r="I34" s="215"/>
      <c r="J34" s="196">
        <v>1</v>
      </c>
      <c r="K34" s="215"/>
      <c r="L34" s="171"/>
      <c r="M34" s="171"/>
      <c r="N34" s="171"/>
      <c r="O34" s="232"/>
      <c r="P34" s="136"/>
    </row>
    <row r="35" spans="1:16" x14ac:dyDescent="0.25">
      <c r="B35" s="232" t="s">
        <v>366</v>
      </c>
      <c r="C35" s="232"/>
      <c r="D35" s="232" t="s">
        <v>375</v>
      </c>
      <c r="E35" s="215" t="s">
        <v>360</v>
      </c>
      <c r="F35" s="215"/>
      <c r="G35" s="215">
        <v>25</v>
      </c>
      <c r="H35" s="199"/>
      <c r="I35" s="215"/>
      <c r="J35" s="196"/>
      <c r="K35" s="215"/>
      <c r="L35" s="171" t="s">
        <v>392</v>
      </c>
      <c r="M35" s="171"/>
      <c r="N35" s="171"/>
      <c r="O35" s="232"/>
      <c r="P35" s="136"/>
    </row>
    <row r="36" spans="1:16" x14ac:dyDescent="0.25">
      <c r="B36" s="232" t="s">
        <v>367</v>
      </c>
      <c r="C36" s="232"/>
      <c r="D36" s="232" t="s">
        <v>356</v>
      </c>
      <c r="E36" s="215"/>
      <c r="F36" s="215"/>
      <c r="G36" s="215"/>
      <c r="H36" s="199"/>
      <c r="I36" s="215"/>
      <c r="J36" s="196"/>
      <c r="K36" s="215"/>
      <c r="L36" s="171" t="s">
        <v>432</v>
      </c>
      <c r="M36" s="171"/>
      <c r="N36" s="171" t="s">
        <v>94</v>
      </c>
      <c r="O36" s="232"/>
      <c r="P36" s="136"/>
    </row>
    <row r="37" spans="1:16" x14ac:dyDescent="0.25">
      <c r="B37" s="232" t="s">
        <v>106</v>
      </c>
      <c r="C37" s="232"/>
      <c r="D37" s="232" t="s">
        <v>375</v>
      </c>
      <c r="E37" s="215" t="s">
        <v>360</v>
      </c>
      <c r="F37" s="129">
        <v>0</v>
      </c>
      <c r="G37" s="130">
        <v>0</v>
      </c>
      <c r="H37" s="198"/>
      <c r="I37" s="305">
        <v>0.69999</v>
      </c>
      <c r="J37" s="196">
        <v>0.69999</v>
      </c>
      <c r="K37" s="215"/>
      <c r="L37" s="171" t="s">
        <v>92</v>
      </c>
      <c r="M37" s="171"/>
      <c r="N37" s="171"/>
      <c r="O37" s="232"/>
      <c r="P37" s="136"/>
    </row>
    <row r="38" spans="1:16" x14ac:dyDescent="0.25">
      <c r="B38" s="171" t="s">
        <v>1431</v>
      </c>
      <c r="C38" s="232"/>
      <c r="D38" s="232" t="s">
        <v>376</v>
      </c>
      <c r="E38" s="215" t="s">
        <v>360</v>
      </c>
      <c r="F38" s="129">
        <v>0</v>
      </c>
      <c r="G38" s="130">
        <v>0</v>
      </c>
      <c r="H38" s="198"/>
      <c r="I38" s="305">
        <v>0.79998999999999998</v>
      </c>
      <c r="J38" s="198">
        <v>0.79998999999999998</v>
      </c>
      <c r="K38" s="215"/>
      <c r="L38" s="171" t="s">
        <v>107</v>
      </c>
      <c r="M38" s="171"/>
      <c r="N38" s="171"/>
      <c r="O38" s="232"/>
      <c r="P38" s="136"/>
    </row>
    <row r="39" spans="1:16" x14ac:dyDescent="0.25">
      <c r="B39" s="171" t="s">
        <v>1432</v>
      </c>
      <c r="C39" s="232"/>
      <c r="D39" s="232" t="s">
        <v>375</v>
      </c>
      <c r="E39" s="215" t="s">
        <v>359</v>
      </c>
      <c r="F39" s="215"/>
      <c r="G39" s="130">
        <v>0</v>
      </c>
      <c r="H39" s="198">
        <v>0.99000999999999995</v>
      </c>
      <c r="I39" s="305">
        <v>1</v>
      </c>
      <c r="J39" s="196">
        <v>0.99000999999999995</v>
      </c>
      <c r="K39" s="215"/>
      <c r="L39" s="171" t="s">
        <v>108</v>
      </c>
      <c r="M39" s="171"/>
      <c r="N39" s="171"/>
      <c r="O39" s="232"/>
      <c r="P39" s="136"/>
    </row>
    <row r="40" spans="1:16" x14ac:dyDescent="0.25">
      <c r="B40" s="232" t="s">
        <v>368</v>
      </c>
      <c r="C40" s="232"/>
      <c r="D40" s="232" t="s">
        <v>356</v>
      </c>
      <c r="E40" s="215"/>
      <c r="F40" s="215"/>
      <c r="G40" s="215"/>
      <c r="H40" s="199"/>
      <c r="I40" s="215"/>
      <c r="J40" s="196"/>
      <c r="K40" s="215"/>
      <c r="L40" s="171" t="s">
        <v>433</v>
      </c>
      <c r="M40" s="171"/>
      <c r="N40" s="171" t="s">
        <v>93</v>
      </c>
      <c r="O40" s="232"/>
      <c r="P40" s="136"/>
    </row>
    <row r="41" spans="1:16" x14ac:dyDescent="0.25">
      <c r="B41" s="232"/>
      <c r="C41" s="232"/>
      <c r="D41" s="232"/>
      <c r="E41" s="215"/>
      <c r="F41" s="215"/>
      <c r="G41" s="215"/>
      <c r="H41" s="199"/>
      <c r="I41" s="215"/>
      <c r="J41" s="196"/>
      <c r="K41" s="215"/>
      <c r="L41" s="171"/>
      <c r="M41" s="171"/>
      <c r="N41" s="171"/>
      <c r="O41" s="232"/>
      <c r="P41" s="136"/>
    </row>
    <row r="42" spans="1:16" x14ac:dyDescent="0.25">
      <c r="B42" s="232" t="s">
        <v>369</v>
      </c>
      <c r="C42" s="232"/>
      <c r="D42" s="232" t="s">
        <v>356</v>
      </c>
      <c r="E42" s="215" t="s">
        <v>360</v>
      </c>
      <c r="F42" s="215"/>
      <c r="G42" s="215">
        <v>0</v>
      </c>
      <c r="H42" s="199"/>
      <c r="I42" s="215"/>
      <c r="J42" s="196"/>
      <c r="K42" s="215"/>
      <c r="L42" s="171" t="s">
        <v>97</v>
      </c>
      <c r="M42" s="171"/>
      <c r="N42" s="171" t="s">
        <v>114</v>
      </c>
      <c r="O42" s="232"/>
      <c r="P42" s="136"/>
    </row>
    <row r="43" spans="1:16" x14ac:dyDescent="0.25">
      <c r="A43" s="136"/>
      <c r="B43" s="232"/>
      <c r="C43" s="232"/>
      <c r="D43" s="232"/>
      <c r="E43" s="215"/>
      <c r="F43" s="215"/>
      <c r="G43" s="215"/>
      <c r="H43" s="199"/>
      <c r="I43" s="215"/>
      <c r="J43" s="199"/>
      <c r="K43" s="232"/>
      <c r="L43" s="171"/>
      <c r="M43" s="171"/>
      <c r="N43" s="171"/>
      <c r="O43" s="232"/>
      <c r="P43" s="136"/>
    </row>
    <row r="44" spans="1:16" x14ac:dyDescent="0.25">
      <c r="A44" s="136"/>
      <c r="B44" s="171"/>
      <c r="C44" s="171"/>
      <c r="D44" s="171"/>
      <c r="E44" s="171"/>
      <c r="F44" s="171"/>
      <c r="G44" s="172"/>
      <c r="H44" s="203"/>
      <c r="I44" s="132"/>
      <c r="J44" s="214"/>
      <c r="K44" s="171"/>
      <c r="L44" s="171"/>
      <c r="M44" s="171"/>
      <c r="N44" s="171" t="s">
        <v>115</v>
      </c>
      <c r="O44" s="232"/>
      <c r="P44" s="136"/>
    </row>
    <row r="45" spans="1:16" x14ac:dyDescent="0.25">
      <c r="A45" s="136"/>
      <c r="B45" s="232"/>
      <c r="C45" s="130"/>
      <c r="D45" s="130"/>
      <c r="E45" s="130"/>
      <c r="F45" s="305"/>
      <c r="G45" s="159"/>
      <c r="H45" s="204"/>
      <c r="I45" s="305"/>
      <c r="J45" s="200"/>
      <c r="K45" s="232"/>
      <c r="L45" s="171"/>
      <c r="M45" s="171"/>
      <c r="N45" s="171"/>
      <c r="O45" s="232"/>
      <c r="P45" s="136"/>
    </row>
    <row r="46" spans="1:16" x14ac:dyDescent="0.25">
      <c r="A46" s="136"/>
      <c r="B46" s="232" t="s">
        <v>355</v>
      </c>
      <c r="C46" s="232"/>
      <c r="D46" s="232"/>
      <c r="E46" s="215" t="s">
        <v>373</v>
      </c>
      <c r="F46" s="215"/>
      <c r="G46" s="215" t="s">
        <v>370</v>
      </c>
      <c r="H46" s="199"/>
      <c r="I46" s="215"/>
      <c r="J46" s="199" t="s">
        <v>371</v>
      </c>
      <c r="K46" s="232"/>
      <c r="L46" s="171"/>
      <c r="M46" s="171"/>
      <c r="N46" s="171"/>
      <c r="O46" s="232"/>
      <c r="P46" s="136"/>
    </row>
    <row r="47" spans="1:16" x14ac:dyDescent="0.25">
      <c r="A47" s="136"/>
      <c r="B47" s="147" t="s">
        <v>1493</v>
      </c>
      <c r="C47" s="130"/>
      <c r="D47" s="130"/>
      <c r="E47" s="130">
        <v>0</v>
      </c>
      <c r="F47" s="305">
        <v>0.49998999999999999</v>
      </c>
      <c r="G47" s="305">
        <v>0.49998999999999999</v>
      </c>
      <c r="H47" s="204"/>
      <c r="I47" s="305">
        <v>0.90000999999999998</v>
      </c>
      <c r="J47" s="365">
        <v>0.90000999999999998</v>
      </c>
      <c r="K47" s="232"/>
      <c r="L47" s="171" t="s">
        <v>396</v>
      </c>
      <c r="M47" s="171" t="s">
        <v>396</v>
      </c>
      <c r="N47" s="171"/>
      <c r="O47" s="232"/>
      <c r="P47" s="136"/>
    </row>
    <row r="48" spans="1:16" x14ac:dyDescent="0.25">
      <c r="A48" s="136"/>
      <c r="B48" s="147" t="s">
        <v>1189</v>
      </c>
      <c r="C48" s="130"/>
      <c r="D48" s="130"/>
      <c r="E48" s="130">
        <v>0</v>
      </c>
      <c r="F48" s="305">
        <v>0.49998999999999999</v>
      </c>
      <c r="G48" s="305">
        <v>0.49998999999999999</v>
      </c>
      <c r="H48" s="204"/>
      <c r="I48" s="305">
        <v>0.90000999999999998</v>
      </c>
      <c r="J48" s="365">
        <v>0.90000999999999998</v>
      </c>
      <c r="K48" s="232"/>
      <c r="L48" s="171" t="s">
        <v>396</v>
      </c>
      <c r="M48" s="171" t="s">
        <v>396</v>
      </c>
      <c r="N48" s="171"/>
      <c r="O48" s="232"/>
      <c r="P48" s="136"/>
    </row>
    <row r="49" spans="1:16" x14ac:dyDescent="0.25">
      <c r="A49" s="136"/>
      <c r="B49" s="147" t="s">
        <v>1247</v>
      </c>
      <c r="C49" s="130"/>
      <c r="D49" s="130"/>
      <c r="E49" s="130">
        <v>0</v>
      </c>
      <c r="F49" s="305">
        <v>0.54998999999999998</v>
      </c>
      <c r="G49" s="305">
        <v>0.54998999999999998</v>
      </c>
      <c r="H49" s="204"/>
      <c r="I49" s="305">
        <v>0.90000999999999998</v>
      </c>
      <c r="J49" s="365">
        <v>0.90000999999999998</v>
      </c>
      <c r="K49" s="232"/>
      <c r="L49" s="171" t="s">
        <v>396</v>
      </c>
      <c r="M49" s="171" t="s">
        <v>396</v>
      </c>
      <c r="N49" s="171"/>
      <c r="O49" s="232"/>
      <c r="P49" s="136"/>
    </row>
    <row r="50" spans="1:16" x14ac:dyDescent="0.25">
      <c r="A50" s="136"/>
      <c r="B50" s="147" t="s">
        <v>1271</v>
      </c>
      <c r="C50" s="130"/>
      <c r="D50" s="130"/>
      <c r="E50" s="130">
        <v>0</v>
      </c>
      <c r="F50" s="305">
        <v>0.59999000000000002</v>
      </c>
      <c r="G50" s="305">
        <v>0.59999000000000002</v>
      </c>
      <c r="H50" s="204"/>
      <c r="I50" s="305">
        <v>0.95001000000000002</v>
      </c>
      <c r="J50" s="365">
        <v>0.95001000000000002</v>
      </c>
      <c r="K50" s="232"/>
      <c r="L50" s="171" t="s">
        <v>396</v>
      </c>
      <c r="M50" s="171" t="s">
        <v>396</v>
      </c>
      <c r="N50" s="171"/>
      <c r="O50" s="232"/>
      <c r="P50" s="136"/>
    </row>
    <row r="51" spans="1:16" x14ac:dyDescent="0.25">
      <c r="A51" s="136"/>
      <c r="B51" s="147" t="s">
        <v>1388</v>
      </c>
      <c r="C51" s="130"/>
      <c r="D51" s="130"/>
      <c r="E51" s="130">
        <v>0</v>
      </c>
      <c r="F51" s="305">
        <v>0.64998999999999996</v>
      </c>
      <c r="G51" s="305">
        <v>0.64998999999999996</v>
      </c>
      <c r="H51" s="204"/>
      <c r="I51" s="305">
        <v>0.95001000000000002</v>
      </c>
      <c r="J51" s="365">
        <v>0.95001000000000002</v>
      </c>
      <c r="K51" s="232"/>
      <c r="L51" s="171" t="s">
        <v>396</v>
      </c>
      <c r="M51" s="171" t="s">
        <v>396</v>
      </c>
      <c r="N51" s="171"/>
      <c r="O51" s="232"/>
      <c r="P51" s="136"/>
    </row>
    <row r="52" spans="1:16" x14ac:dyDescent="0.25">
      <c r="A52" s="136"/>
      <c r="B52" s="232"/>
      <c r="C52" s="232"/>
      <c r="D52" s="215"/>
      <c r="E52" s="215"/>
      <c r="F52" s="215"/>
      <c r="G52" s="305"/>
      <c r="H52" s="199"/>
      <c r="I52" s="305"/>
      <c r="J52" s="365"/>
      <c r="K52" s="232"/>
      <c r="L52" s="171"/>
      <c r="M52" s="171"/>
      <c r="N52" s="171"/>
      <c r="O52" s="232"/>
      <c r="P52" s="136"/>
    </row>
    <row r="53" spans="1:16" x14ac:dyDescent="0.25">
      <c r="A53" s="136"/>
      <c r="B53" s="171"/>
      <c r="C53" s="171"/>
      <c r="D53" s="171"/>
      <c r="E53" s="171"/>
      <c r="F53" s="171"/>
      <c r="G53" s="370"/>
      <c r="H53" s="203"/>
      <c r="I53" s="305"/>
      <c r="J53" s="366"/>
      <c r="K53" s="232"/>
      <c r="L53" s="171"/>
      <c r="M53" s="171"/>
      <c r="N53" s="171"/>
      <c r="O53" s="232"/>
      <c r="P53" s="136"/>
    </row>
    <row r="54" spans="1:16" x14ac:dyDescent="0.25">
      <c r="A54" s="136"/>
      <c r="B54" s="232"/>
      <c r="C54" s="130"/>
      <c r="D54" s="130"/>
      <c r="E54" s="130"/>
      <c r="F54" s="305"/>
      <c r="G54" s="305"/>
      <c r="H54" s="204"/>
      <c r="I54" s="305"/>
      <c r="J54" s="365"/>
      <c r="K54" s="232"/>
      <c r="L54" s="171"/>
      <c r="M54" s="171"/>
      <c r="N54" s="171"/>
      <c r="O54" s="232"/>
      <c r="P54" s="136"/>
    </row>
    <row r="55" spans="1:16" x14ac:dyDescent="0.25">
      <c r="A55" s="136"/>
      <c r="B55" s="232" t="s">
        <v>335</v>
      </c>
      <c r="C55" s="232"/>
      <c r="D55" s="215"/>
      <c r="E55" s="215"/>
      <c r="F55" s="215"/>
      <c r="G55" s="305" t="s">
        <v>370</v>
      </c>
      <c r="H55" s="199"/>
      <c r="I55" s="305"/>
      <c r="J55" s="196" t="s">
        <v>371</v>
      </c>
      <c r="K55" s="232"/>
      <c r="L55" s="171"/>
      <c r="M55" s="171"/>
      <c r="N55" s="171"/>
      <c r="O55" s="232"/>
      <c r="P55" s="136"/>
    </row>
    <row r="56" spans="1:16" x14ac:dyDescent="0.25">
      <c r="A56" s="136"/>
      <c r="B56" s="147" t="s">
        <v>1493</v>
      </c>
      <c r="C56" s="130"/>
      <c r="D56" s="130"/>
      <c r="E56" s="130">
        <v>0</v>
      </c>
      <c r="F56" s="305">
        <v>0.64998999999999996</v>
      </c>
      <c r="G56" s="305">
        <v>0.64998999999999996</v>
      </c>
      <c r="H56" s="204"/>
      <c r="I56" s="305">
        <v>0.95001000000000002</v>
      </c>
      <c r="J56" s="365">
        <v>0.95001000000000002</v>
      </c>
      <c r="K56" s="232"/>
      <c r="L56" s="171" t="s">
        <v>397</v>
      </c>
      <c r="M56" s="171" t="s">
        <v>397</v>
      </c>
      <c r="N56" s="171"/>
      <c r="O56" s="232"/>
      <c r="P56" s="136"/>
    </row>
    <row r="57" spans="1:16" x14ac:dyDescent="0.25">
      <c r="A57" s="136"/>
      <c r="B57" s="147" t="s">
        <v>1189</v>
      </c>
      <c r="C57" s="130"/>
      <c r="D57" s="130"/>
      <c r="E57" s="130">
        <v>0</v>
      </c>
      <c r="F57" s="305">
        <v>0.64998999999999996</v>
      </c>
      <c r="G57" s="305">
        <v>0.64998999999999996</v>
      </c>
      <c r="H57" s="204"/>
      <c r="I57" s="305">
        <v>0.95001000000000002</v>
      </c>
      <c r="J57" s="365">
        <v>0.95001000000000002</v>
      </c>
      <c r="K57" s="232"/>
      <c r="L57" s="171" t="s">
        <v>397</v>
      </c>
      <c r="M57" s="171" t="s">
        <v>397</v>
      </c>
      <c r="N57" s="171"/>
      <c r="O57" s="232"/>
      <c r="P57" s="136"/>
    </row>
    <row r="58" spans="1:16" x14ac:dyDescent="0.25">
      <c r="A58" s="136"/>
      <c r="B58" s="147" t="s">
        <v>1247</v>
      </c>
      <c r="C58" s="130"/>
      <c r="D58" s="130"/>
      <c r="E58" s="130">
        <v>0</v>
      </c>
      <c r="F58" s="305">
        <v>0.64998999999999996</v>
      </c>
      <c r="G58" s="305">
        <v>0.64998999999999996</v>
      </c>
      <c r="H58" s="204"/>
      <c r="I58" s="305">
        <v>0.95001000000000002</v>
      </c>
      <c r="J58" s="365">
        <v>0.95001000000000002</v>
      </c>
      <c r="K58" s="232"/>
      <c r="L58" s="171" t="s">
        <v>397</v>
      </c>
      <c r="M58" s="171" t="s">
        <v>397</v>
      </c>
      <c r="N58" s="171"/>
      <c r="O58" s="232"/>
      <c r="P58" s="136"/>
    </row>
    <row r="59" spans="1:16" x14ac:dyDescent="0.25">
      <c r="A59" s="136"/>
      <c r="B59" s="147" t="s">
        <v>1271</v>
      </c>
      <c r="C59" s="130"/>
      <c r="D59" s="130"/>
      <c r="E59" s="130">
        <v>0</v>
      </c>
      <c r="F59" s="305">
        <v>0.69999</v>
      </c>
      <c r="G59" s="305">
        <v>0.69999</v>
      </c>
      <c r="H59" s="204"/>
      <c r="I59" s="305">
        <v>0.99000999999999995</v>
      </c>
      <c r="J59" s="365">
        <v>0.99000999999999995</v>
      </c>
      <c r="K59" s="232"/>
      <c r="L59" s="171" t="s">
        <v>397</v>
      </c>
      <c r="M59" s="171" t="s">
        <v>397</v>
      </c>
      <c r="N59" s="171"/>
      <c r="O59" s="232"/>
      <c r="P59" s="136"/>
    </row>
    <row r="60" spans="1:16" x14ac:dyDescent="0.25">
      <c r="A60" s="136"/>
      <c r="B60" s="147" t="s">
        <v>1388</v>
      </c>
      <c r="C60" s="130"/>
      <c r="D60" s="130"/>
      <c r="E60" s="130">
        <v>0</v>
      </c>
      <c r="F60" s="305">
        <v>0.79998999999999998</v>
      </c>
      <c r="G60" s="305">
        <v>0.79998999999999998</v>
      </c>
      <c r="H60" s="204"/>
      <c r="I60" s="305">
        <v>0.99000999999999995</v>
      </c>
      <c r="J60" s="365">
        <v>0.99000999999999995</v>
      </c>
      <c r="K60" s="232"/>
      <c r="L60" s="171" t="s">
        <v>397</v>
      </c>
      <c r="M60" s="171" t="s">
        <v>397</v>
      </c>
      <c r="N60" s="171"/>
      <c r="O60" s="232"/>
      <c r="P60" s="136"/>
    </row>
    <row r="61" spans="1:16" x14ac:dyDescent="0.25">
      <c r="F61" s="169"/>
      <c r="G61" s="164"/>
      <c r="I61" s="35"/>
    </row>
  </sheetData>
  <mergeCells count="4">
    <mergeCell ref="B13:B14"/>
    <mergeCell ref="C13:C14"/>
    <mergeCell ref="D13:D14"/>
    <mergeCell ref="E13:E14"/>
  </mergeCells>
  <phoneticPr fontId="81" type="noConversion"/>
  <pageMargins left="0.31496062992125984" right="0.11811023622047245" top="0.39370078740157483" bottom="0.39370078740157483" header="0.31496062992125984" footer="0.31496062992125984"/>
  <pageSetup paperSize="9" orientation="landscape" r:id="rId1"/>
  <ignoredErrors>
    <ignoredError sqref="C20" formula="1"/>
  </ignoredError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Tabelle10">
    <tabColor theme="0"/>
  </sheetPr>
  <dimension ref="A1:V71"/>
  <sheetViews>
    <sheetView workbookViewId="0">
      <selection activeCell="B25" sqref="B25"/>
    </sheetView>
  </sheetViews>
  <sheetFormatPr defaultColWidth="9.140625" defaultRowHeight="11.25" x14ac:dyDescent="0.25"/>
  <cols>
    <col min="1" max="1" width="17.7109375" style="136" customWidth="1"/>
    <col min="2" max="2" width="7.5703125" style="136" customWidth="1"/>
    <col min="3" max="3" width="9.140625" style="136" customWidth="1"/>
    <col min="4" max="4" width="25.28515625" style="136" customWidth="1"/>
    <col min="5" max="5" width="9.42578125" style="136" customWidth="1"/>
    <col min="6" max="6" width="7.85546875" style="136" customWidth="1"/>
    <col min="7" max="7" width="9.42578125" style="136" customWidth="1"/>
    <col min="8" max="8" width="41.85546875" style="136" customWidth="1"/>
    <col min="9" max="9" width="56.28515625" style="136" customWidth="1"/>
    <col min="10" max="10" width="7.85546875" style="114" customWidth="1"/>
    <col min="11" max="11" width="15.7109375" style="136" customWidth="1"/>
    <col min="12" max="12" width="20.5703125" style="114" customWidth="1"/>
    <col min="13" max="13" width="20.28515625" style="114" customWidth="1"/>
    <col min="14" max="14" width="20.7109375" style="114" customWidth="1"/>
    <col min="15" max="15" width="44" style="185" customWidth="1"/>
    <col min="16" max="16" width="51.5703125" style="185" customWidth="1"/>
    <col min="17" max="23" width="9.140625" style="136" customWidth="1"/>
    <col min="24" max="16384" width="9.140625" style="136"/>
  </cols>
  <sheetData>
    <row r="1" spans="1:22" s="35" customFormat="1" ht="23.25" thickBot="1" x14ac:dyDescent="0.3">
      <c r="J1" s="158"/>
      <c r="L1" s="220" t="s">
        <v>379</v>
      </c>
      <c r="M1" s="220" t="s">
        <v>236</v>
      </c>
      <c r="N1" s="220" t="s">
        <v>238</v>
      </c>
      <c r="O1" s="220" t="s">
        <v>336</v>
      </c>
      <c r="P1" s="220" t="s">
        <v>117</v>
      </c>
    </row>
    <row r="2" spans="1:22" s="35" customFormat="1" x14ac:dyDescent="0.25">
      <c r="A2" s="171" t="str">
        <f>IF(Datenquelle!$F$3&gt;6,IF(Datenquelle!$F$3=7,"EZ",IF(Datenquelle!$F$3&gt;7,"relevant","?")),"nicht relevant")</f>
        <v>nicht relevant</v>
      </c>
      <c r="B2" s="147" t="s">
        <v>1189</v>
      </c>
      <c r="C2" s="216"/>
      <c r="D2" s="145" t="s">
        <v>354</v>
      </c>
      <c r="E2" s="155" t="str">
        <f>IF(H2="","","2019")</f>
        <v/>
      </c>
      <c r="F2" s="155" t="str">
        <f t="shared" ref="F2:F7" si="0">IF(H2="","","a")</f>
        <v/>
      </c>
      <c r="G2" s="155" t="str">
        <f>IF(H2="","","1")</f>
        <v/>
      </c>
      <c r="H2" s="184" t="str">
        <f>IF(A2="relevant",IF(COUNTIF('Matrix-Kolon'!C23:W23,"")&gt;2,Berechnung2!$L$32,""),"")</f>
        <v/>
      </c>
      <c r="I2" s="235" t="str">
        <f>IF(H2="","",VLOOKUP(F2,Berechnung2!$I$15:$J$25,2,FALSE))</f>
        <v/>
      </c>
      <c r="J2" s="234" t="str">
        <f>IF(H2&lt;&gt;"",1,"")</f>
        <v/>
      </c>
      <c r="L2" s="94" t="str">
        <f t="array" aca="1" ref="L2" ca="1">IF(ROW()-ROW($F$2:$F$65)+1&gt;ROWS($E$2:$E$65)-COUNTBLANK($E$2:$E$65),"",INDIRECT(ADDRESS(SMALL((IF($E$2:$E$65&gt;"",ROW($E$2:$E$65),ROW()+ROWS($E$2:$E$65))),ROW()-ROW($F$2:$F$65)+1),COLUMN($E$2:$E$65),4)))</f>
        <v/>
      </c>
      <c r="M2" s="94" t="str">
        <f t="array" aca="1" ref="M2" ca="1">IF(ROW()-ROW($G$2:$G$65)+1&gt;ROWS($F$2:$F$65)-COUNTBLANK($F$2:$F$65),"",INDIRECT(ADDRESS(SMALL((IF($F$2:$F$65&lt;&gt;"",ROW($F$2:$F$65),ROW()+ROWS($F$2:$F$65))),ROW()-ROW($G$2:$G$65)+1),COLUMN($F$2:$F$65),4)))</f>
        <v/>
      </c>
      <c r="N2" s="94" t="str">
        <f t="array" aca="1" ref="N2" ca="1">IF(ROW()-ROW($H$2:$H$65)+1&gt;ROWS($G$2:$G$65)-COUNTBLANK($G$2:$G$65),"",INDIRECT(ADDRESS(SMALL((IF($G$2:$G$65&lt;&gt;"",ROW($G$2:$G$65),ROW()+ROWS($G$2:$G$65))),ROW()-ROW($H$2:$H$65)+1),COLUMN($G$2:$G$65),4)))</f>
        <v/>
      </c>
      <c r="O2" s="183" t="str">
        <f t="array" aca="1" ref="O2" ca="1">IF(ROW()-ROW($I$2:$I$65)+1&gt;ROWS($H$2:$H$65)-COUNTBLANK($H$2:$H$65),"",INDIRECT(ADDRESS(SMALL((IF($H$2:$H$65&lt;&gt;"",ROW($H$2:$H$65),ROW()+ROWS($H$2:$H$65))),ROW()-ROW($I$2:$I$65)+1),COLUMN($H$2:$H$65),4)))</f>
        <v/>
      </c>
      <c r="P2" s="183" t="str">
        <f t="array" aca="1" ref="P2" ca="1">IF(ROW()-ROW($J$2:$J$65)+1&gt;ROWS($I$2:$I$65)-COUNTBLANK($I$2:$I$65),"",INDIRECT(ADDRESS(SMALL((IF($I$2:$I$65&lt;&gt;"",ROW($I$2:$I$65),ROW()+ROWS($I$2:$I$65))),ROW()-ROW($J$2:$J$65)+1),COLUMN($I$2:$I$65),4)))</f>
        <v/>
      </c>
      <c r="R2" s="169"/>
      <c r="T2" s="170"/>
    </row>
    <row r="3" spans="1:22" s="35" customFormat="1" x14ac:dyDescent="0.25">
      <c r="A3" s="171" t="str">
        <f>IF(Datenquelle!$F$3&gt;5,IF(Datenquelle!$F$3=6,"EZ",IF(Datenquelle!$F$3&gt;6,"relevant","?")),"nicht relevant")</f>
        <v>nicht relevant</v>
      </c>
      <c r="B3" s="147" t="s">
        <v>1247</v>
      </c>
      <c r="C3" s="216"/>
      <c r="D3" s="963" t="s">
        <v>96</v>
      </c>
      <c r="E3" s="34" t="str">
        <f>IF(H3="","","2020")</f>
        <v/>
      </c>
      <c r="F3" s="34" t="str">
        <f t="shared" si="0"/>
        <v/>
      </c>
      <c r="G3" s="34" t="str">
        <f t="shared" ref="G3:G27" si="1">IF(H3="","","1")</f>
        <v/>
      </c>
      <c r="H3" s="172" t="str">
        <f>IF(A3="relevant",IF(COUNTIF('Matrix-Kolon'!C24:W24,"")&gt;2,Berechnung2!$L$32,""),"")</f>
        <v/>
      </c>
      <c r="I3" s="171" t="str">
        <f>IF(H3="","",VLOOKUP(F3,Berechnung2!$I$15:$J$25,2,FALSE))</f>
        <v/>
      </c>
      <c r="J3" s="233" t="str">
        <f t="shared" ref="J3:J64" si="2">IF(H3&lt;&gt;"",1,"")</f>
        <v/>
      </c>
      <c r="L3" s="94" t="str">
        <f t="array" aca="1" ref="L3" ca="1">IF(ROW()-ROW($F$2:$F$65)+1&gt;ROWS($E$2:$E$65)-COUNTBLANK($E$2:$E$65),"",INDIRECT(ADDRESS(SMALL((IF($E$2:$E$65&gt;"",ROW($E$2:$E$65),ROW()+ROWS($E$2:$E$65))),ROW()-ROW($F$2:$F$65)+1),COLUMN($E$2:$E$65),4)))</f>
        <v/>
      </c>
      <c r="M3" s="94" t="str">
        <f t="array" aca="1" ref="M3" ca="1">IF(ROW()-ROW($G$2:$G$65)+1&gt;ROWS($F$2:$F$65)-COUNTBLANK($F$2:$F$65),"",INDIRECT(ADDRESS(SMALL((IF($F$2:$F$65&lt;&gt;"",ROW($F$2:$F$65),ROW()+ROWS($F$2:$F$65))),ROW()-ROW($G$2:$G$65)+1),COLUMN($F$2:$F$65),4)))</f>
        <v/>
      </c>
      <c r="N3" s="94" t="str">
        <f t="array" aca="1" ref="N3" ca="1">IF(ROW()-ROW($H$2:$H$65)+1&gt;ROWS($G$2:$G$65)-COUNTBLANK($G$2:$G$65),"",INDIRECT(ADDRESS(SMALL((IF($G$2:$G$65&lt;&gt;"",ROW($G$2:$G$65),ROW()+ROWS($G$2:$G$65))),ROW()-ROW($H$2:$H$65)+1),COLUMN($G$2:$G$65),4)))</f>
        <v/>
      </c>
      <c r="O3" s="183" t="str">
        <f t="array" aca="1" ref="O3" ca="1">IF(ROW()-ROW($I$2:$I$65)+1&gt;ROWS($H$2:$H$65)-COUNTBLANK($H$2:$H$65),"",INDIRECT(ADDRESS(SMALL((IF($H$2:$H$65&lt;&gt;"",ROW($H$2:$H$65),ROW()+ROWS($H$2:$H$65))),ROW()-ROW($I$2:$I$65)+1),COLUMN($H$2:$H$65),4)))</f>
        <v/>
      </c>
      <c r="P3" s="183" t="str">
        <f t="array" aca="1" ref="P3" ca="1">IF(ROW()-ROW($J$2:$J$65)+1&gt;ROWS($I$2:$I$65)-COUNTBLANK($I$2:$I$65),"",INDIRECT(ADDRESS(SMALL((IF($I$2:$I$65&lt;&gt;"",ROW($I$2:$I$65),ROW()+ROWS($I$2:$I$65))),ROW()-ROW($J$2:$J$65)+1),COLUMN($I$2:$I$65),4)))</f>
        <v/>
      </c>
    </row>
    <row r="4" spans="1:22" s="35" customFormat="1" ht="15" customHeight="1" x14ac:dyDescent="0.25">
      <c r="A4" s="171" t="str">
        <f>IF(Datenquelle!$F$3&gt;4,IF(Datenquelle!$F$3=5,"EZ",IF(Datenquelle!$F$3&gt;5,"relevant","?")),"nicht relevant")</f>
        <v>nicht relevant</v>
      </c>
      <c r="B4" s="147" t="s">
        <v>1271</v>
      </c>
      <c r="C4" s="216"/>
      <c r="D4" s="963"/>
      <c r="E4" s="34" t="str">
        <f>IF(H4="","","2021")</f>
        <v/>
      </c>
      <c r="F4" s="34" t="str">
        <f t="shared" si="0"/>
        <v/>
      </c>
      <c r="G4" s="34" t="str">
        <f t="shared" si="1"/>
        <v/>
      </c>
      <c r="H4" s="172" t="str">
        <f>IF(A4="relevant",IF(COUNTIF('Matrix-Kolon'!C25:W25,"")&gt;2,Berechnung2!$L$32,""),"")</f>
        <v/>
      </c>
      <c r="I4" s="171" t="str">
        <f>IF(H4="","",VLOOKUP(F4,Berechnung2!$I$15:$J$25,2,FALSE))</f>
        <v/>
      </c>
      <c r="J4" s="233" t="str">
        <f t="shared" si="2"/>
        <v/>
      </c>
      <c r="L4" s="94" t="str">
        <f t="array" aca="1" ref="L4" ca="1">IF(ROW()-ROW($F$2:$F$65)+1&gt;ROWS($E$2:$E$65)-COUNTBLANK($E$2:$E$65),"",INDIRECT(ADDRESS(SMALL((IF($E$2:$E$65&gt;"",ROW($E$2:$E$65),ROW()+ROWS($E$2:$E$65))),ROW()-ROW($F$2:$F$65)+1),COLUMN($E$2:$E$65),4)))</f>
        <v/>
      </c>
      <c r="M4" s="94" t="str">
        <f t="array" aca="1" ref="M4" ca="1">IF(ROW()-ROW($G$2:$G$65)+1&gt;ROWS($F$2:$F$65)-COUNTBLANK($F$2:$F$65),"",INDIRECT(ADDRESS(SMALL((IF($F$2:$F$65&lt;&gt;"",ROW($F$2:$F$65),ROW()+ROWS($F$2:$F$65))),ROW()-ROW($G$2:$G$65)+1),COLUMN($F$2:$F$65),4)))</f>
        <v/>
      </c>
      <c r="N4" s="94" t="str">
        <f t="array" aca="1" ref="N4" ca="1">IF(ROW()-ROW($H$2:$H$65)+1&gt;ROWS($G$2:$G$65)-COUNTBLANK($G$2:$G$65),"",INDIRECT(ADDRESS(SMALL((IF($G$2:$G$65&lt;&gt;"",ROW($G$2:$G$65),ROW()+ROWS($G$2:$G$65))),ROW()-ROW($H$2:$H$65)+1),COLUMN($G$2:$G$65),4)))</f>
        <v/>
      </c>
      <c r="O4" s="183" t="str">
        <f t="array" aca="1" ref="O4" ca="1">IF(ROW()-ROW($I$2:$I$65)+1&gt;ROWS($H$2:$H$65)-COUNTBLANK($H$2:$H$65),"",INDIRECT(ADDRESS(SMALL((IF($H$2:$H$65&lt;&gt;"",ROW($H$2:$H$65),ROW()+ROWS($H$2:$H$65))),ROW()-ROW($I$2:$I$65)+1),COLUMN($H$2:$H$65),4)))</f>
        <v/>
      </c>
      <c r="P4" s="183" t="str">
        <f t="array" aca="1" ref="P4" ca="1">IF(ROW()-ROW($J$2:$J$65)+1&gt;ROWS($I$2:$I$65)-COUNTBLANK($I$2:$I$65),"",INDIRECT(ADDRESS(SMALL((IF($I$2:$I$65&lt;&gt;"",ROW($I$2:$I$65),ROW()+ROWS($I$2:$I$65))),ROW()-ROW($J$2:$J$65)+1),COLUMN($I$2:$I$65),4)))</f>
        <v/>
      </c>
      <c r="R4" s="125"/>
      <c r="S4" s="124"/>
      <c r="T4" s="124"/>
    </row>
    <row r="5" spans="1:22" s="35" customFormat="1" ht="15" customHeight="1" x14ac:dyDescent="0.25">
      <c r="A5" s="171" t="str">
        <f>IF(Datenquelle!$F$3&gt;3,IF(Datenquelle!$F$3=4,"EZ",IF(Datenquelle!$F$3&gt;4,"relevant","?")),"nicht relevant")</f>
        <v>nicht relevant</v>
      </c>
      <c r="B5" s="147" t="s">
        <v>1388</v>
      </c>
      <c r="C5" s="216"/>
      <c r="D5" s="963"/>
      <c r="E5" s="34" t="str">
        <f>IF(H5="","","2022")</f>
        <v/>
      </c>
      <c r="F5" s="34" t="str">
        <f t="shared" si="0"/>
        <v/>
      </c>
      <c r="G5" s="34" t="str">
        <f t="shared" si="1"/>
        <v/>
      </c>
      <c r="H5" s="172" t="str">
        <f>IF(A5="relevant",IF(COUNTIF('Matrix-Kolon'!C26:W26,"")&gt;2,Berechnung2!$L$32,""),"")</f>
        <v/>
      </c>
      <c r="I5" s="171" t="str">
        <f>IF(H5="","",VLOOKUP(F5,Berechnung2!$I$15:$J$25,2,FALSE))</f>
        <v/>
      </c>
      <c r="J5" s="233" t="str">
        <f t="shared" si="2"/>
        <v/>
      </c>
      <c r="L5" s="94" t="str">
        <f t="array" aca="1" ref="L5" ca="1">IF(ROW()-ROW($F$2:$F$65)+1&gt;ROWS($E$2:$E$65)-COUNTBLANK($E$2:$E$65),"",INDIRECT(ADDRESS(SMALL((IF($E$2:$E$65&gt;"",ROW($E$2:$E$65),ROW()+ROWS($E$2:$E$65))),ROW()-ROW($F$2:$F$65)+1),COLUMN($E$2:$E$65),4)))</f>
        <v/>
      </c>
      <c r="M5" s="94" t="str">
        <f t="array" aca="1" ref="M5" ca="1">IF(ROW()-ROW($G$2:$G$65)+1&gt;ROWS($F$2:$F$65)-COUNTBLANK($F$2:$F$65),"",INDIRECT(ADDRESS(SMALL((IF($F$2:$F$65&lt;&gt;"",ROW($F$2:$F$65),ROW()+ROWS($F$2:$F$65))),ROW()-ROW($G$2:$G$65)+1),COLUMN($F$2:$F$65),4)))</f>
        <v/>
      </c>
      <c r="N5" s="94" t="str">
        <f t="array" aca="1" ref="N5" ca="1">IF(ROW()-ROW($H$2:$H$65)+1&gt;ROWS($G$2:$G$65)-COUNTBLANK($G$2:$G$65),"",INDIRECT(ADDRESS(SMALL((IF($G$2:$G$65&lt;&gt;"",ROW($G$2:$G$65),ROW()+ROWS($G$2:$G$65))),ROW()-ROW($H$2:$H$65)+1),COLUMN($G$2:$G$65),4)))</f>
        <v/>
      </c>
      <c r="O5" s="183" t="str">
        <f t="array" aca="1" ref="O5" ca="1">IF(ROW()-ROW($I$2:$I$65)+1&gt;ROWS($H$2:$H$65)-COUNTBLANK($H$2:$H$65),"",INDIRECT(ADDRESS(SMALL((IF($H$2:$H$65&lt;&gt;"",ROW($H$2:$H$65),ROW()+ROWS($H$2:$H$65))),ROW()-ROW($I$2:$I$65)+1),COLUMN($H$2:$H$65),4)))</f>
        <v/>
      </c>
      <c r="P5" s="183" t="str">
        <f t="array" aca="1" ref="P5" ca="1">IF(ROW()-ROW($J$2:$J$65)+1&gt;ROWS($I$2:$I$65)-COUNTBLANK($I$2:$I$65),"",INDIRECT(ADDRESS(SMALL((IF($I$2:$I$65&lt;&gt;"",ROW($I$2:$I$65),ROW()+ROWS($I$2:$I$65))),ROW()-ROW($J$2:$J$65)+1),COLUMN($I$2:$I$65),4)))</f>
        <v/>
      </c>
      <c r="R5" s="169"/>
      <c r="T5" s="170"/>
    </row>
    <row r="6" spans="1:22" s="35" customFormat="1" ht="15.75" customHeight="1" x14ac:dyDescent="0.25">
      <c r="A6" s="171" t="str">
        <f>IF(Datenquelle!$F$3&gt;2,IF(Datenquelle!$F$3=3,"EZ",IF(Datenquelle!$F$3&gt;3,"relevant","?")),"nicht relevant")</f>
        <v>nicht relevant</v>
      </c>
      <c r="B6" s="147" t="s">
        <v>1433</v>
      </c>
      <c r="C6" s="216"/>
      <c r="D6" s="963"/>
      <c r="E6" s="34" t="str">
        <f>IF(H6="","","2023")</f>
        <v/>
      </c>
      <c r="F6" s="34" t="str">
        <f t="shared" si="0"/>
        <v/>
      </c>
      <c r="G6" s="34" t="str">
        <f t="shared" si="1"/>
        <v/>
      </c>
      <c r="H6" s="172" t="str">
        <f>IF(A6="relevant",IF(COUNTIF('Matrix-Kolon'!C27:W27,"")&gt;2,Berechnung2!$L$32,""),"")</f>
        <v/>
      </c>
      <c r="I6" s="171" t="str">
        <f>IF(H6="","",VLOOKUP(F6,Berechnung2!$I$15:$J$25,2,FALSE))</f>
        <v/>
      </c>
      <c r="J6" s="233" t="str">
        <f t="shared" si="2"/>
        <v/>
      </c>
      <c r="L6" s="94" t="str">
        <f t="array" aca="1" ref="L6" ca="1">IF(ROW()-ROW($F$2:$F$65)+1&gt;ROWS($E$2:$E$65)-COUNTBLANK($E$2:$E$65),"",INDIRECT(ADDRESS(SMALL((IF($E$2:$E$65&gt;"",ROW($E$2:$E$65),ROW()+ROWS($E$2:$E$65))),ROW()-ROW($F$2:$F$65)+1),COLUMN($E$2:$E$65),4)))</f>
        <v/>
      </c>
      <c r="M6" s="94" t="str">
        <f t="array" aca="1" ref="M6" ca="1">IF(ROW()-ROW($G$2:$G$65)+1&gt;ROWS($F$2:$F$65)-COUNTBLANK($F$2:$F$65),"",INDIRECT(ADDRESS(SMALL((IF($F$2:$F$65&lt;&gt;"",ROW($F$2:$F$65),ROW()+ROWS($F$2:$F$65))),ROW()-ROW($G$2:$G$65)+1),COLUMN($F$2:$F$65),4)))</f>
        <v/>
      </c>
      <c r="N6" s="94" t="str">
        <f t="array" aca="1" ref="N6" ca="1">IF(ROW()-ROW($H$2:$H$65)+1&gt;ROWS($G$2:$G$65)-COUNTBLANK($G$2:$G$65),"",INDIRECT(ADDRESS(SMALL((IF($G$2:$G$65&lt;&gt;"",ROW($G$2:$G$65),ROW()+ROWS($G$2:$G$65))),ROW()-ROW($H$2:$H$65)+1),COLUMN($G$2:$G$65),4)))</f>
        <v/>
      </c>
      <c r="O6" s="183" t="str">
        <f t="array" aca="1" ref="O6" ca="1">IF(ROW()-ROW($I$2:$I$65)+1&gt;ROWS($H$2:$H$65)-COUNTBLANK($H$2:$H$65),"",INDIRECT(ADDRESS(SMALL((IF($H$2:$H$65&lt;&gt;"",ROW($H$2:$H$65),ROW()+ROWS($H$2:$H$65))),ROW()-ROW($I$2:$I$65)+1),COLUMN($H$2:$H$65),4)))</f>
        <v/>
      </c>
      <c r="P6" s="183" t="str">
        <f t="array" aca="1" ref="P6" ca="1">IF(ROW()-ROW($J$2:$J$65)+1&gt;ROWS($I$2:$I$65)-COUNTBLANK($I$2:$I$65),"",INDIRECT(ADDRESS(SMALL((IF($I$2:$I$65&lt;&gt;"",ROW($I$2:$I$65),ROW()+ROWS($I$2:$I$65))),ROW()-ROW($J$2:$J$65)+1),COLUMN($I$2:$I$65),4)))</f>
        <v/>
      </c>
    </row>
    <row r="7" spans="1:22" s="35" customFormat="1" x14ac:dyDescent="0.25">
      <c r="A7" s="171" t="str">
        <f>IF(Datenquelle!$F$3&gt;1,IF(Datenquelle!$F$3=2,"EZ",IF(Datenquelle!$F$3&gt;2,"relevant","?")),"nicht relevant")</f>
        <v>nicht relevant</v>
      </c>
      <c r="B7" s="147" t="s">
        <v>1492</v>
      </c>
      <c r="C7" s="216"/>
      <c r="D7" s="173" t="s">
        <v>225</v>
      </c>
      <c r="E7" s="240" t="str">
        <f>IF(H7="","","2024")</f>
        <v/>
      </c>
      <c r="F7" s="240" t="str">
        <f t="shared" si="0"/>
        <v/>
      </c>
      <c r="G7" s="240" t="str">
        <f t="shared" si="1"/>
        <v/>
      </c>
      <c r="H7" s="460" t="str">
        <f>IF(A7="relevant",IF(COUNTIF('Matrix-Kolon'!C28:G28,"")&gt;0,Berechnung2!$L$32,""),"")</f>
        <v/>
      </c>
      <c r="I7" s="241" t="str">
        <f>IF(H7="","",VLOOKUP(F7,Berechnung2!$I$15:$J$25,2,FALSE))</f>
        <v/>
      </c>
      <c r="J7" s="242" t="str">
        <f t="shared" si="2"/>
        <v/>
      </c>
      <c r="L7" s="94" t="str">
        <f t="array" aca="1" ref="L7" ca="1">IF(ROW()-ROW($F$2:$F$65)+1&gt;ROWS($E$2:$E$65)-COUNTBLANK($E$2:$E$65),"",INDIRECT(ADDRESS(SMALL((IF($E$2:$E$65&gt;"",ROW($E$2:$E$65),ROW()+ROWS($E$2:$E$65))),ROW()-ROW($F$2:$F$65)+1),COLUMN($E$2:$E$65),4)))</f>
        <v/>
      </c>
      <c r="M7" s="94" t="str">
        <f t="array" aca="1" ref="M7" ca="1">IF(ROW()-ROW($G$2:$G$65)+1&gt;ROWS($F$2:$F$65)-COUNTBLANK($F$2:$F$65),"",INDIRECT(ADDRESS(SMALL((IF($F$2:$F$65&lt;&gt;"",ROW($F$2:$F$65),ROW()+ROWS($F$2:$F$65))),ROW()-ROW($G$2:$G$65)+1),COLUMN($F$2:$F$65),4)))</f>
        <v/>
      </c>
      <c r="N7" s="94" t="str">
        <f t="array" aca="1" ref="N7" ca="1">IF(ROW()-ROW($H$2:$H$65)+1&gt;ROWS($G$2:$G$65)-COUNTBLANK($G$2:$G$65),"",INDIRECT(ADDRESS(SMALL((IF($G$2:$G$65&lt;&gt;"",ROW($G$2:$G$65),ROW()+ROWS($G$2:$G$65))),ROW()-ROW($H$2:$H$65)+1),COLUMN($G$2:$G$65),4)))</f>
        <v/>
      </c>
      <c r="O7" s="183" t="str">
        <f t="array" aca="1" ref="O7" ca="1">IF(ROW()-ROW($I$2:$I$65)+1&gt;ROWS($H$2:$H$65)-COUNTBLANK($H$2:$H$65),"",INDIRECT(ADDRESS(SMALL((IF($H$2:$H$65&lt;&gt;"",ROW($H$2:$H$65),ROW()+ROWS($H$2:$H$65))),ROW()-ROW($I$2:$I$65)+1),COLUMN($H$2:$H$65),4)))</f>
        <v/>
      </c>
      <c r="P7" s="183" t="str">
        <f t="array" aca="1" ref="P7" ca="1">IF(ROW()-ROW($J$2:$J$65)+1&gt;ROWS($I$2:$I$65)-COUNTBLANK($I$2:$I$65),"",INDIRECT(ADDRESS(SMALL((IF($I$2:$I$65&lt;&gt;"",ROW($I$2:$I$65),ROW()+ROWS($I$2:$I$65))),ROW()-ROW($J$2:$J$65)+1),COLUMN($I$2:$I$65),4)))</f>
        <v/>
      </c>
      <c r="Q7" s="136"/>
      <c r="R7" s="136"/>
      <c r="S7" s="136"/>
      <c r="T7" s="136"/>
      <c r="U7" s="136"/>
      <c r="V7" s="136"/>
    </row>
    <row r="8" spans="1:22" s="35" customFormat="1" ht="12" thickBot="1" x14ac:dyDescent="0.3">
      <c r="A8" s="171" t="str">
        <f>IF(Datenquelle!$F$3&gt;0,IF(Datenquelle!$F$3=1,"EZ",IF(Datenquelle!$F$3&gt;1,"relevant","?")),"nicht relevant")</f>
        <v>nicht relevant</v>
      </c>
      <c r="B8" s="147" t="s">
        <v>1824</v>
      </c>
      <c r="C8" s="216"/>
      <c r="D8" s="461"/>
      <c r="E8" s="240" t="str">
        <f>IF(H8="","","2025")</f>
        <v/>
      </c>
      <c r="F8" s="240" t="str">
        <f t="shared" ref="F8" si="3">IF(H8="","","a")</f>
        <v/>
      </c>
      <c r="G8" s="240" t="str">
        <f t="shared" ref="G8" si="4">IF(H8="","","1")</f>
        <v/>
      </c>
      <c r="H8" s="460" t="str">
        <f>IF(A8="relevant",IF(COUNTIF('Matrix-Kolon'!C29:G29,"")&gt;0,Berechnung2!$L$32,""),"")</f>
        <v/>
      </c>
      <c r="I8" s="241" t="str">
        <f>IF(H8="","",VLOOKUP(F8,Berechnung2!$I$15:$J$25,2,FALSE))</f>
        <v/>
      </c>
      <c r="J8" s="242" t="str">
        <f t="shared" ref="J8" si="5">IF(H8&lt;&gt;"",1,"")</f>
        <v/>
      </c>
      <c r="L8" s="94" t="str">
        <f t="array" aca="1" ref="L8" ca="1">IF(ROW()-ROW($F$2:$F$65)+1&gt;ROWS($E$2:$E$65)-COUNTBLANK($E$2:$E$65),"",INDIRECT(ADDRESS(SMALL((IF($E$2:$E$65&gt;"",ROW($E$2:$E$65),ROW()+ROWS($E$2:$E$65))),ROW()-ROW($F$2:$F$65)+1),COLUMN($E$2:$E$65),4)))</f>
        <v/>
      </c>
      <c r="M8" s="94" t="str">
        <f t="array" aca="1" ref="M8" ca="1">IF(ROW()-ROW($G$2:$G$65)+1&gt;ROWS($F$2:$F$65)-COUNTBLANK($F$2:$F$65),"",INDIRECT(ADDRESS(SMALL((IF($F$2:$F$65&lt;&gt;"",ROW($F$2:$F$65),ROW()+ROWS($F$2:$F$65))),ROW()-ROW($G$2:$G$65)+1),COLUMN($F$2:$F$65),4)))</f>
        <v/>
      </c>
      <c r="N8" s="94" t="str">
        <f t="array" aca="1" ref="N8" ca="1">IF(ROW()-ROW($H$2:$H$65)+1&gt;ROWS($G$2:$G$65)-COUNTBLANK($G$2:$G$65),"",INDIRECT(ADDRESS(SMALL((IF($G$2:$G$65&lt;&gt;"",ROW($G$2:$G$65),ROW()+ROWS($G$2:$G$65))),ROW()-ROW($H$2:$H$65)+1),COLUMN($G$2:$G$65),4)))</f>
        <v/>
      </c>
      <c r="O8" s="183" t="str">
        <f t="array" aca="1" ref="O8" ca="1">IF(ROW()-ROW($I$2:$I$65)+1&gt;ROWS($H$2:$H$65)-COUNTBLANK($H$2:$H$65),"",INDIRECT(ADDRESS(SMALL((IF($H$2:$H$65&lt;&gt;"",ROW($H$2:$H$65),ROW()+ROWS($H$2:$H$65))),ROW()-ROW($I$2:$I$65)+1),COLUMN($H$2:$H$65),4)))</f>
        <v/>
      </c>
      <c r="P8" s="183" t="str">
        <f t="array" aca="1" ref="P8" ca="1">IF(ROW()-ROW($J$2:$J$65)+1&gt;ROWS($I$2:$I$65)-COUNTBLANK($I$2:$I$65),"",INDIRECT(ADDRESS(SMALL((IF($I$2:$I$65&lt;&gt;"",ROW($I$2:$I$65),ROW()+ROWS($I$2:$I$65))),ROW()-ROW($J$2:$J$65)+1),COLUMN($I$2:$I$65),4)))</f>
        <v/>
      </c>
      <c r="Q8" s="136"/>
      <c r="R8" s="136"/>
      <c r="S8" s="136"/>
      <c r="T8" s="136"/>
      <c r="U8" s="136"/>
      <c r="V8" s="136"/>
    </row>
    <row r="9" spans="1:22" s="35" customFormat="1" x14ac:dyDescent="0.25">
      <c r="D9" s="145" t="s">
        <v>353</v>
      </c>
      <c r="E9" s="155" t="str">
        <f>IF(H9="","","2019")</f>
        <v/>
      </c>
      <c r="F9" s="155" t="str">
        <f t="shared" ref="F9:F13" si="6">IF(H9="","","b")</f>
        <v/>
      </c>
      <c r="G9" s="155" t="str">
        <f t="shared" si="1"/>
        <v/>
      </c>
      <c r="H9" s="184" t="str">
        <f>IF(A2="relevant",IF('Matrix-Kolon'!I23="","",IF('Matrix-Kolon'!I23&gt;('Matrix-Kolon'!C23-'Matrix-Kolon'!G23),Berechnung2!$L$36,"")),"")</f>
        <v/>
      </c>
      <c r="I9" s="235" t="str">
        <f>IF(H9="","",VLOOKUP(F9,Berechnung2!$I$15:$J$25,2,FALSE))</f>
        <v/>
      </c>
      <c r="J9" s="234" t="str">
        <f t="shared" si="2"/>
        <v/>
      </c>
      <c r="L9" s="94" t="str">
        <f t="array" aca="1" ref="L9" ca="1">IF(ROW()-ROW($F$2:$F$65)+1&gt;ROWS($E$2:$E$65)-COUNTBLANK($E$2:$E$65),"",INDIRECT(ADDRESS(SMALL((IF($E$2:$E$65&gt;"",ROW($E$2:$E$65),ROW()+ROWS($E$2:$E$65))),ROW()-ROW($F$2:$F$65)+1),COLUMN($E$2:$E$65),4)))</f>
        <v/>
      </c>
      <c r="M9" s="94" t="str">
        <f t="array" aca="1" ref="M9" ca="1">IF(ROW()-ROW($G$2:$G$65)+1&gt;ROWS($F$2:$F$65)-COUNTBLANK($F$2:$F$65),"",INDIRECT(ADDRESS(SMALL((IF($F$2:$F$65&lt;&gt;"",ROW($F$2:$F$65),ROW()+ROWS($F$2:$F$65))),ROW()-ROW($G$2:$G$65)+1),COLUMN($F$2:$F$65),4)))</f>
        <v/>
      </c>
      <c r="N9" s="94" t="str">
        <f t="array" aca="1" ref="N9" ca="1">IF(ROW()-ROW($H$2:$H$65)+1&gt;ROWS($G$2:$G$65)-COUNTBLANK($G$2:$G$65),"",INDIRECT(ADDRESS(SMALL((IF($G$2:$G$65&lt;&gt;"",ROW($G$2:$G$65),ROW()+ROWS($G$2:$G$65))),ROW()-ROW($H$2:$H$65)+1),COLUMN($G$2:$G$65),4)))</f>
        <v/>
      </c>
      <c r="O9" s="183" t="str">
        <f t="array" aca="1" ref="O9" ca="1">IF(ROW()-ROW($I$2:$I$65)+1&gt;ROWS($H$2:$H$65)-COUNTBLANK($H$2:$H$65),"",INDIRECT(ADDRESS(SMALL((IF($H$2:$H$65&lt;&gt;"",ROW($H$2:$H$65),ROW()+ROWS($H$2:$H$65))),ROW()-ROW($I$2:$I$65)+1),COLUMN($H$2:$H$65),4)))</f>
        <v/>
      </c>
      <c r="P9" s="183" t="str">
        <f t="array" aca="1" ref="P9" ca="1">IF(ROW()-ROW($J$2:$J$65)+1&gt;ROWS($I$2:$I$65)-COUNTBLANK($I$2:$I$65),"",INDIRECT(ADDRESS(SMALL((IF($I$2:$I$65&lt;&gt;"",ROW($I$2:$I$65),ROW()+ROWS($I$2:$I$65))),ROW()-ROW($J$2:$J$65)+1),COLUMN($I$2:$I$65),4)))</f>
        <v/>
      </c>
    </row>
    <row r="10" spans="1:22" s="35" customFormat="1" x14ac:dyDescent="0.25">
      <c r="D10" s="963" t="s">
        <v>432</v>
      </c>
      <c r="E10" s="34" t="str">
        <f>IF(H10="","","2020")</f>
        <v/>
      </c>
      <c r="F10" s="34" t="str">
        <f t="shared" si="6"/>
        <v/>
      </c>
      <c r="G10" s="34" t="str">
        <f t="shared" si="1"/>
        <v/>
      </c>
      <c r="H10" s="172" t="str">
        <f>IF(A3="relevant",IF('Matrix-Kolon'!I24="","",IF('Matrix-Kolon'!I24&gt;('Matrix-Kolon'!C24-'Matrix-Kolon'!G24),Berechnung2!$L$36,"")),"")</f>
        <v/>
      </c>
      <c r="I10" s="171" t="str">
        <f>IF(H10="","",VLOOKUP(F10,Berechnung2!$I$15:$J$25,2,FALSE))</f>
        <v/>
      </c>
      <c r="J10" s="233" t="str">
        <f t="shared" si="2"/>
        <v/>
      </c>
      <c r="L10" s="94" t="str">
        <f t="array" aca="1" ref="L10" ca="1">IF(ROW()-ROW($F$2:$F$65)+1&gt;ROWS($E$2:$E$65)-COUNTBLANK($E$2:$E$65),"",INDIRECT(ADDRESS(SMALL((IF($E$2:$E$65&gt;"",ROW($E$2:$E$65),ROW()+ROWS($E$2:$E$65))),ROW()-ROW($F$2:$F$65)+1),COLUMN($E$2:$E$65),4)))</f>
        <v/>
      </c>
      <c r="M10" s="94" t="str">
        <f t="array" aca="1" ref="M10" ca="1">IF(ROW()-ROW($G$2:$G$65)+1&gt;ROWS($F$2:$F$65)-COUNTBLANK($F$2:$F$65),"",INDIRECT(ADDRESS(SMALL((IF($F$2:$F$65&lt;&gt;"",ROW($F$2:$F$65),ROW()+ROWS($F$2:$F$65))),ROW()-ROW($G$2:$G$65)+1),COLUMN($F$2:$F$65),4)))</f>
        <v/>
      </c>
      <c r="N10" s="94" t="str">
        <f t="array" aca="1" ref="N10" ca="1">IF(ROW()-ROW($H$2:$H$65)+1&gt;ROWS($G$2:$G$65)-COUNTBLANK($G$2:$G$65),"",INDIRECT(ADDRESS(SMALL((IF($G$2:$G$65&lt;&gt;"",ROW($G$2:$G$65),ROW()+ROWS($G$2:$G$65))),ROW()-ROW($H$2:$H$65)+1),COLUMN($G$2:$G$65),4)))</f>
        <v/>
      </c>
      <c r="O10" s="183" t="str">
        <f t="array" aca="1" ref="O10" ca="1">IF(ROW()-ROW($I$2:$I$65)+1&gt;ROWS($H$2:$H$65)-COUNTBLANK($H$2:$H$65),"",INDIRECT(ADDRESS(SMALL((IF($H$2:$H$65&lt;&gt;"",ROW($H$2:$H$65),ROW()+ROWS($H$2:$H$65))),ROW()-ROW($I$2:$I$65)+1),COLUMN($H$2:$H$65),4)))</f>
        <v/>
      </c>
      <c r="P10" s="183" t="str">
        <f t="array" aca="1" ref="P10" ca="1">IF(ROW()-ROW($J$2:$J$65)+1&gt;ROWS($I$2:$I$65)-COUNTBLANK($I$2:$I$65),"",INDIRECT(ADDRESS(SMALL((IF($I$2:$I$65&lt;&gt;"",ROW($I$2:$I$65),ROW()+ROWS($I$2:$I$65))),ROW()-ROW($J$2:$J$65)+1),COLUMN($I$2:$I$65),4)))</f>
        <v/>
      </c>
    </row>
    <row r="11" spans="1:22" s="35" customFormat="1" x14ac:dyDescent="0.25">
      <c r="D11" s="963"/>
      <c r="E11" s="34" t="str">
        <f>IF(H11="","","2021")</f>
        <v/>
      </c>
      <c r="F11" s="34" t="str">
        <f t="shared" si="6"/>
        <v/>
      </c>
      <c r="G11" s="34" t="str">
        <f t="shared" si="1"/>
        <v/>
      </c>
      <c r="H11" s="172" t="str">
        <f>IF(A4="relevant",IF('Matrix-Kolon'!I25="","",IF('Matrix-Kolon'!I25&gt;('Matrix-Kolon'!C25-'Matrix-Kolon'!G25),Berechnung2!$L$36,"")),"")</f>
        <v/>
      </c>
      <c r="I11" s="171" t="str">
        <f>IF(H11="","",VLOOKUP(F11,Berechnung2!$I$15:$J$25,2,FALSE))</f>
        <v/>
      </c>
      <c r="J11" s="233" t="str">
        <f t="shared" si="2"/>
        <v/>
      </c>
      <c r="L11" s="94" t="str">
        <f t="array" aca="1" ref="L11" ca="1">IF(ROW()-ROW($F$2:$F$65)+1&gt;ROWS($E$2:$E$65)-COUNTBLANK($E$2:$E$65),"",INDIRECT(ADDRESS(SMALL((IF($E$2:$E$65&gt;"",ROW($E$2:$E$65),ROW()+ROWS($E$2:$E$65))),ROW()-ROW($F$2:$F$65)+1),COLUMN($E$2:$E$65),4)))</f>
        <v/>
      </c>
      <c r="M11" s="94" t="str">
        <f t="array" aca="1" ref="M11" ca="1">IF(ROW()-ROW($G$2:$G$65)+1&gt;ROWS($F$2:$F$65)-COUNTBLANK($F$2:$F$65),"",INDIRECT(ADDRESS(SMALL((IF($F$2:$F$65&lt;&gt;"",ROW($F$2:$F$65),ROW()+ROWS($F$2:$F$65))),ROW()-ROW($G$2:$G$65)+1),COLUMN($F$2:$F$65),4)))</f>
        <v/>
      </c>
      <c r="N11" s="94" t="str">
        <f t="array" aca="1" ref="N11" ca="1">IF(ROW()-ROW($H$2:$H$65)+1&gt;ROWS($G$2:$G$65)-COUNTBLANK($G$2:$G$65),"",INDIRECT(ADDRESS(SMALL((IF($G$2:$G$65&lt;&gt;"",ROW($G$2:$G$65),ROW()+ROWS($G$2:$G$65))),ROW()-ROW($H$2:$H$65)+1),COLUMN($G$2:$G$65),4)))</f>
        <v/>
      </c>
      <c r="O11" s="183" t="str">
        <f t="array" aca="1" ref="O11" ca="1">IF(ROW()-ROW($I$2:$I$65)+1&gt;ROWS($H$2:$H$65)-COUNTBLANK($H$2:$H$65),"",INDIRECT(ADDRESS(SMALL((IF($H$2:$H$65&lt;&gt;"",ROW($H$2:$H$65),ROW()+ROWS($H$2:$H$65))),ROW()-ROW($I$2:$I$65)+1),COLUMN($H$2:$H$65),4)))</f>
        <v/>
      </c>
      <c r="P11" s="183" t="str">
        <f t="array" aca="1" ref="P11" ca="1">IF(ROW()-ROW($J$2:$J$65)+1&gt;ROWS($I$2:$I$65)-COUNTBLANK($I$2:$I$65),"",INDIRECT(ADDRESS(SMALL((IF($I$2:$I$65&lt;&gt;"",ROW($I$2:$I$65),ROW()+ROWS($I$2:$I$65))),ROW()-ROW($J$2:$J$65)+1),COLUMN($I$2:$I$65),4)))</f>
        <v/>
      </c>
    </row>
    <row r="12" spans="1:22" s="35" customFormat="1" x14ac:dyDescent="0.25">
      <c r="D12" s="963"/>
      <c r="E12" s="34" t="str">
        <f>IF(H12="","","2022")</f>
        <v/>
      </c>
      <c r="F12" s="34" t="str">
        <f t="shared" si="6"/>
        <v/>
      </c>
      <c r="G12" s="34" t="str">
        <f t="shared" si="1"/>
        <v/>
      </c>
      <c r="H12" s="172" t="str">
        <f>IF(A5="relevant",IF('Matrix-Kolon'!I26="","",IF('Matrix-Kolon'!I26&gt;('Matrix-Kolon'!C26-'Matrix-Kolon'!G26),Berechnung2!$L$36,"")),"")</f>
        <v/>
      </c>
      <c r="I12" s="171" t="str">
        <f>IF(H12="","",VLOOKUP(F12,Berechnung2!$I$15:$J$25,2,FALSE))</f>
        <v/>
      </c>
      <c r="J12" s="233" t="str">
        <f t="shared" si="2"/>
        <v/>
      </c>
      <c r="L12" s="94" t="str">
        <f t="array" aca="1" ref="L12" ca="1">IF(ROW()-ROW($F$2:$F$65)+1&gt;ROWS($E$2:$E$65)-COUNTBLANK($E$2:$E$65),"",INDIRECT(ADDRESS(SMALL((IF($E$2:$E$65&gt;"",ROW($E$2:$E$65),ROW()+ROWS($E$2:$E$65))),ROW()-ROW($F$2:$F$65)+1),COLUMN($E$2:$E$65),4)))</f>
        <v/>
      </c>
      <c r="M12" s="94" t="str">
        <f t="array" aca="1" ref="M12" ca="1">IF(ROW()-ROW($G$2:$G$65)+1&gt;ROWS($F$2:$F$65)-COUNTBLANK($F$2:$F$65),"",INDIRECT(ADDRESS(SMALL((IF($F$2:$F$65&lt;&gt;"",ROW($F$2:$F$65),ROW()+ROWS($F$2:$F$65))),ROW()-ROW($G$2:$G$65)+1),COLUMN($F$2:$F$65),4)))</f>
        <v/>
      </c>
      <c r="N12" s="94" t="str">
        <f t="array" aca="1" ref="N12" ca="1">IF(ROW()-ROW($H$2:$H$65)+1&gt;ROWS($G$2:$G$65)-COUNTBLANK($G$2:$G$65),"",INDIRECT(ADDRESS(SMALL((IF($G$2:$G$65&lt;&gt;"",ROW($G$2:$G$65),ROW()+ROWS($G$2:$G$65))),ROW()-ROW($H$2:$H$65)+1),COLUMN($G$2:$G$65),4)))</f>
        <v/>
      </c>
      <c r="O12" s="183" t="str">
        <f t="array" aca="1" ref="O12" ca="1">IF(ROW()-ROW($I$2:$I$65)+1&gt;ROWS($H$2:$H$65)-COUNTBLANK($H$2:$H$65),"",INDIRECT(ADDRESS(SMALL((IF($H$2:$H$65&lt;&gt;"",ROW($H$2:$H$65),ROW()+ROWS($H$2:$H$65))),ROW()-ROW($I$2:$I$65)+1),COLUMN($H$2:$H$65),4)))</f>
        <v/>
      </c>
      <c r="P12" s="183" t="str">
        <f t="array" aca="1" ref="P12" ca="1">IF(ROW()-ROW($J$2:$J$65)+1&gt;ROWS($I$2:$I$65)-COUNTBLANK($I$2:$I$65),"",INDIRECT(ADDRESS(SMALL((IF($I$2:$I$65&lt;&gt;"",ROW($I$2:$I$65),ROW()+ROWS($I$2:$I$65))),ROW()-ROW($J$2:$J$65)+1),COLUMN($I$2:$I$65),4)))</f>
        <v/>
      </c>
    </row>
    <row r="13" spans="1:22" s="35" customFormat="1" x14ac:dyDescent="0.25">
      <c r="D13" s="963"/>
      <c r="E13" s="34" t="str">
        <f>IF(H13="","","2023")</f>
        <v/>
      </c>
      <c r="F13" s="34" t="str">
        <f t="shared" si="6"/>
        <v/>
      </c>
      <c r="G13" s="34" t="str">
        <f t="shared" si="1"/>
        <v/>
      </c>
      <c r="H13" s="172" t="str">
        <f>IF(A6="relevant",IF('Matrix-Kolon'!I27="","",IF('Matrix-Kolon'!I27&gt;('Matrix-Kolon'!C27-'Matrix-Kolon'!G27),Berechnung2!$L$36,"")),"")</f>
        <v/>
      </c>
      <c r="I13" s="171" t="str">
        <f>IF(H13="","",VLOOKUP(F13,Berechnung2!$I$15:$J$25,2,FALSE))</f>
        <v/>
      </c>
      <c r="J13" s="233" t="str">
        <f t="shared" si="2"/>
        <v/>
      </c>
      <c r="L13" s="94" t="str">
        <f t="array" aca="1" ref="L13" ca="1">IF(ROW()-ROW($F$2:$F$65)+1&gt;ROWS($E$2:$E$65)-COUNTBLANK($E$2:$E$65),"",INDIRECT(ADDRESS(SMALL((IF($E$2:$E$65&gt;"",ROW($E$2:$E$65),ROW()+ROWS($E$2:$E$65))),ROW()-ROW($F$2:$F$65)+1),COLUMN($E$2:$E$65),4)))</f>
        <v/>
      </c>
      <c r="M13" s="94" t="str">
        <f t="array" aca="1" ref="M13" ca="1">IF(ROW()-ROW($G$2:$G$65)+1&gt;ROWS($F$2:$F$65)-COUNTBLANK($F$2:$F$65),"",INDIRECT(ADDRESS(SMALL((IF($F$2:$F$65&lt;&gt;"",ROW($F$2:$F$65),ROW()+ROWS($F$2:$F$65))),ROW()-ROW($G$2:$G$65)+1),COLUMN($F$2:$F$65),4)))</f>
        <v/>
      </c>
      <c r="N13" s="94" t="str">
        <f t="array" aca="1" ref="N13" ca="1">IF(ROW()-ROW($H$2:$H$65)+1&gt;ROWS($G$2:$G$65)-COUNTBLANK($G$2:$G$65),"",INDIRECT(ADDRESS(SMALL((IF($G$2:$G$65&lt;&gt;"",ROW($G$2:$G$65),ROW()+ROWS($G$2:$G$65))),ROW()-ROW($H$2:$H$65)+1),COLUMN($G$2:$G$65),4)))</f>
        <v/>
      </c>
      <c r="O13" s="183" t="str">
        <f t="array" aca="1" ref="O13" ca="1">IF(ROW()-ROW($I$2:$I$65)+1&gt;ROWS($H$2:$H$65)-COUNTBLANK($H$2:$H$65),"",INDIRECT(ADDRESS(SMALL((IF($H$2:$H$65&lt;&gt;"",ROW($H$2:$H$65),ROW()+ROWS($H$2:$H$65))),ROW()-ROW($I$2:$I$65)+1),COLUMN($H$2:$H$65),4)))</f>
        <v/>
      </c>
      <c r="P13" s="183" t="str">
        <f t="array" aca="1" ref="P13" ca="1">IF(ROW()-ROW($J$2:$J$65)+1&gt;ROWS($I$2:$I$65)-COUNTBLANK($I$2:$I$65),"",INDIRECT(ADDRESS(SMALL((IF($I$2:$I$65&lt;&gt;"",ROW($I$2:$I$65),ROW()+ROWS($I$2:$I$65))),ROW()-ROW($J$2:$J$65)+1),COLUMN($I$2:$I$65),4)))</f>
        <v/>
      </c>
    </row>
    <row r="14" spans="1:22" s="35" customFormat="1" x14ac:dyDescent="0.25">
      <c r="D14" s="173" t="s">
        <v>226</v>
      </c>
      <c r="E14" s="240"/>
      <c r="F14" s="240"/>
      <c r="G14" s="240"/>
      <c r="H14" s="460"/>
      <c r="I14" s="241"/>
      <c r="J14" s="242"/>
      <c r="L14" s="94" t="str">
        <f t="array" aca="1" ref="L14" ca="1">IF(ROW()-ROW($F$2:$F$65)+1&gt;ROWS($E$2:$E$65)-COUNTBLANK($E$2:$E$65),"",INDIRECT(ADDRESS(SMALL((IF($E$2:$E$65&gt;"",ROW($E$2:$E$65),ROW()+ROWS($E$2:$E$65))),ROW()-ROW($F$2:$F$65)+1),COLUMN($E$2:$E$65),4)))</f>
        <v/>
      </c>
      <c r="M14" s="94" t="str">
        <f t="array" aca="1" ref="M14" ca="1">IF(ROW()-ROW($G$2:$G$65)+1&gt;ROWS($F$2:$F$65)-COUNTBLANK($F$2:$F$65),"",INDIRECT(ADDRESS(SMALL((IF($F$2:$F$65&lt;&gt;"",ROW($F$2:$F$65),ROW()+ROWS($F$2:$F$65))),ROW()-ROW($G$2:$G$65)+1),COLUMN($F$2:$F$65),4)))</f>
        <v/>
      </c>
      <c r="N14" s="94" t="str">
        <f t="array" aca="1" ref="N14" ca="1">IF(ROW()-ROW($H$2:$H$65)+1&gt;ROWS($G$2:$G$65)-COUNTBLANK($G$2:$G$65),"",INDIRECT(ADDRESS(SMALL((IF($G$2:$G$65&lt;&gt;"",ROW($G$2:$G$65),ROW()+ROWS($G$2:$G$65))),ROW()-ROW($H$2:$H$65)+1),COLUMN($G$2:$G$65),4)))</f>
        <v/>
      </c>
      <c r="O14" s="183" t="str">
        <f t="array" aca="1" ref="O14" ca="1">IF(ROW()-ROW($I$2:$I$65)+1&gt;ROWS($H$2:$H$65)-COUNTBLANK($H$2:$H$65),"",INDIRECT(ADDRESS(SMALL((IF($H$2:$H$65&lt;&gt;"",ROW($H$2:$H$65),ROW()+ROWS($H$2:$H$65))),ROW()-ROW($I$2:$I$65)+1),COLUMN($H$2:$H$65),4)))</f>
        <v/>
      </c>
      <c r="P14" s="183" t="str">
        <f t="array" aca="1" ref="P14" ca="1">IF(ROW()-ROW($J$2:$J$65)+1&gt;ROWS($I$2:$I$65)-COUNTBLANK($I$2:$I$65),"",INDIRECT(ADDRESS(SMALL((IF($I$2:$I$65&lt;&gt;"",ROW($I$2:$I$65),ROW()+ROWS($I$2:$I$65))),ROW()-ROW($J$2:$J$65)+1),COLUMN($I$2:$I$65),4)))</f>
        <v/>
      </c>
    </row>
    <row r="15" spans="1:22" s="35" customFormat="1" ht="12" thickBot="1" x14ac:dyDescent="0.3">
      <c r="D15" s="461"/>
      <c r="E15" s="240"/>
      <c r="F15" s="240"/>
      <c r="G15" s="240"/>
      <c r="H15" s="460"/>
      <c r="I15" s="241"/>
      <c r="J15" s="242"/>
      <c r="L15" s="94" t="str">
        <f t="array" aca="1" ref="L15" ca="1">IF(ROW()-ROW($F$2:$F$65)+1&gt;ROWS($E$2:$E$65)-COUNTBLANK($E$2:$E$65),"",INDIRECT(ADDRESS(SMALL((IF($E$2:$E$65&gt;"",ROW($E$2:$E$65),ROW()+ROWS($E$2:$E$65))),ROW()-ROW($F$2:$F$65)+1),COLUMN($E$2:$E$65),4)))</f>
        <v/>
      </c>
      <c r="M15" s="94" t="str">
        <f t="array" aca="1" ref="M15" ca="1">IF(ROW()-ROW($G$2:$G$65)+1&gt;ROWS($F$2:$F$65)-COUNTBLANK($F$2:$F$65),"",INDIRECT(ADDRESS(SMALL((IF($F$2:$F$65&lt;&gt;"",ROW($F$2:$F$65),ROW()+ROWS($F$2:$F$65))),ROW()-ROW($G$2:$G$65)+1),COLUMN($F$2:$F$65),4)))</f>
        <v/>
      </c>
      <c r="N15" s="94" t="str">
        <f t="array" aca="1" ref="N15" ca="1">IF(ROW()-ROW($H$2:$H$65)+1&gt;ROWS($G$2:$G$65)-COUNTBLANK($G$2:$G$65),"",INDIRECT(ADDRESS(SMALL((IF($G$2:$G$65&lt;&gt;"",ROW($G$2:$G$65),ROW()+ROWS($G$2:$G$65))),ROW()-ROW($H$2:$H$65)+1),COLUMN($G$2:$G$65),4)))</f>
        <v/>
      </c>
      <c r="O15" s="183" t="str">
        <f t="array" aca="1" ref="O15" ca="1">IF(ROW()-ROW($I$2:$I$65)+1&gt;ROWS($H$2:$H$65)-COUNTBLANK($H$2:$H$65),"",INDIRECT(ADDRESS(SMALL((IF($H$2:$H$65&lt;&gt;"",ROW($H$2:$H$65),ROW()+ROWS($H$2:$H$65))),ROW()-ROW($I$2:$I$65)+1),COLUMN($H$2:$H$65),4)))</f>
        <v/>
      </c>
      <c r="P15" s="183" t="str">
        <f t="array" aca="1" ref="P15" ca="1">IF(ROW()-ROW($J$2:$J$65)+1&gt;ROWS($I$2:$I$65)-COUNTBLANK($I$2:$I$65),"",INDIRECT(ADDRESS(SMALL((IF($I$2:$I$65&lt;&gt;"",ROW($I$2:$I$65),ROW()+ROWS($I$2:$I$65))),ROW()-ROW($J$2:$J$65)+1),COLUMN($I$2:$I$65),4)))</f>
        <v/>
      </c>
    </row>
    <row r="16" spans="1:22" x14ac:dyDescent="0.25">
      <c r="D16" s="145" t="s">
        <v>353</v>
      </c>
      <c r="E16" s="155" t="str">
        <f>IF(H16="","","2019")</f>
        <v/>
      </c>
      <c r="F16" s="155" t="str">
        <f t="shared" ref="F16:F20" si="7">IF(H16="","","c")</f>
        <v/>
      </c>
      <c r="G16" s="155" t="str">
        <f t="shared" si="1"/>
        <v/>
      </c>
      <c r="H16" s="184" t="str">
        <f>IF(A2="relevant",IF('Matrix-Kolon'!O23&lt;Berechnung2!$G$42,Berechnung2!$L$42,""),"")</f>
        <v/>
      </c>
      <c r="I16" s="235" t="str">
        <f>IF(H16="","",VLOOKUP(F16,Berechnung2!$I$15:$J$25,2,FALSE))</f>
        <v/>
      </c>
      <c r="J16" s="234" t="str">
        <f t="shared" si="2"/>
        <v/>
      </c>
      <c r="L16" s="94" t="str">
        <f t="array" aca="1" ref="L16" ca="1">IF(ROW()-ROW($F$2:$F$65)+1&gt;ROWS($E$2:$E$65)-COUNTBLANK($E$2:$E$65),"",INDIRECT(ADDRESS(SMALL((IF($E$2:$E$65&gt;"",ROW($E$2:$E$65),ROW()+ROWS($E$2:$E$65))),ROW()-ROW($F$2:$F$65)+1),COLUMN($E$2:$E$65),4)))</f>
        <v/>
      </c>
      <c r="M16" s="94" t="str">
        <f t="array" aca="1" ref="M16" ca="1">IF(ROW()-ROW($G$2:$G$65)+1&gt;ROWS($F$2:$F$65)-COUNTBLANK($F$2:$F$65),"",INDIRECT(ADDRESS(SMALL((IF($F$2:$F$65&lt;&gt;"",ROW($F$2:$F$65),ROW()+ROWS($F$2:$F$65))),ROW()-ROW($G$2:$G$65)+1),COLUMN($F$2:$F$65),4)))</f>
        <v/>
      </c>
      <c r="N16" s="94" t="str">
        <f t="array" aca="1" ref="N16" ca="1">IF(ROW()-ROW($H$2:$H$65)+1&gt;ROWS($G$2:$G$65)-COUNTBLANK($G$2:$G$65),"",INDIRECT(ADDRESS(SMALL((IF($G$2:$G$65&lt;&gt;"",ROW($G$2:$G$65),ROW()+ROWS($G$2:$G$65))),ROW()-ROW($H$2:$H$65)+1),COLUMN($G$2:$G$65),4)))</f>
        <v/>
      </c>
      <c r="O16" s="183" t="str">
        <f t="array" aca="1" ref="O16" ca="1">IF(ROW()-ROW($I$2:$I$65)+1&gt;ROWS($H$2:$H$65)-COUNTBLANK($H$2:$H$65),"",INDIRECT(ADDRESS(SMALL((IF($H$2:$H$65&lt;&gt;"",ROW($H$2:$H$65),ROW()+ROWS($H$2:$H$65))),ROW()-ROW($I$2:$I$65)+1),COLUMN($H$2:$H$65),4)))</f>
        <v/>
      </c>
      <c r="P16" s="183" t="str">
        <f t="array" aca="1" ref="P16" ca="1">IF(ROW()-ROW($J$2:$J$65)+1&gt;ROWS($I$2:$I$65)-COUNTBLANK($I$2:$I$65),"",INDIRECT(ADDRESS(SMALL((IF($I$2:$I$65&lt;&gt;"",ROW($I$2:$I$65),ROW()+ROWS($I$2:$I$65))),ROW()-ROW($J$2:$J$65)+1),COLUMN($I$2:$I$65),4)))</f>
        <v/>
      </c>
    </row>
    <row r="17" spans="4:16" x14ac:dyDescent="0.25">
      <c r="D17" s="963" t="s">
        <v>97</v>
      </c>
      <c r="E17" s="34" t="str">
        <f>IF(H17="","","2020")</f>
        <v/>
      </c>
      <c r="F17" s="34" t="str">
        <f t="shared" si="7"/>
        <v/>
      </c>
      <c r="G17" s="34" t="str">
        <f t="shared" si="1"/>
        <v/>
      </c>
      <c r="H17" s="172" t="str">
        <f>IF(A3="relevant",IF('Matrix-Kolon'!O24&lt;Berechnung2!$G$42,Berechnung2!$L$42,""),"")</f>
        <v/>
      </c>
      <c r="I17" s="171" t="str">
        <f>IF(H17="","",VLOOKUP(F17,Berechnung2!$I$15:$J$25,2,FALSE))</f>
        <v/>
      </c>
      <c r="J17" s="233" t="str">
        <f t="shared" si="2"/>
        <v/>
      </c>
      <c r="L17" s="94" t="str">
        <f t="array" aca="1" ref="L17" ca="1">IF(ROW()-ROW($F$2:$F$65)+1&gt;ROWS($E$2:$E$65)-COUNTBLANK($E$2:$E$65),"",INDIRECT(ADDRESS(SMALL((IF($E$2:$E$65&gt;"",ROW($E$2:$E$65),ROW()+ROWS($E$2:$E$65))),ROW()-ROW($F$2:$F$65)+1),COLUMN($E$2:$E$65),4)))</f>
        <v/>
      </c>
      <c r="M17" s="94" t="str">
        <f t="array" aca="1" ref="M17" ca="1">IF(ROW()-ROW($G$2:$G$65)+1&gt;ROWS($F$2:$F$65)-COUNTBLANK($F$2:$F$65),"",INDIRECT(ADDRESS(SMALL((IF($F$2:$F$65&lt;&gt;"",ROW($F$2:$F$65),ROW()+ROWS($F$2:$F$65))),ROW()-ROW($G$2:$G$65)+1),COLUMN($F$2:$F$65),4)))</f>
        <v/>
      </c>
      <c r="N17" s="94" t="str">
        <f t="array" aca="1" ref="N17" ca="1">IF(ROW()-ROW($H$2:$H$65)+1&gt;ROWS($G$2:$G$65)-COUNTBLANK($G$2:$G$65),"",INDIRECT(ADDRESS(SMALL((IF($G$2:$G$65&lt;&gt;"",ROW($G$2:$G$65),ROW()+ROWS($G$2:$G$65))),ROW()-ROW($H$2:$H$65)+1),COLUMN($G$2:$G$65),4)))</f>
        <v/>
      </c>
      <c r="O17" s="183" t="str">
        <f t="array" aca="1" ref="O17" ca="1">IF(ROW()-ROW($I$2:$I$65)+1&gt;ROWS($H$2:$H$65)-COUNTBLANK($H$2:$H$65),"",INDIRECT(ADDRESS(SMALL((IF($H$2:$H$65&lt;&gt;"",ROW($H$2:$H$65),ROW()+ROWS($H$2:$H$65))),ROW()-ROW($I$2:$I$65)+1),COLUMN($H$2:$H$65),4)))</f>
        <v/>
      </c>
      <c r="P17" s="183" t="str">
        <f t="array" aca="1" ref="P17" ca="1">IF(ROW()-ROW($J$2:$J$65)+1&gt;ROWS($I$2:$I$65)-COUNTBLANK($I$2:$I$65),"",INDIRECT(ADDRESS(SMALL((IF($I$2:$I$65&lt;&gt;"",ROW($I$2:$I$65),ROW()+ROWS($I$2:$I$65))),ROW()-ROW($J$2:$J$65)+1),COLUMN($I$2:$I$65),4)))</f>
        <v/>
      </c>
    </row>
    <row r="18" spans="4:16" x14ac:dyDescent="0.25">
      <c r="D18" s="963"/>
      <c r="E18" s="34" t="str">
        <f>IF(H18="","","2021")</f>
        <v/>
      </c>
      <c r="F18" s="34" t="str">
        <f t="shared" si="7"/>
        <v/>
      </c>
      <c r="G18" s="34" t="str">
        <f t="shared" si="1"/>
        <v/>
      </c>
      <c r="H18" s="172" t="str">
        <f>IF(A4="relevant",IF('Matrix-Kolon'!O25&lt;Berechnung2!$G$42,Berechnung2!$L$42,""),"")</f>
        <v/>
      </c>
      <c r="I18" s="171" t="str">
        <f>IF(H18="","",VLOOKUP(F18,Berechnung2!$I$15:$J$25,2,FALSE))</f>
        <v/>
      </c>
      <c r="J18" s="233" t="str">
        <f t="shared" si="2"/>
        <v/>
      </c>
      <c r="L18" s="94" t="str">
        <f t="array" aca="1" ref="L18" ca="1">IF(ROW()-ROW($F$2:$F$65)+1&gt;ROWS($E$2:$E$65)-COUNTBLANK($E$2:$E$65),"",INDIRECT(ADDRESS(SMALL((IF($E$2:$E$65&gt;"",ROW($E$2:$E$65),ROW()+ROWS($E$2:$E$65))),ROW()-ROW($F$2:$F$65)+1),COLUMN($E$2:$E$65),4)))</f>
        <v/>
      </c>
      <c r="M18" s="94" t="str">
        <f t="array" aca="1" ref="M18" ca="1">IF(ROW()-ROW($G$2:$G$65)+1&gt;ROWS($F$2:$F$65)-COUNTBLANK($F$2:$F$65),"",INDIRECT(ADDRESS(SMALL((IF($F$2:$F$65&lt;&gt;"",ROW($F$2:$F$65),ROW()+ROWS($F$2:$F$65))),ROW()-ROW($G$2:$G$65)+1),COLUMN($F$2:$F$65),4)))</f>
        <v/>
      </c>
      <c r="N18" s="94" t="str">
        <f t="array" aca="1" ref="N18" ca="1">IF(ROW()-ROW($H$2:$H$65)+1&gt;ROWS($G$2:$G$65)-COUNTBLANK($G$2:$G$65),"",INDIRECT(ADDRESS(SMALL((IF($G$2:$G$65&lt;&gt;"",ROW($G$2:$G$65),ROW()+ROWS($G$2:$G$65))),ROW()-ROW($H$2:$H$65)+1),COLUMN($G$2:$G$65),4)))</f>
        <v/>
      </c>
      <c r="O18" s="183" t="str">
        <f t="array" aca="1" ref="O18" ca="1">IF(ROW()-ROW($I$2:$I$65)+1&gt;ROWS($H$2:$H$65)-COUNTBLANK($H$2:$H$65),"",INDIRECT(ADDRESS(SMALL((IF($H$2:$H$65&lt;&gt;"",ROW($H$2:$H$65),ROW()+ROWS($H$2:$H$65))),ROW()-ROW($I$2:$I$65)+1),COLUMN($H$2:$H$65),4)))</f>
        <v/>
      </c>
      <c r="P18" s="183" t="str">
        <f t="array" aca="1" ref="P18" ca="1">IF(ROW()-ROW($J$2:$J$65)+1&gt;ROWS($I$2:$I$65)-COUNTBLANK($I$2:$I$65),"",INDIRECT(ADDRESS(SMALL((IF($I$2:$I$65&lt;&gt;"",ROW($I$2:$I$65),ROW()+ROWS($I$2:$I$65))),ROW()-ROW($J$2:$J$65)+1),COLUMN($I$2:$I$65),4)))</f>
        <v/>
      </c>
    </row>
    <row r="19" spans="4:16" x14ac:dyDescent="0.25">
      <c r="D19" s="963"/>
      <c r="E19" s="34" t="str">
        <f>IF(H19="","","2022")</f>
        <v/>
      </c>
      <c r="F19" s="34" t="str">
        <f t="shared" si="7"/>
        <v/>
      </c>
      <c r="G19" s="34" t="str">
        <f t="shared" si="1"/>
        <v/>
      </c>
      <c r="H19" s="172" t="str">
        <f>IF(A5="relevant",IF('Matrix-Kolon'!O26&lt;Berechnung2!$G$42,Berechnung2!$L$42,""),"")</f>
        <v/>
      </c>
      <c r="I19" s="171" t="str">
        <f>IF(H19="","",VLOOKUP(F19,Berechnung2!$I$15:$J$25,2,FALSE))</f>
        <v/>
      </c>
      <c r="J19" s="233" t="str">
        <f t="shared" si="2"/>
        <v/>
      </c>
      <c r="L19" s="94" t="str">
        <f t="array" aca="1" ref="L19" ca="1">IF(ROW()-ROW($F$2:$F$65)+1&gt;ROWS($E$2:$E$65)-COUNTBLANK($E$2:$E$65),"",INDIRECT(ADDRESS(SMALL((IF($E$2:$E$65&gt;"",ROW($E$2:$E$65),ROW()+ROWS($E$2:$E$65))),ROW()-ROW($F$2:$F$65)+1),COLUMN($E$2:$E$65),4)))</f>
        <v/>
      </c>
      <c r="M19" s="94" t="str">
        <f t="array" aca="1" ref="M19" ca="1">IF(ROW()-ROW($G$2:$G$65)+1&gt;ROWS($F$2:$F$65)-COUNTBLANK($F$2:$F$65),"",INDIRECT(ADDRESS(SMALL((IF($F$2:$F$65&lt;&gt;"",ROW($F$2:$F$65),ROW()+ROWS($F$2:$F$65))),ROW()-ROW($G$2:$G$65)+1),COLUMN($F$2:$F$65),4)))</f>
        <v/>
      </c>
      <c r="N19" s="94" t="str">
        <f t="array" aca="1" ref="N19" ca="1">IF(ROW()-ROW($H$2:$H$65)+1&gt;ROWS($G$2:$G$65)-COUNTBLANK($G$2:$G$65),"",INDIRECT(ADDRESS(SMALL((IF($G$2:$G$65&lt;&gt;"",ROW($G$2:$G$65),ROW()+ROWS($G$2:$G$65))),ROW()-ROW($H$2:$H$65)+1),COLUMN($G$2:$G$65),4)))</f>
        <v/>
      </c>
      <c r="O19" s="183" t="str">
        <f t="array" aca="1" ref="O19" ca="1">IF(ROW()-ROW($I$2:$I$65)+1&gt;ROWS($H$2:$H$65)-COUNTBLANK($H$2:$H$65),"",INDIRECT(ADDRESS(SMALL((IF($H$2:$H$65&lt;&gt;"",ROW($H$2:$H$65),ROW()+ROWS($H$2:$H$65))),ROW()-ROW($I$2:$I$65)+1),COLUMN($H$2:$H$65),4)))</f>
        <v/>
      </c>
      <c r="P19" s="183" t="str">
        <f t="array" aca="1" ref="P19" ca="1">IF(ROW()-ROW($J$2:$J$65)+1&gt;ROWS($I$2:$I$65)-COUNTBLANK($I$2:$I$65),"",INDIRECT(ADDRESS(SMALL((IF($I$2:$I$65&lt;&gt;"",ROW($I$2:$I$65),ROW()+ROWS($I$2:$I$65))),ROW()-ROW($J$2:$J$65)+1),COLUMN($I$2:$I$65),4)))</f>
        <v/>
      </c>
    </row>
    <row r="20" spans="4:16" x14ac:dyDescent="0.25">
      <c r="D20" s="963"/>
      <c r="E20" s="34" t="str">
        <f>IF(H20="","","2023")</f>
        <v/>
      </c>
      <c r="F20" s="34" t="str">
        <f t="shared" si="7"/>
        <v/>
      </c>
      <c r="G20" s="34" t="str">
        <f t="shared" si="1"/>
        <v/>
      </c>
      <c r="H20" s="172" t="str">
        <f>IF(A6="relevant",IF('Matrix-Kolon'!O27&lt;Berechnung2!$G$42,Berechnung2!$L$42,""),"")</f>
        <v/>
      </c>
      <c r="I20" s="171" t="str">
        <f>IF(H20="","",VLOOKUP(F20,Berechnung2!$I$15:$J$25,2,FALSE))</f>
        <v/>
      </c>
      <c r="J20" s="233" t="str">
        <f t="shared" si="2"/>
        <v/>
      </c>
      <c r="L20" s="94" t="str">
        <f t="array" aca="1" ref="L20" ca="1">IF(ROW()-ROW($F$2:$F$65)+1&gt;ROWS($E$2:$E$65)-COUNTBLANK($E$2:$E$65),"",INDIRECT(ADDRESS(SMALL((IF($E$2:$E$65&gt;"",ROW($E$2:$E$65),ROW()+ROWS($E$2:$E$65))),ROW()-ROW($F$2:$F$65)+1),COLUMN($E$2:$E$65),4)))</f>
        <v/>
      </c>
      <c r="M20" s="94" t="str">
        <f t="array" aca="1" ref="M20" ca="1">IF(ROW()-ROW($G$2:$G$65)+1&gt;ROWS($F$2:$F$65)-COUNTBLANK($F$2:$F$65),"",INDIRECT(ADDRESS(SMALL((IF($F$2:$F$65&lt;&gt;"",ROW($F$2:$F$65),ROW()+ROWS($F$2:$F$65))),ROW()-ROW($G$2:$G$65)+1),COLUMN($F$2:$F$65),4)))</f>
        <v/>
      </c>
      <c r="N20" s="94" t="str">
        <f t="array" aca="1" ref="N20" ca="1">IF(ROW()-ROW($H$2:$H$65)+1&gt;ROWS($G$2:$G$65)-COUNTBLANK($G$2:$G$65),"",INDIRECT(ADDRESS(SMALL((IF($G$2:$G$65&lt;&gt;"",ROW($G$2:$G$65),ROW()+ROWS($G$2:$G$65))),ROW()-ROW($H$2:$H$65)+1),COLUMN($G$2:$G$65),4)))</f>
        <v/>
      </c>
      <c r="O20" s="183" t="str">
        <f t="array" aca="1" ref="O20" ca="1">IF(ROW()-ROW($I$2:$I$65)+1&gt;ROWS($H$2:$H$65)-COUNTBLANK($H$2:$H$65),"",INDIRECT(ADDRESS(SMALL((IF($H$2:$H$65&lt;&gt;"",ROW($H$2:$H$65),ROW()+ROWS($H$2:$H$65))),ROW()-ROW($I$2:$I$65)+1),COLUMN($H$2:$H$65),4)))</f>
        <v/>
      </c>
      <c r="P20" s="183" t="str">
        <f t="array" aca="1" ref="P20" ca="1">IF(ROW()-ROW($J$2:$J$65)+1&gt;ROWS($I$2:$I$65)-COUNTBLANK($I$2:$I$65),"",INDIRECT(ADDRESS(SMALL((IF($I$2:$I$65&lt;&gt;"",ROW($I$2:$I$65),ROW()+ROWS($I$2:$I$65))),ROW()-ROW($J$2:$J$65)+1),COLUMN($I$2:$I$65),4)))</f>
        <v/>
      </c>
    </row>
    <row r="21" spans="4:16" x14ac:dyDescent="0.25">
      <c r="D21" s="173" t="s">
        <v>227</v>
      </c>
      <c r="E21" s="240"/>
      <c r="F21" s="240"/>
      <c r="G21" s="240"/>
      <c r="H21" s="238"/>
      <c r="I21" s="241"/>
      <c r="J21" s="242"/>
      <c r="L21" s="94" t="str">
        <f t="array" aca="1" ref="L21" ca="1">IF(ROW()-ROW($F$2:$F$65)+1&gt;ROWS($E$2:$E$65)-COUNTBLANK($E$2:$E$65),"",INDIRECT(ADDRESS(SMALL((IF($E$2:$E$65&gt;"",ROW($E$2:$E$65),ROW()+ROWS($E$2:$E$65))),ROW()-ROW($F$2:$F$65)+1),COLUMN($E$2:$E$65),4)))</f>
        <v/>
      </c>
      <c r="M21" s="94" t="str">
        <f t="array" aca="1" ref="M21" ca="1">IF(ROW()-ROW($G$2:$G$65)+1&gt;ROWS($F$2:$F$65)-COUNTBLANK($F$2:$F$65),"",INDIRECT(ADDRESS(SMALL((IF($F$2:$F$65&lt;&gt;"",ROW($F$2:$F$65),ROW()+ROWS($F$2:$F$65))),ROW()-ROW($G$2:$G$65)+1),COLUMN($F$2:$F$65),4)))</f>
        <v/>
      </c>
      <c r="N21" s="94" t="str">
        <f t="array" aca="1" ref="N21" ca="1">IF(ROW()-ROW($H$2:$H$65)+1&gt;ROWS($G$2:$G$65)-COUNTBLANK($G$2:$G$65),"",INDIRECT(ADDRESS(SMALL((IF($G$2:$G$65&lt;&gt;"",ROW($G$2:$G$65),ROW()+ROWS($G$2:$G$65))),ROW()-ROW($H$2:$H$65)+1),COLUMN($G$2:$G$65),4)))</f>
        <v/>
      </c>
      <c r="O21" s="183" t="str">
        <f t="array" aca="1" ref="O21" ca="1">IF(ROW()-ROW($I$2:$I$65)+1&gt;ROWS($H$2:$H$65)-COUNTBLANK($H$2:$H$65),"",INDIRECT(ADDRESS(SMALL((IF($H$2:$H$65&lt;&gt;"",ROW($H$2:$H$65),ROW()+ROWS($H$2:$H$65))),ROW()-ROW($I$2:$I$65)+1),COLUMN($H$2:$H$65),4)))</f>
        <v/>
      </c>
      <c r="P21" s="183" t="str">
        <f t="array" aca="1" ref="P21" ca="1">IF(ROW()-ROW($J$2:$J$65)+1&gt;ROWS($I$2:$I$65)-COUNTBLANK($I$2:$I$65),"",INDIRECT(ADDRESS(SMALL((IF($I$2:$I$65&lt;&gt;"",ROW($I$2:$I$65),ROW()+ROWS($I$2:$I$65))),ROW()-ROW($J$2:$J$65)+1),COLUMN($I$2:$I$65),4)))</f>
        <v/>
      </c>
    </row>
    <row r="22" spans="4:16" ht="12" thickBot="1" x14ac:dyDescent="0.3">
      <c r="D22" s="173"/>
      <c r="E22" s="240"/>
      <c r="F22" s="240"/>
      <c r="G22" s="240"/>
      <c r="H22" s="238"/>
      <c r="I22" s="241"/>
      <c r="J22" s="242"/>
      <c r="L22" s="94" t="str">
        <f t="array" aca="1" ref="L22" ca="1">IF(ROW()-ROW($F$2:$F$65)+1&gt;ROWS($E$2:$E$65)-COUNTBLANK($E$2:$E$65),"",INDIRECT(ADDRESS(SMALL((IF($E$2:$E$65&gt;"",ROW($E$2:$E$65),ROW()+ROWS($E$2:$E$65))),ROW()-ROW($F$2:$F$65)+1),COLUMN($E$2:$E$65),4)))</f>
        <v/>
      </c>
      <c r="M22" s="94" t="str">
        <f t="array" aca="1" ref="M22" ca="1">IF(ROW()-ROW($G$2:$G$65)+1&gt;ROWS($F$2:$F$65)-COUNTBLANK($F$2:$F$65),"",INDIRECT(ADDRESS(SMALL((IF($F$2:$F$65&lt;&gt;"",ROW($F$2:$F$65),ROW()+ROWS($F$2:$F$65))),ROW()-ROW($G$2:$G$65)+1),COLUMN($F$2:$F$65),4)))</f>
        <v/>
      </c>
      <c r="N22" s="94" t="str">
        <f t="array" aca="1" ref="N22" ca="1">IF(ROW()-ROW($H$2:$H$65)+1&gt;ROWS($G$2:$G$65)-COUNTBLANK($G$2:$G$65),"",INDIRECT(ADDRESS(SMALL((IF($G$2:$G$65&lt;&gt;"",ROW($G$2:$G$65),ROW()+ROWS($G$2:$G$65))),ROW()-ROW($H$2:$H$65)+1),COLUMN($G$2:$G$65),4)))</f>
        <v/>
      </c>
      <c r="O22" s="183" t="str">
        <f t="array" aca="1" ref="O22" ca="1">IF(ROW()-ROW($I$2:$I$65)+1&gt;ROWS($H$2:$H$65)-COUNTBLANK($H$2:$H$65),"",INDIRECT(ADDRESS(SMALL((IF($H$2:$H$65&lt;&gt;"",ROW($H$2:$H$65),ROW()+ROWS($H$2:$H$65))),ROW()-ROW($I$2:$I$65)+1),COLUMN($H$2:$H$65),4)))</f>
        <v/>
      </c>
      <c r="P22" s="183" t="str">
        <f t="array" aca="1" ref="P22" ca="1">IF(ROW()-ROW($J$2:$J$65)+1&gt;ROWS($I$2:$I$65)-COUNTBLANK($I$2:$I$65),"",INDIRECT(ADDRESS(SMALL((IF($I$2:$I$65&lt;&gt;"",ROW($I$2:$I$65),ROW()+ROWS($I$2:$I$65))),ROW()-ROW($J$2:$J$65)+1),COLUMN($I$2:$I$65),4)))</f>
        <v/>
      </c>
    </row>
    <row r="23" spans="4:16" x14ac:dyDescent="0.25">
      <c r="D23" s="145" t="s">
        <v>353</v>
      </c>
      <c r="E23" s="155" t="str">
        <f>IF(H23="","","2019")</f>
        <v/>
      </c>
      <c r="F23" s="155" t="str">
        <f t="shared" ref="F23:F27" si="8">IF(H23="","","d")</f>
        <v/>
      </c>
      <c r="G23" s="155" t="str">
        <f t="shared" si="1"/>
        <v/>
      </c>
      <c r="H23" s="184" t="str">
        <f>IF(A2="relevant",IF(AND('Matrix-Kolon'!Q23="",'Matrix-Kolon'!R23="",'Matrix-Kolon'!S23="",'Matrix-Kolon'!T23=""),"",IF('Matrix-Kolon'!Q23&lt;MAX('Matrix-Kolon'!R23:T23),Berechnung2!$L$40,"")),"")</f>
        <v/>
      </c>
      <c r="I23" s="235" t="str">
        <f>IF(H23="","",VLOOKUP(F23,Berechnung2!$I$15:$J$25,2,FALSE))</f>
        <v/>
      </c>
      <c r="J23" s="234" t="str">
        <f t="shared" si="2"/>
        <v/>
      </c>
      <c r="L23" s="94" t="str">
        <f t="array" aca="1" ref="L23" ca="1">IF(ROW()-ROW($F$2:$F$65)+1&gt;ROWS($E$2:$E$65)-COUNTBLANK($E$2:$E$65),"",INDIRECT(ADDRESS(SMALL((IF($E$2:$E$65&gt;"",ROW($E$2:$E$65),ROW()+ROWS($E$2:$E$65))),ROW()-ROW($F$2:$F$65)+1),COLUMN($E$2:$E$65),4)))</f>
        <v/>
      </c>
      <c r="M23" s="94" t="str">
        <f t="array" aca="1" ref="M23" ca="1">IF(ROW()-ROW($G$2:$G$65)+1&gt;ROWS($F$2:$F$65)-COUNTBLANK($F$2:$F$65),"",INDIRECT(ADDRESS(SMALL((IF($F$2:$F$65&lt;&gt;"",ROW($F$2:$F$65),ROW()+ROWS($F$2:$F$65))),ROW()-ROW($G$2:$G$65)+1),COLUMN($F$2:$F$65),4)))</f>
        <v/>
      </c>
      <c r="N23" s="94" t="str">
        <f t="array" aca="1" ref="N23" ca="1">IF(ROW()-ROW($H$2:$H$65)+1&gt;ROWS($G$2:$G$65)-COUNTBLANK($G$2:$G$65),"",INDIRECT(ADDRESS(SMALL((IF($G$2:$G$65&lt;&gt;"",ROW($G$2:$G$65),ROW()+ROWS($G$2:$G$65))),ROW()-ROW($H$2:$H$65)+1),COLUMN($G$2:$G$65),4)))</f>
        <v/>
      </c>
      <c r="O23" s="183" t="str">
        <f t="array" aca="1" ref="O23" ca="1">IF(ROW()-ROW($I$2:$I$65)+1&gt;ROWS($H$2:$H$65)-COUNTBLANK($H$2:$H$65),"",INDIRECT(ADDRESS(SMALL((IF($H$2:$H$65&lt;&gt;"",ROW($H$2:$H$65),ROW()+ROWS($H$2:$H$65))),ROW()-ROW($I$2:$I$65)+1),COLUMN($H$2:$H$65),4)))</f>
        <v/>
      </c>
      <c r="P23" s="183" t="str">
        <f t="array" aca="1" ref="P23" ca="1">IF(ROW()-ROW($J$2:$J$65)+1&gt;ROWS($I$2:$I$65)-COUNTBLANK($I$2:$I$65),"",INDIRECT(ADDRESS(SMALL((IF($I$2:$I$65&lt;&gt;"",ROW($I$2:$I$65),ROW()+ROWS($I$2:$I$65))),ROW()-ROW($J$2:$J$65)+1),COLUMN($I$2:$I$65),4)))</f>
        <v/>
      </c>
    </row>
    <row r="24" spans="4:16" x14ac:dyDescent="0.25">
      <c r="D24" s="963" t="s">
        <v>433</v>
      </c>
      <c r="E24" s="34" t="str">
        <f>IF(H24="","","2020")</f>
        <v/>
      </c>
      <c r="F24" s="34" t="str">
        <f t="shared" si="8"/>
        <v/>
      </c>
      <c r="G24" s="34" t="str">
        <f t="shared" si="1"/>
        <v/>
      </c>
      <c r="H24" s="172" t="str">
        <f>IF(A3="relevant",IF(AND('Matrix-Kolon'!Q24="",'Matrix-Kolon'!R24="",'Matrix-Kolon'!S24="",'Matrix-Kolon'!T24=""),"",IF('Matrix-Kolon'!Q24&lt;MAX('Matrix-Kolon'!R24:T24),Berechnung2!$L$40,"")),"")</f>
        <v/>
      </c>
      <c r="I24" s="171" t="str">
        <f>IF(H24="","",VLOOKUP(F24,Berechnung2!$I$15:$J$25,2,FALSE))</f>
        <v/>
      </c>
      <c r="J24" s="233" t="str">
        <f t="shared" si="2"/>
        <v/>
      </c>
      <c r="L24" s="94" t="str">
        <f t="array" aca="1" ref="L24" ca="1">IF(ROW()-ROW($F$2:$F$65)+1&gt;ROWS($E$2:$E$65)-COUNTBLANK($E$2:$E$65),"",INDIRECT(ADDRESS(SMALL((IF($E$2:$E$65&gt;"",ROW($E$2:$E$65),ROW()+ROWS($E$2:$E$65))),ROW()-ROW($F$2:$F$65)+1),COLUMN($E$2:$E$65),4)))</f>
        <v/>
      </c>
      <c r="M24" s="94" t="str">
        <f t="array" aca="1" ref="M24" ca="1">IF(ROW()-ROW($G$2:$G$65)+1&gt;ROWS($F$2:$F$65)-COUNTBLANK($F$2:$F$65),"",INDIRECT(ADDRESS(SMALL((IF($F$2:$F$65&lt;&gt;"",ROW($F$2:$F$65),ROW()+ROWS($F$2:$F$65))),ROW()-ROW($G$2:$G$65)+1),COLUMN($F$2:$F$65),4)))</f>
        <v/>
      </c>
      <c r="N24" s="94" t="str">
        <f t="array" aca="1" ref="N24" ca="1">IF(ROW()-ROW($H$2:$H$65)+1&gt;ROWS($G$2:$G$65)-COUNTBLANK($G$2:$G$65),"",INDIRECT(ADDRESS(SMALL((IF($G$2:$G$65&lt;&gt;"",ROW($G$2:$G$65),ROW()+ROWS($G$2:$G$65))),ROW()-ROW($H$2:$H$65)+1),COLUMN($G$2:$G$65),4)))</f>
        <v/>
      </c>
      <c r="O24" s="183" t="str">
        <f t="array" aca="1" ref="O24" ca="1">IF(ROW()-ROW($I$2:$I$65)+1&gt;ROWS($H$2:$H$65)-COUNTBLANK($H$2:$H$65),"",INDIRECT(ADDRESS(SMALL((IF($H$2:$H$65&lt;&gt;"",ROW($H$2:$H$65),ROW()+ROWS($H$2:$H$65))),ROW()-ROW($I$2:$I$65)+1),COLUMN($H$2:$H$65),4)))</f>
        <v/>
      </c>
      <c r="P24" s="183" t="str">
        <f t="array" aca="1" ref="P24" ca="1">IF(ROW()-ROW($J$2:$J$65)+1&gt;ROWS($I$2:$I$65)-COUNTBLANK($I$2:$I$65),"",INDIRECT(ADDRESS(SMALL((IF($I$2:$I$65&lt;&gt;"",ROW($I$2:$I$65),ROW()+ROWS($I$2:$I$65))),ROW()-ROW($J$2:$J$65)+1),COLUMN($I$2:$I$65),4)))</f>
        <v/>
      </c>
    </row>
    <row r="25" spans="4:16" x14ac:dyDescent="0.25">
      <c r="D25" s="963"/>
      <c r="E25" s="34" t="str">
        <f>IF(H25="","","2021")</f>
        <v/>
      </c>
      <c r="F25" s="34" t="str">
        <f t="shared" si="8"/>
        <v/>
      </c>
      <c r="G25" s="34" t="str">
        <f t="shared" si="1"/>
        <v/>
      </c>
      <c r="H25" s="172" t="str">
        <f>IF(A4="relevant",IF(AND('Matrix-Kolon'!Q25="",'Matrix-Kolon'!R25="",'Matrix-Kolon'!S25="",'Matrix-Kolon'!T25=""),"",IF('Matrix-Kolon'!Q25&lt;MAX('Matrix-Kolon'!R25:T25),Berechnung2!$L$40,"")),"")</f>
        <v/>
      </c>
      <c r="I25" s="171" t="str">
        <f>IF(H25="","",VLOOKUP(F25,Berechnung2!$I$15:$J$25,2,FALSE))</f>
        <v/>
      </c>
      <c r="J25" s="233" t="str">
        <f t="shared" si="2"/>
        <v/>
      </c>
      <c r="L25" s="94" t="str">
        <f t="array" aca="1" ref="L25" ca="1">IF(ROW()-ROW($F$2:$F$65)+1&gt;ROWS($E$2:$E$65)-COUNTBLANK($E$2:$E$65),"",INDIRECT(ADDRESS(SMALL((IF($E$2:$E$65&gt;"",ROW($E$2:$E$65),ROW()+ROWS($E$2:$E$65))),ROW()-ROW($F$2:$F$65)+1),COLUMN($E$2:$E$65),4)))</f>
        <v/>
      </c>
      <c r="M25" s="94" t="str">
        <f t="array" aca="1" ref="M25" ca="1">IF(ROW()-ROW($G$2:$G$65)+1&gt;ROWS($F$2:$F$65)-COUNTBLANK($F$2:$F$65),"",INDIRECT(ADDRESS(SMALL((IF($F$2:$F$65&lt;&gt;"",ROW($F$2:$F$65),ROW()+ROWS($F$2:$F$65))),ROW()-ROW($G$2:$G$65)+1),COLUMN($F$2:$F$65),4)))</f>
        <v/>
      </c>
      <c r="N25" s="94" t="str">
        <f t="array" aca="1" ref="N25" ca="1">IF(ROW()-ROW($H$2:$H$65)+1&gt;ROWS($G$2:$G$65)-COUNTBLANK($G$2:$G$65),"",INDIRECT(ADDRESS(SMALL((IF($G$2:$G$65&lt;&gt;"",ROW($G$2:$G$65),ROW()+ROWS($G$2:$G$65))),ROW()-ROW($H$2:$H$65)+1),COLUMN($G$2:$G$65),4)))</f>
        <v/>
      </c>
      <c r="O25" s="183" t="str">
        <f t="array" aca="1" ref="O25" ca="1">IF(ROW()-ROW($I$2:$I$65)+1&gt;ROWS($H$2:$H$65)-COUNTBLANK($H$2:$H$65),"",INDIRECT(ADDRESS(SMALL((IF($H$2:$H$65&lt;&gt;"",ROW($H$2:$H$65),ROW()+ROWS($H$2:$H$65))),ROW()-ROW($I$2:$I$65)+1),COLUMN($H$2:$H$65),4)))</f>
        <v/>
      </c>
      <c r="P25" s="183" t="str">
        <f t="array" aca="1" ref="P25" ca="1">IF(ROW()-ROW($J$2:$J$65)+1&gt;ROWS($I$2:$I$65)-COUNTBLANK($I$2:$I$65),"",INDIRECT(ADDRESS(SMALL((IF($I$2:$I$65&lt;&gt;"",ROW($I$2:$I$65),ROW()+ROWS($I$2:$I$65))),ROW()-ROW($J$2:$J$65)+1),COLUMN($I$2:$I$65),4)))</f>
        <v/>
      </c>
    </row>
    <row r="26" spans="4:16" x14ac:dyDescent="0.25">
      <c r="D26" s="963"/>
      <c r="E26" s="34" t="str">
        <f>IF(H26="","","2022")</f>
        <v/>
      </c>
      <c r="F26" s="34" t="str">
        <f t="shared" si="8"/>
        <v/>
      </c>
      <c r="G26" s="34" t="str">
        <f t="shared" si="1"/>
        <v/>
      </c>
      <c r="H26" s="172" t="str">
        <f>IF(A5="relevant",IF(AND('Matrix-Kolon'!Q26="",'Matrix-Kolon'!R26="",'Matrix-Kolon'!S26="",'Matrix-Kolon'!T26=""),"",IF('Matrix-Kolon'!Q26&lt;MAX('Matrix-Kolon'!R26:T26),Berechnung2!$L$40,"")),"")</f>
        <v/>
      </c>
      <c r="I26" s="171" t="str">
        <f>IF(H26="","",VLOOKUP(F26,Berechnung2!$I$15:$J$25,2,FALSE))</f>
        <v/>
      </c>
      <c r="J26" s="233" t="str">
        <f t="shared" si="2"/>
        <v/>
      </c>
      <c r="L26" s="94" t="str">
        <f t="array" aca="1" ref="L26" ca="1">IF(ROW()-ROW($F$2:$F$65)+1&gt;ROWS($E$2:$E$65)-COUNTBLANK($E$2:$E$65),"",INDIRECT(ADDRESS(SMALL((IF($E$2:$E$65&gt;"",ROW($E$2:$E$65),ROW()+ROWS($E$2:$E$65))),ROW()-ROW($F$2:$F$65)+1),COLUMN($E$2:$E$65),4)))</f>
        <v/>
      </c>
      <c r="M26" s="94" t="str">
        <f t="array" aca="1" ref="M26" ca="1">IF(ROW()-ROW($G$2:$G$65)+1&gt;ROWS($F$2:$F$65)-COUNTBLANK($F$2:$F$65),"",INDIRECT(ADDRESS(SMALL((IF($F$2:$F$65&lt;&gt;"",ROW($F$2:$F$65),ROW()+ROWS($F$2:$F$65))),ROW()-ROW($G$2:$G$65)+1),COLUMN($F$2:$F$65),4)))</f>
        <v/>
      </c>
      <c r="N26" s="94" t="str">
        <f t="array" aca="1" ref="N26" ca="1">IF(ROW()-ROW($H$2:$H$65)+1&gt;ROWS($G$2:$G$65)-COUNTBLANK($G$2:$G$65),"",INDIRECT(ADDRESS(SMALL((IF($G$2:$G$65&lt;&gt;"",ROW($G$2:$G$65),ROW()+ROWS($G$2:$G$65))),ROW()-ROW($H$2:$H$65)+1),COLUMN($G$2:$G$65),4)))</f>
        <v/>
      </c>
      <c r="O26" s="183" t="str">
        <f t="array" aca="1" ref="O26" ca="1">IF(ROW()-ROW($I$2:$I$65)+1&gt;ROWS($H$2:$H$65)-COUNTBLANK($H$2:$H$65),"",INDIRECT(ADDRESS(SMALL((IF($H$2:$H$65&lt;&gt;"",ROW($H$2:$H$65),ROW()+ROWS($H$2:$H$65))),ROW()-ROW($I$2:$I$65)+1),COLUMN($H$2:$H$65),4)))</f>
        <v/>
      </c>
      <c r="P26" s="183" t="str">
        <f t="array" aca="1" ref="P26" ca="1">IF(ROW()-ROW($J$2:$J$65)+1&gt;ROWS($I$2:$I$65)-COUNTBLANK($I$2:$I$65),"",INDIRECT(ADDRESS(SMALL((IF($I$2:$I$65&lt;&gt;"",ROW($I$2:$I$65),ROW()+ROWS($I$2:$I$65))),ROW()-ROW($J$2:$J$65)+1),COLUMN($I$2:$I$65),4)))</f>
        <v/>
      </c>
    </row>
    <row r="27" spans="4:16" x14ac:dyDescent="0.25">
      <c r="D27" s="963"/>
      <c r="E27" s="34" t="str">
        <f>IF(H27="","","2023")</f>
        <v/>
      </c>
      <c r="F27" s="34" t="str">
        <f t="shared" si="8"/>
        <v/>
      </c>
      <c r="G27" s="34" t="str">
        <f t="shared" si="1"/>
        <v/>
      </c>
      <c r="H27" s="172" t="str">
        <f>IF(A6="relevant",IF(AND('Matrix-Kolon'!Q27="",'Matrix-Kolon'!R27="",'Matrix-Kolon'!S27="",'Matrix-Kolon'!T27=""),"",IF('Matrix-Kolon'!Q27&lt;MAX('Matrix-Kolon'!R27:T27),Berechnung2!$L$40,"")),"")</f>
        <v/>
      </c>
      <c r="I27" s="171" t="str">
        <f>IF(H27="","",VLOOKUP(F27,Berechnung2!$I$15:$J$25,2,FALSE))</f>
        <v/>
      </c>
      <c r="J27" s="233" t="str">
        <f t="shared" si="2"/>
        <v/>
      </c>
      <c r="L27" s="94" t="str">
        <f t="array" aca="1" ref="L27" ca="1">IF(ROW()-ROW($F$2:$F$65)+1&gt;ROWS($E$2:$E$65)-COUNTBLANK($E$2:$E$65),"",INDIRECT(ADDRESS(SMALL((IF($E$2:$E$65&gt;"",ROW($E$2:$E$65),ROW()+ROWS($E$2:$E$65))),ROW()-ROW($F$2:$F$65)+1),COLUMN($E$2:$E$65),4)))</f>
        <v/>
      </c>
      <c r="M27" s="94" t="str">
        <f t="array" aca="1" ref="M27" ca="1">IF(ROW()-ROW($G$2:$G$65)+1&gt;ROWS($F$2:$F$65)-COUNTBLANK($F$2:$F$65),"",INDIRECT(ADDRESS(SMALL((IF($F$2:$F$65&lt;&gt;"",ROW($F$2:$F$65),ROW()+ROWS($F$2:$F$65))),ROW()-ROW($G$2:$G$65)+1),COLUMN($F$2:$F$65),4)))</f>
        <v/>
      </c>
      <c r="N27" s="94" t="str">
        <f t="array" aca="1" ref="N27" ca="1">IF(ROW()-ROW($H$2:$H$65)+1&gt;ROWS($G$2:$G$65)-COUNTBLANK($G$2:$G$65),"",INDIRECT(ADDRESS(SMALL((IF($G$2:$G$65&lt;&gt;"",ROW($G$2:$G$65),ROW()+ROWS($G$2:$G$65))),ROW()-ROW($H$2:$H$65)+1),COLUMN($G$2:$G$65),4)))</f>
        <v/>
      </c>
      <c r="O27" s="183" t="str">
        <f t="array" aca="1" ref="O27" ca="1">IF(ROW()-ROW($I$2:$I$65)+1&gt;ROWS($H$2:$H$65)-COUNTBLANK($H$2:$H$65),"",INDIRECT(ADDRESS(SMALL((IF($H$2:$H$65&lt;&gt;"",ROW($H$2:$H$65),ROW()+ROWS($H$2:$H$65))),ROW()-ROW($I$2:$I$65)+1),COLUMN($H$2:$H$65),4)))</f>
        <v/>
      </c>
      <c r="P27" s="183" t="str">
        <f t="array" aca="1" ref="P27" ca="1">IF(ROW()-ROW($J$2:$J$65)+1&gt;ROWS($I$2:$I$65)-COUNTBLANK($I$2:$I$65),"",INDIRECT(ADDRESS(SMALL((IF($I$2:$I$65&lt;&gt;"",ROW($I$2:$I$65),ROW()+ROWS($I$2:$I$65))),ROW()-ROW($J$2:$J$65)+1),COLUMN($I$2:$I$65),4)))</f>
        <v/>
      </c>
    </row>
    <row r="28" spans="4:16" x14ac:dyDescent="0.25">
      <c r="D28" s="173" t="s">
        <v>229</v>
      </c>
      <c r="E28" s="240"/>
      <c r="F28" s="240"/>
      <c r="G28" s="240"/>
      <c r="H28" s="460"/>
      <c r="I28" s="241"/>
      <c r="J28" s="242"/>
      <c r="L28" s="94" t="str">
        <f t="array" aca="1" ref="L28" ca="1">IF(ROW()-ROW($F$2:$F$65)+1&gt;ROWS($E$2:$E$65)-COUNTBLANK($E$2:$E$65),"",INDIRECT(ADDRESS(SMALL((IF($E$2:$E$65&gt;"",ROW($E$2:$E$65),ROW()+ROWS($E$2:$E$65))),ROW()-ROW($F$2:$F$65)+1),COLUMN($E$2:$E$65),4)))</f>
        <v/>
      </c>
      <c r="M28" s="94" t="str">
        <f t="array" aca="1" ref="M28" ca="1">IF(ROW()-ROW($G$2:$G$65)+1&gt;ROWS($F$2:$F$65)-COUNTBLANK($F$2:$F$65),"",INDIRECT(ADDRESS(SMALL((IF($F$2:$F$65&lt;&gt;"",ROW($F$2:$F$65),ROW()+ROWS($F$2:$F$65))),ROW()-ROW($G$2:$G$65)+1),COLUMN($F$2:$F$65),4)))</f>
        <v/>
      </c>
      <c r="N28" s="94" t="str">
        <f t="array" aca="1" ref="N28" ca="1">IF(ROW()-ROW($H$2:$H$65)+1&gt;ROWS($G$2:$G$65)-COUNTBLANK($G$2:$G$65),"",INDIRECT(ADDRESS(SMALL((IF($G$2:$G$65&lt;&gt;"",ROW($G$2:$G$65),ROW()+ROWS($G$2:$G$65))),ROW()-ROW($H$2:$H$65)+1),COLUMN($G$2:$G$65),4)))</f>
        <v/>
      </c>
      <c r="O28" s="183" t="str">
        <f t="array" aca="1" ref="O28" ca="1">IF(ROW()-ROW($I$2:$I$65)+1&gt;ROWS($H$2:$H$65)-COUNTBLANK($H$2:$H$65),"",INDIRECT(ADDRESS(SMALL((IF($H$2:$H$65&lt;&gt;"",ROW($H$2:$H$65),ROW()+ROWS($H$2:$H$65))),ROW()-ROW($I$2:$I$65)+1),COLUMN($H$2:$H$65),4)))</f>
        <v/>
      </c>
      <c r="P28" s="183" t="str">
        <f t="array" aca="1" ref="P28" ca="1">IF(ROW()-ROW($J$2:$J$65)+1&gt;ROWS($I$2:$I$65)-COUNTBLANK($I$2:$I$65),"",INDIRECT(ADDRESS(SMALL((IF($I$2:$I$65&lt;&gt;"",ROW($I$2:$I$65),ROW()+ROWS($I$2:$I$65))),ROW()-ROW($J$2:$J$65)+1),COLUMN($I$2:$I$65),4)))</f>
        <v/>
      </c>
    </row>
    <row r="29" spans="4:16" ht="12" thickBot="1" x14ac:dyDescent="0.3">
      <c r="D29" s="461"/>
      <c r="E29" s="462"/>
      <c r="F29" s="462"/>
      <c r="G29" s="462"/>
      <c r="H29" s="463"/>
      <c r="I29" s="464"/>
      <c r="J29" s="465"/>
      <c r="L29" s="94" t="str">
        <f t="array" aca="1" ref="L29" ca="1">IF(ROW()-ROW($F$2:$F$65)+1&gt;ROWS($E$2:$E$65)-COUNTBLANK($E$2:$E$65),"",INDIRECT(ADDRESS(SMALL((IF($E$2:$E$65&gt;"",ROW($E$2:$E$65),ROW()+ROWS($E$2:$E$65))),ROW()-ROW($F$2:$F$65)+1),COLUMN($E$2:$E$65),4)))</f>
        <v/>
      </c>
      <c r="M29" s="94" t="str">
        <f t="array" aca="1" ref="M29" ca="1">IF(ROW()-ROW($G$2:$G$65)+1&gt;ROWS($F$2:$F$65)-COUNTBLANK($F$2:$F$65),"",INDIRECT(ADDRESS(SMALL((IF($F$2:$F$65&lt;&gt;"",ROW($F$2:$F$65),ROW()+ROWS($F$2:$F$65))),ROW()-ROW($G$2:$G$65)+1),COLUMN($F$2:$F$65),4)))</f>
        <v/>
      </c>
      <c r="N29" s="94" t="str">
        <f t="array" aca="1" ref="N29" ca="1">IF(ROW()-ROW($H$2:$H$65)+1&gt;ROWS($G$2:$G$65)-COUNTBLANK($G$2:$G$65),"",INDIRECT(ADDRESS(SMALL((IF($G$2:$G$65&lt;&gt;"",ROW($G$2:$G$65),ROW()+ROWS($G$2:$G$65))),ROW()-ROW($H$2:$H$65)+1),COLUMN($G$2:$G$65),4)))</f>
        <v/>
      </c>
      <c r="O29" s="183" t="str">
        <f t="array" aca="1" ref="O29" ca="1">IF(ROW()-ROW($I$2:$I$65)+1&gt;ROWS($H$2:$H$65)-COUNTBLANK($H$2:$H$65),"",INDIRECT(ADDRESS(SMALL((IF($H$2:$H$65&lt;&gt;"",ROW($H$2:$H$65),ROW()+ROWS($H$2:$H$65))),ROW()-ROW($I$2:$I$65)+1),COLUMN($H$2:$H$65),4)))</f>
        <v/>
      </c>
      <c r="P29" s="183" t="str">
        <f t="array" aca="1" ref="P29" ca="1">IF(ROW()-ROW($J$2:$J$65)+1&gt;ROWS($I$2:$I$65)-COUNTBLANK($I$2:$I$65),"",INDIRECT(ADDRESS(SMALL((IF($I$2:$I$65&lt;&gt;"",ROW($I$2:$I$65),ROW()+ROWS($I$2:$I$65))),ROW()-ROW($J$2:$J$65)+1),COLUMN($I$2:$I$65),4)))</f>
        <v/>
      </c>
    </row>
    <row r="30" spans="4:16" ht="34.5" thickBot="1" x14ac:dyDescent="0.3">
      <c r="D30" s="243" t="s">
        <v>228</v>
      </c>
      <c r="E30" s="244" t="str">
        <f>IF(H30="","","2021-2023")</f>
        <v/>
      </c>
      <c r="F30" s="244" t="str">
        <f>IF(H30="","","e")</f>
        <v/>
      </c>
      <c r="G30" s="244" t="str">
        <f>IF(H30="","","5")</f>
        <v/>
      </c>
      <c r="H30" s="239" t="str">
        <f>IF(OR('Matrix-Kolon'!$M$31="-----",'Matrix-Kolon'!$M$31=""),"",IF(AND(ROUND('Matrix-Kolon'!M31,4)&gt;=Berechnung2!G38,ROUND('Matrix-Kolon'!M31,4)&lt;Berechnung2!J38),Berechnung2!L38,""))</f>
        <v/>
      </c>
      <c r="I30" s="245" t="str">
        <f>IF(H30="","",VLOOKUP(F30,Berechnung2!$I$15:$J$25,2,FALSE))</f>
        <v/>
      </c>
      <c r="J30" s="246" t="str">
        <f t="shared" si="2"/>
        <v/>
      </c>
      <c r="L30" s="94" t="str">
        <f t="array" aca="1" ref="L30" ca="1">IF(ROW()-ROW($F$2:$F$65)+1&gt;ROWS($E$2:$E$65)-COUNTBLANK($E$2:$E$65),"",INDIRECT(ADDRESS(SMALL((IF($E$2:$E$65&gt;"",ROW($E$2:$E$65),ROW()+ROWS($E$2:$E$65))),ROW()-ROW($F$2:$F$65)+1),COLUMN($E$2:$E$65),4)))</f>
        <v/>
      </c>
      <c r="M30" s="94" t="str">
        <f t="array" aca="1" ref="M30" ca="1">IF(ROW()-ROW($G$2:$G$65)+1&gt;ROWS($F$2:$F$65)-COUNTBLANK($F$2:$F$65),"",INDIRECT(ADDRESS(SMALL((IF($F$2:$F$65&lt;&gt;"",ROW($F$2:$F$65),ROW()+ROWS($F$2:$F$65))),ROW()-ROW($G$2:$G$65)+1),COLUMN($F$2:$F$65),4)))</f>
        <v/>
      </c>
      <c r="N30" s="94" t="str">
        <f t="array" aca="1" ref="N30" ca="1">IF(ROW()-ROW($H$2:$H$65)+1&gt;ROWS($G$2:$G$65)-COUNTBLANK($G$2:$G$65),"",INDIRECT(ADDRESS(SMALL((IF($G$2:$G$65&lt;&gt;"",ROW($G$2:$G$65),ROW()+ROWS($G$2:$G$65))),ROW()-ROW($H$2:$H$65)+1),COLUMN($G$2:$G$65),4)))</f>
        <v/>
      </c>
      <c r="O30" s="183" t="str">
        <f t="array" aca="1" ref="O30" ca="1">IF(ROW()-ROW($I$2:$I$65)+1&gt;ROWS($H$2:$H$65)-COUNTBLANK($H$2:$H$65),"",INDIRECT(ADDRESS(SMALL((IF($H$2:$H$65&lt;&gt;"",ROW($H$2:$H$65),ROW()+ROWS($H$2:$H$65))),ROW()-ROW($I$2:$I$65)+1),COLUMN($H$2:$H$65),4)))</f>
        <v/>
      </c>
      <c r="P30" s="183" t="str">
        <f t="array" aca="1" ref="P30" ca="1">IF(ROW()-ROW($J$2:$J$65)+1&gt;ROWS($I$2:$I$65)-COUNTBLANK($I$2:$I$65),"",INDIRECT(ADDRESS(SMALL((IF($I$2:$I$65&lt;&gt;"",ROW($I$2:$I$65),ROW()+ROWS($I$2:$I$65))),ROW()-ROW($J$2:$J$65)+1),COLUMN($I$2:$I$65),4)))</f>
        <v/>
      </c>
    </row>
    <row r="31" spans="4:16" x14ac:dyDescent="0.25">
      <c r="D31" s="144" t="s">
        <v>345</v>
      </c>
      <c r="E31" s="155" t="str">
        <f>IF(H31="","","2019")</f>
        <v/>
      </c>
      <c r="F31" s="155" t="str">
        <f t="shared" ref="F31:F36" si="9">IF(H31="","","f")</f>
        <v/>
      </c>
      <c r="G31" s="155" t="str">
        <f>IF(H31="","","6")</f>
        <v/>
      </c>
      <c r="H31" s="184" t="str">
        <f>IF(A2="relevant",IF('Matrix-Kolon'!C23="","",IF('Matrix-Kolon'!C23&lt;Berechnung2!$G$35,Berechnung2!$L$35,"")),"")</f>
        <v/>
      </c>
      <c r="I31" s="235" t="str">
        <f>IF(H31="","",VLOOKUP(F31,Berechnung2!$I$15:$J$25,2,FALSE))</f>
        <v/>
      </c>
      <c r="J31" s="234" t="str">
        <f t="shared" si="2"/>
        <v/>
      </c>
      <c r="L31" s="94" t="str">
        <f t="array" aca="1" ref="L31" ca="1">IF(ROW()-ROW($F$2:$F$65)+1&gt;ROWS($E$2:$E$65)-COUNTBLANK($E$2:$E$65),"",INDIRECT(ADDRESS(SMALL((IF($E$2:$E$65&gt;"",ROW($E$2:$E$65),ROW()+ROWS($E$2:$E$65))),ROW()-ROW($F$2:$F$65)+1),COLUMN($E$2:$E$65),4)))</f>
        <v/>
      </c>
      <c r="M31" s="94" t="str">
        <f t="array" aca="1" ref="M31" ca="1">IF(ROW()-ROW($G$2:$G$65)+1&gt;ROWS($F$2:$F$65)-COUNTBLANK($F$2:$F$65),"",INDIRECT(ADDRESS(SMALL((IF($F$2:$F$65&lt;&gt;"",ROW($F$2:$F$65),ROW()+ROWS($F$2:$F$65))),ROW()-ROW($G$2:$G$65)+1),COLUMN($F$2:$F$65),4)))</f>
        <v/>
      </c>
      <c r="N31" s="94" t="str">
        <f t="array" aca="1" ref="N31" ca="1">IF(ROW()-ROW($H$2:$H$65)+1&gt;ROWS($G$2:$G$65)-COUNTBLANK($G$2:$G$65),"",INDIRECT(ADDRESS(SMALL((IF($G$2:$G$65&lt;&gt;"",ROW($G$2:$G$65),ROW()+ROWS($G$2:$G$65))),ROW()-ROW($H$2:$H$65)+1),COLUMN($G$2:$G$65),4)))</f>
        <v/>
      </c>
      <c r="O31" s="183" t="str">
        <f t="array" aca="1" ref="O31" ca="1">IF(ROW()-ROW($I$2:$I$65)+1&gt;ROWS($H$2:$H$65)-COUNTBLANK($H$2:$H$65),"",INDIRECT(ADDRESS(SMALL((IF($H$2:$H$65&lt;&gt;"",ROW($H$2:$H$65),ROW()+ROWS($H$2:$H$65))),ROW()-ROW($I$2:$I$65)+1),COLUMN($H$2:$H$65),4)))</f>
        <v/>
      </c>
      <c r="P31" s="183" t="str">
        <f t="array" aca="1" ref="P31" ca="1">IF(ROW()-ROW($J$2:$J$65)+1&gt;ROWS($I$2:$I$65)-COUNTBLANK($I$2:$I$65),"",INDIRECT(ADDRESS(SMALL((IF($I$2:$I$65&lt;&gt;"",ROW($I$2:$I$65),ROW()+ROWS($I$2:$I$65))),ROW()-ROW($J$2:$J$65)+1),COLUMN($I$2:$I$65),4)))</f>
        <v/>
      </c>
    </row>
    <row r="32" spans="4:16" x14ac:dyDescent="0.25">
      <c r="D32" s="962" t="s">
        <v>392</v>
      </c>
      <c r="E32" s="34" t="str">
        <f>IF(H32="","","2020")</f>
        <v/>
      </c>
      <c r="F32" s="34" t="str">
        <f t="shared" si="9"/>
        <v/>
      </c>
      <c r="G32" s="34" t="str">
        <f t="shared" ref="G32:G64" si="10">IF(H32="","","6")</f>
        <v/>
      </c>
      <c r="H32" s="172" t="str">
        <f>IF(A3="relevant",IF('Matrix-Kolon'!C24="","",IF('Matrix-Kolon'!C24&lt;Berechnung2!$G$35,Berechnung2!$L$35,"")),"")</f>
        <v/>
      </c>
      <c r="I32" s="171" t="str">
        <f>IF(H32="","",VLOOKUP(F32,Berechnung2!$I$15:$J$25,2,FALSE))</f>
        <v/>
      </c>
      <c r="J32" s="233" t="str">
        <f t="shared" si="2"/>
        <v/>
      </c>
      <c r="L32" s="94" t="str">
        <f t="array" aca="1" ref="L32" ca="1">IF(ROW()-ROW($F$2:$F$65)+1&gt;ROWS($E$2:$E$65)-COUNTBLANK($E$2:$E$65),"",INDIRECT(ADDRESS(SMALL((IF($E$2:$E$65&gt;"",ROW($E$2:$E$65),ROW()+ROWS($E$2:$E$65))),ROW()-ROW($F$2:$F$65)+1),COLUMN($E$2:$E$65),4)))</f>
        <v/>
      </c>
      <c r="M32" s="94" t="str">
        <f t="array" aca="1" ref="M32" ca="1">IF(ROW()-ROW($G$2:$G$65)+1&gt;ROWS($F$2:$F$65)-COUNTBLANK($F$2:$F$65),"",INDIRECT(ADDRESS(SMALL((IF($F$2:$F$65&lt;&gt;"",ROW($F$2:$F$65),ROW()+ROWS($F$2:$F$65))),ROW()-ROW($G$2:$G$65)+1),COLUMN($F$2:$F$65),4)))</f>
        <v/>
      </c>
      <c r="N32" s="94" t="str">
        <f t="array" aca="1" ref="N32" ca="1">IF(ROW()-ROW($H$2:$H$65)+1&gt;ROWS($G$2:$G$65)-COUNTBLANK($G$2:$G$65),"",INDIRECT(ADDRESS(SMALL((IF($G$2:$G$65&lt;&gt;"",ROW($G$2:$G$65),ROW()+ROWS($G$2:$G$65))),ROW()-ROW($H$2:$H$65)+1),COLUMN($G$2:$G$65),4)))</f>
        <v/>
      </c>
      <c r="O32" s="183" t="str">
        <f t="array" aca="1" ref="O32" ca="1">IF(ROW()-ROW($I$2:$I$65)+1&gt;ROWS($H$2:$H$65)-COUNTBLANK($H$2:$H$65),"",INDIRECT(ADDRESS(SMALL((IF($H$2:$H$65&lt;&gt;"",ROW($H$2:$H$65),ROW()+ROWS($H$2:$H$65))),ROW()-ROW($I$2:$I$65)+1),COLUMN($H$2:$H$65),4)))</f>
        <v/>
      </c>
      <c r="P32" s="183" t="str">
        <f t="array" aca="1" ref="P32" ca="1">IF(ROW()-ROW($J$2:$J$65)+1&gt;ROWS($I$2:$I$65)-COUNTBLANK($I$2:$I$65),"",INDIRECT(ADDRESS(SMALL((IF($I$2:$I$65&lt;&gt;"",ROW($I$2:$I$65),ROW()+ROWS($I$2:$I$65))),ROW()-ROW($J$2:$J$65)+1),COLUMN($I$2:$I$65),4)))</f>
        <v/>
      </c>
    </row>
    <row r="33" spans="4:16" x14ac:dyDescent="0.25">
      <c r="D33" s="962"/>
      <c r="E33" s="34" t="str">
        <f>IF(H33="","","2021")</f>
        <v/>
      </c>
      <c r="F33" s="34" t="str">
        <f t="shared" si="9"/>
        <v/>
      </c>
      <c r="G33" s="34" t="str">
        <f t="shared" si="10"/>
        <v/>
      </c>
      <c r="H33" s="172" t="str">
        <f>IF(A4="relevant",IF('Matrix-Kolon'!C25="","",IF('Matrix-Kolon'!C25&lt;Berechnung2!$G$35,Berechnung2!$L$35,"")),"")</f>
        <v/>
      </c>
      <c r="I33" s="171" t="str">
        <f>IF(H33="","",VLOOKUP(F33,Berechnung2!$I$15:$J$25,2,FALSE))</f>
        <v/>
      </c>
      <c r="J33" s="233" t="str">
        <f t="shared" si="2"/>
        <v/>
      </c>
      <c r="L33" s="94" t="str">
        <f t="array" aca="1" ref="L33" ca="1">IF(ROW()-ROW($F$2:$F$65)+1&gt;ROWS($E$2:$E$65)-COUNTBLANK($E$2:$E$65),"",INDIRECT(ADDRESS(SMALL((IF($E$2:$E$65&gt;"",ROW($E$2:$E$65),ROW()+ROWS($E$2:$E$65))),ROW()-ROW($F$2:$F$65)+1),COLUMN($E$2:$E$65),4)))</f>
        <v/>
      </c>
      <c r="M33" s="94" t="str">
        <f t="array" aca="1" ref="M33" ca="1">IF(ROW()-ROW($G$2:$G$65)+1&gt;ROWS($F$2:$F$65)-COUNTBLANK($F$2:$F$65),"",INDIRECT(ADDRESS(SMALL((IF($F$2:$F$65&lt;&gt;"",ROW($F$2:$F$65),ROW()+ROWS($F$2:$F$65))),ROW()-ROW($G$2:$G$65)+1),COLUMN($F$2:$F$65),4)))</f>
        <v/>
      </c>
      <c r="N33" s="94" t="str">
        <f t="array" aca="1" ref="N33" ca="1">IF(ROW()-ROW($H$2:$H$65)+1&gt;ROWS($G$2:$G$65)-COUNTBLANK($G$2:$G$65),"",INDIRECT(ADDRESS(SMALL((IF($G$2:$G$65&lt;&gt;"",ROW($G$2:$G$65),ROW()+ROWS($G$2:$G$65))),ROW()-ROW($H$2:$H$65)+1),COLUMN($G$2:$G$65),4)))</f>
        <v/>
      </c>
      <c r="O33" s="183" t="str">
        <f t="array" aca="1" ref="O33" ca="1">IF(ROW()-ROW($I$2:$I$65)+1&gt;ROWS($H$2:$H$65)-COUNTBLANK($H$2:$H$65),"",INDIRECT(ADDRESS(SMALL((IF($H$2:$H$65&lt;&gt;"",ROW($H$2:$H$65),ROW()+ROWS($H$2:$H$65))),ROW()-ROW($I$2:$I$65)+1),COLUMN($H$2:$H$65),4)))</f>
        <v/>
      </c>
      <c r="P33" s="183" t="str">
        <f t="array" aca="1" ref="P33" ca="1">IF(ROW()-ROW($J$2:$J$65)+1&gt;ROWS($I$2:$I$65)-COUNTBLANK($I$2:$I$65),"",INDIRECT(ADDRESS(SMALL((IF($I$2:$I$65&lt;&gt;"",ROW($I$2:$I$65),ROW()+ROWS($I$2:$I$65))),ROW()-ROW($J$2:$J$65)+1),COLUMN($I$2:$I$65),4)))</f>
        <v/>
      </c>
    </row>
    <row r="34" spans="4:16" x14ac:dyDescent="0.25">
      <c r="D34" s="962"/>
      <c r="E34" s="34" t="str">
        <f>IF(H34="","","2022")</f>
        <v/>
      </c>
      <c r="F34" s="34" t="str">
        <f t="shared" si="9"/>
        <v/>
      </c>
      <c r="G34" s="34" t="str">
        <f t="shared" si="10"/>
        <v/>
      </c>
      <c r="H34" s="172" t="str">
        <f>IF(A5="relevant",IF('Matrix-Kolon'!C26="","",IF('Matrix-Kolon'!C26&lt;Berechnung2!$G$35,Berechnung2!$L$35,"")),"")</f>
        <v/>
      </c>
      <c r="I34" s="171" t="str">
        <f>IF(H34="","",VLOOKUP(F34,Berechnung2!$I$15:$J$25,2,FALSE))</f>
        <v/>
      </c>
      <c r="J34" s="233" t="str">
        <f t="shared" si="2"/>
        <v/>
      </c>
      <c r="L34" s="94" t="str">
        <f t="array" aca="1" ref="L34" ca="1">IF(ROW()-ROW($F$2:$F$65)+1&gt;ROWS($E$2:$E$65)-COUNTBLANK($E$2:$E$65),"",INDIRECT(ADDRESS(SMALL((IF($E$2:$E$65&gt;"",ROW($E$2:$E$65),ROW()+ROWS($E$2:$E$65))),ROW()-ROW($F$2:$F$65)+1),COLUMN($E$2:$E$65),4)))</f>
        <v/>
      </c>
      <c r="M34" s="94" t="str">
        <f t="array" aca="1" ref="M34" ca="1">IF(ROW()-ROW($G$2:$G$65)+1&gt;ROWS($F$2:$F$65)-COUNTBLANK($F$2:$F$65),"",INDIRECT(ADDRESS(SMALL((IF($F$2:$F$65&lt;&gt;"",ROW($F$2:$F$65),ROW()+ROWS($F$2:$F$65))),ROW()-ROW($G$2:$G$65)+1),COLUMN($F$2:$F$65),4)))</f>
        <v/>
      </c>
      <c r="N34" s="94" t="str">
        <f t="array" aca="1" ref="N34" ca="1">IF(ROW()-ROW($H$2:$H$65)+1&gt;ROWS($G$2:$G$65)-COUNTBLANK($G$2:$G$65),"",INDIRECT(ADDRESS(SMALL((IF($G$2:$G$65&lt;&gt;"",ROW($G$2:$G$65),ROW()+ROWS($G$2:$G$65))),ROW()-ROW($H$2:$H$65)+1),COLUMN($G$2:$G$65),4)))</f>
        <v/>
      </c>
      <c r="O34" s="183" t="str">
        <f t="array" aca="1" ref="O34" ca="1">IF(ROW()-ROW($I$2:$I$65)+1&gt;ROWS($H$2:$H$65)-COUNTBLANK($H$2:$H$65),"",INDIRECT(ADDRESS(SMALL((IF($H$2:$H$65&lt;&gt;"",ROW($H$2:$H$65),ROW()+ROWS($H$2:$H$65))),ROW()-ROW($I$2:$I$65)+1),COLUMN($H$2:$H$65),4)))</f>
        <v/>
      </c>
      <c r="P34" s="183" t="str">
        <f t="array" aca="1" ref="P34" ca="1">IF(ROW()-ROW($J$2:$J$65)+1&gt;ROWS($I$2:$I$65)-COUNTBLANK($I$2:$I$65),"",INDIRECT(ADDRESS(SMALL((IF($I$2:$I$65&lt;&gt;"",ROW($I$2:$I$65),ROW()+ROWS($I$2:$I$65))),ROW()-ROW($J$2:$J$65)+1),COLUMN($I$2:$I$65),4)))</f>
        <v/>
      </c>
    </row>
    <row r="35" spans="4:16" x14ac:dyDescent="0.25">
      <c r="D35" s="962"/>
      <c r="E35" s="34" t="str">
        <f>IF(H35="","","2023")</f>
        <v/>
      </c>
      <c r="F35" s="34" t="str">
        <f t="shared" si="9"/>
        <v/>
      </c>
      <c r="G35" s="34" t="str">
        <f t="shared" si="10"/>
        <v/>
      </c>
      <c r="H35" s="172" t="str">
        <f>IF(A6="relevant",IF('Matrix-Kolon'!C27="","",IF('Matrix-Kolon'!C27&lt;Berechnung2!$G$35,Berechnung2!$L$35,"")),"")</f>
        <v/>
      </c>
      <c r="I35" s="171" t="str">
        <f>IF(H35="","",VLOOKUP(F35,Berechnung2!$I$15:$J$25,2,FALSE))</f>
        <v/>
      </c>
      <c r="J35" s="233" t="str">
        <f t="shared" si="2"/>
        <v/>
      </c>
      <c r="L35" s="94" t="str">
        <f t="array" aca="1" ref="L35" ca="1">IF(ROW()-ROW($F$2:$F$65)+1&gt;ROWS($E$2:$E$65)-COUNTBLANK($E$2:$E$65),"",INDIRECT(ADDRESS(SMALL((IF($E$2:$E$65&gt;"",ROW($E$2:$E$65),ROW()+ROWS($E$2:$E$65))),ROW()-ROW($F$2:$F$65)+1),COLUMN($E$2:$E$65),4)))</f>
        <v/>
      </c>
      <c r="M35" s="94" t="str">
        <f t="array" aca="1" ref="M35" ca="1">IF(ROW()-ROW($G$2:$G$65)+1&gt;ROWS($F$2:$F$65)-COUNTBLANK($F$2:$F$65),"",INDIRECT(ADDRESS(SMALL((IF($F$2:$F$65&lt;&gt;"",ROW($F$2:$F$65),ROW()+ROWS($F$2:$F$65))),ROW()-ROW($G$2:$G$65)+1),COLUMN($F$2:$F$65),4)))</f>
        <v/>
      </c>
      <c r="N35" s="94" t="str">
        <f t="array" aca="1" ref="N35" ca="1">IF(ROW()-ROW($H$2:$H$65)+1&gt;ROWS($G$2:$G$65)-COUNTBLANK($G$2:$G$65),"",INDIRECT(ADDRESS(SMALL((IF($G$2:$G$65&lt;&gt;"",ROW($G$2:$G$65),ROW()+ROWS($G$2:$G$65))),ROW()-ROW($H$2:$H$65)+1),COLUMN($G$2:$G$65),4)))</f>
        <v/>
      </c>
      <c r="O35" s="183" t="str">
        <f t="array" aca="1" ref="O35" ca="1">IF(ROW()-ROW($I$2:$I$65)+1&gt;ROWS($H$2:$H$65)-COUNTBLANK($H$2:$H$65),"",INDIRECT(ADDRESS(SMALL((IF($H$2:$H$65&lt;&gt;"",ROW($H$2:$H$65),ROW()+ROWS($H$2:$H$65))),ROW()-ROW($I$2:$I$65)+1),COLUMN($H$2:$H$65),4)))</f>
        <v/>
      </c>
      <c r="P35" s="183" t="str">
        <f t="array" aca="1" ref="P35" ca="1">IF(ROW()-ROW($J$2:$J$65)+1&gt;ROWS($I$2:$I$65)-COUNTBLANK($I$2:$I$65),"",INDIRECT(ADDRESS(SMALL((IF($I$2:$I$65&lt;&gt;"",ROW($I$2:$I$65),ROW()+ROWS($I$2:$I$65))),ROW()-ROW($J$2:$J$65)+1),COLUMN($I$2:$I$65),4)))</f>
        <v/>
      </c>
    </row>
    <row r="36" spans="4:16" x14ac:dyDescent="0.25">
      <c r="D36" s="466" t="s">
        <v>230</v>
      </c>
      <c r="E36" s="240" t="str">
        <f>IF(H36="","","2024")</f>
        <v/>
      </c>
      <c r="F36" s="240" t="str">
        <f t="shared" si="9"/>
        <v/>
      </c>
      <c r="G36" s="240" t="str">
        <f t="shared" si="10"/>
        <v/>
      </c>
      <c r="H36" s="460" t="str">
        <f>IF(A7="relevant",IF('Matrix-Kolon'!C28="","",IF('Matrix-Kolon'!C28&lt;Berechnung2!$G$35,Berechnung2!$L$35,"")),"")</f>
        <v/>
      </c>
      <c r="I36" s="241" t="str">
        <f>IF(H36="","",VLOOKUP(F36,Berechnung2!$I$15:$J$25,2,FALSE))</f>
        <v/>
      </c>
      <c r="J36" s="242" t="str">
        <f t="shared" si="2"/>
        <v/>
      </c>
      <c r="L36" s="94" t="str">
        <f t="array" aca="1" ref="L36" ca="1">IF(ROW()-ROW($F$2:$F$65)+1&gt;ROWS($E$2:$E$65)-COUNTBLANK($E$2:$E$65),"",INDIRECT(ADDRESS(SMALL((IF($E$2:$E$65&gt;"",ROW($E$2:$E$65),ROW()+ROWS($E$2:$E$65))),ROW()-ROW($F$2:$F$65)+1),COLUMN($E$2:$E$65),4)))</f>
        <v/>
      </c>
      <c r="M36" s="94" t="str">
        <f t="array" aca="1" ref="M36" ca="1">IF(ROW()-ROW($G$2:$G$65)+1&gt;ROWS($F$2:$F$65)-COUNTBLANK($F$2:$F$65),"",INDIRECT(ADDRESS(SMALL((IF($F$2:$F$65&lt;&gt;"",ROW($F$2:$F$65),ROW()+ROWS($F$2:$F$65))),ROW()-ROW($G$2:$G$65)+1),COLUMN($F$2:$F$65),4)))</f>
        <v/>
      </c>
      <c r="N36" s="94" t="str">
        <f t="array" aca="1" ref="N36" ca="1">IF(ROW()-ROW($H$2:$H$65)+1&gt;ROWS($G$2:$G$65)-COUNTBLANK($G$2:$G$65),"",INDIRECT(ADDRESS(SMALL((IF($G$2:$G$65&lt;&gt;"",ROW($G$2:$G$65),ROW()+ROWS($G$2:$G$65))),ROW()-ROW($H$2:$H$65)+1),COLUMN($G$2:$G$65),4)))</f>
        <v/>
      </c>
      <c r="O36" s="183" t="str">
        <f t="array" aca="1" ref="O36" ca="1">IF(ROW()-ROW($I$2:$I$65)+1&gt;ROWS($H$2:$H$65)-COUNTBLANK($H$2:$H$65),"",INDIRECT(ADDRESS(SMALL((IF($H$2:$H$65&lt;&gt;"",ROW($H$2:$H$65),ROW()+ROWS($H$2:$H$65))),ROW()-ROW($I$2:$I$65)+1),COLUMN($H$2:$H$65),4)))</f>
        <v/>
      </c>
      <c r="P36" s="183" t="str">
        <f t="array" aca="1" ref="P36" ca="1">IF(ROW()-ROW($J$2:$J$65)+1&gt;ROWS($I$2:$I$65)-COUNTBLANK($I$2:$I$65),"",INDIRECT(ADDRESS(SMALL((IF($I$2:$I$65&lt;&gt;"",ROW($I$2:$I$65),ROW()+ROWS($I$2:$I$65))),ROW()-ROW($J$2:$J$65)+1),COLUMN($I$2:$I$65),4)))</f>
        <v/>
      </c>
    </row>
    <row r="37" spans="4:16" ht="12" thickBot="1" x14ac:dyDescent="0.3">
      <c r="D37" s="459"/>
      <c r="E37" s="240" t="str">
        <f>IF(H37="","","2025")</f>
        <v/>
      </c>
      <c r="F37" s="240" t="str">
        <f t="shared" ref="F37" si="11">IF(H37="","","f")</f>
        <v/>
      </c>
      <c r="G37" s="240" t="str">
        <f t="shared" ref="G37" si="12">IF(H37="","","6")</f>
        <v/>
      </c>
      <c r="H37" s="460" t="str">
        <f>IF(A8="relevant",IF('Matrix-Kolon'!C29="","",IF('Matrix-Kolon'!C29&lt;Berechnung2!$G$35,Berechnung2!$L$35,"")),"")</f>
        <v/>
      </c>
      <c r="I37" s="241" t="str">
        <f>IF(H37="","",VLOOKUP(F37,Berechnung2!$I$15:$J$25,2,FALSE))</f>
        <v/>
      </c>
      <c r="J37" s="242" t="str">
        <f t="shared" ref="J37" si="13">IF(H37&lt;&gt;"",1,"")</f>
        <v/>
      </c>
      <c r="L37" s="94" t="str">
        <f t="array" aca="1" ref="L37" ca="1">IF(ROW()-ROW($F$2:$F$65)+1&gt;ROWS($E$2:$E$65)-COUNTBLANK($E$2:$E$65),"",INDIRECT(ADDRESS(SMALL((IF($E$2:$E$65&gt;"",ROW($E$2:$E$65),ROW()+ROWS($E$2:$E$65))),ROW()-ROW($F$2:$F$65)+1),COLUMN($E$2:$E$65),4)))</f>
        <v/>
      </c>
      <c r="M37" s="94" t="str">
        <f t="array" aca="1" ref="M37" ca="1">IF(ROW()-ROW($G$2:$G$65)+1&gt;ROWS($F$2:$F$65)-COUNTBLANK($F$2:$F$65),"",INDIRECT(ADDRESS(SMALL((IF($F$2:$F$65&lt;&gt;"",ROW($F$2:$F$65),ROW()+ROWS($F$2:$F$65))),ROW()-ROW($G$2:$G$65)+1),COLUMN($F$2:$F$65),4)))</f>
        <v/>
      </c>
      <c r="N37" s="94" t="str">
        <f t="array" aca="1" ref="N37" ca="1">IF(ROW()-ROW($H$2:$H$65)+1&gt;ROWS($G$2:$G$65)-COUNTBLANK($G$2:$G$65),"",INDIRECT(ADDRESS(SMALL((IF($G$2:$G$65&lt;&gt;"",ROW($G$2:$G$65),ROW()+ROWS($G$2:$G$65))),ROW()-ROW($H$2:$H$65)+1),COLUMN($G$2:$G$65),4)))</f>
        <v/>
      </c>
      <c r="O37" s="183" t="str">
        <f t="array" aca="1" ref="O37" ca="1">IF(ROW()-ROW($I$2:$I$65)+1&gt;ROWS($H$2:$H$65)-COUNTBLANK($H$2:$H$65),"",INDIRECT(ADDRESS(SMALL((IF($H$2:$H$65&lt;&gt;"",ROW($H$2:$H$65),ROW()+ROWS($H$2:$H$65))),ROW()-ROW($I$2:$I$65)+1),COLUMN($H$2:$H$65),4)))</f>
        <v/>
      </c>
      <c r="P37" s="183" t="str">
        <f t="array" aca="1" ref="P37" ca="1">IF(ROW()-ROW($J$2:$J$65)+1&gt;ROWS($I$2:$I$65)-COUNTBLANK($I$2:$I$65),"",INDIRECT(ADDRESS(SMALL((IF($I$2:$I$65&lt;&gt;"",ROW($I$2:$I$65),ROW()+ROWS($I$2:$I$65))),ROW()-ROW($J$2:$J$65)+1),COLUMN($I$2:$I$65),4)))</f>
        <v/>
      </c>
    </row>
    <row r="38" spans="4:16" ht="34.5" thickBot="1" x14ac:dyDescent="0.3">
      <c r="D38" s="153" t="s">
        <v>231</v>
      </c>
      <c r="E38" s="154" t="str">
        <f>IF(H38="","","2021-2023")</f>
        <v/>
      </c>
      <c r="F38" s="154" t="str">
        <f>IF(H38="","","g")</f>
        <v/>
      </c>
      <c r="G38" s="154" t="str">
        <f t="shared" si="10"/>
        <v/>
      </c>
      <c r="H38" s="217" t="str">
        <f>IF(OR('Matrix-Kolon'!M31="-----",'Matrix-Kolon'!M31=""),"",IF(ROUND('Matrix-Kolon'!M31,4)&gt;Berechnung2!J39,Berechnung2!L39,""))</f>
        <v/>
      </c>
      <c r="I38" s="218" t="str">
        <f>IF(H38="","",VLOOKUP(F38,Berechnung2!$I$15:$J$25,2,FALSE))</f>
        <v/>
      </c>
      <c r="J38" s="219" t="str">
        <f t="shared" si="2"/>
        <v/>
      </c>
      <c r="L38" s="94" t="str">
        <f t="array" aca="1" ref="L38" ca="1">IF(ROW()-ROW($F$2:$F$65)+1&gt;ROWS($E$2:$E$65)-COUNTBLANK($E$2:$E$65),"",INDIRECT(ADDRESS(SMALL((IF($E$2:$E$65&gt;"",ROW($E$2:$E$65),ROW()+ROWS($E$2:$E$65))),ROW()-ROW($F$2:$F$65)+1),COLUMN($E$2:$E$65),4)))</f>
        <v/>
      </c>
      <c r="M38" s="94" t="str">
        <f t="array" aca="1" ref="M38" ca="1">IF(ROW()-ROW($G$2:$G$65)+1&gt;ROWS($F$2:$F$65)-COUNTBLANK($F$2:$F$65),"",INDIRECT(ADDRESS(SMALL((IF($F$2:$F$65&lt;&gt;"",ROW($F$2:$F$65),ROW()+ROWS($F$2:$F$65))),ROW()-ROW($G$2:$G$65)+1),COLUMN($F$2:$F$65),4)))</f>
        <v/>
      </c>
      <c r="N38" s="94" t="str">
        <f t="array" aca="1" ref="N38" ca="1">IF(ROW()-ROW($H$2:$H$65)+1&gt;ROWS($G$2:$G$65)-COUNTBLANK($G$2:$G$65),"",INDIRECT(ADDRESS(SMALL((IF($G$2:$G$65&lt;&gt;"",ROW($G$2:$G$65),ROW()+ROWS($G$2:$G$65))),ROW()-ROW($H$2:$H$65)+1),COLUMN($G$2:$G$65),4)))</f>
        <v/>
      </c>
      <c r="O38" s="183" t="str">
        <f t="array" aca="1" ref="O38" ca="1">IF(ROW()-ROW($I$2:$I$65)+1&gt;ROWS($H$2:$H$65)-COUNTBLANK($H$2:$H$65),"",INDIRECT(ADDRESS(SMALL((IF($H$2:$H$65&lt;&gt;"",ROW($H$2:$H$65),ROW()+ROWS($H$2:$H$65))),ROW()-ROW($I$2:$I$65)+1),COLUMN($H$2:$H$65),4)))</f>
        <v/>
      </c>
      <c r="P38" s="183" t="str">
        <f t="array" aca="1" ref="P38" ca="1">IF(ROW()-ROW($J$2:$J$65)+1&gt;ROWS($I$2:$I$65)-COUNTBLANK($I$2:$I$65),"",INDIRECT(ADDRESS(SMALL((IF($I$2:$I$65&lt;&gt;"",ROW($I$2:$I$65),ROW()+ROWS($I$2:$I$65))),ROW()-ROW($J$2:$J$65)+1),COLUMN($I$2:$I$65),4)))</f>
        <v/>
      </c>
    </row>
    <row r="39" spans="4:16" x14ac:dyDescent="0.25">
      <c r="D39" s="144" t="s">
        <v>345</v>
      </c>
      <c r="E39" s="155" t="str">
        <f>IF(H39="","","2019")</f>
        <v/>
      </c>
      <c r="F39" s="155" t="str">
        <f t="shared" ref="F39:F43" si="14">IF(H39="","","h")</f>
        <v/>
      </c>
      <c r="G39" s="155" t="str">
        <f t="shared" si="10"/>
        <v/>
      </c>
      <c r="H39" s="184" t="str">
        <f>IF(A2="relevant",IF('Matrix-Kolon'!M23="","",IF(ROUND('Matrix-Kolon'!M23,4)&lt;Berechnung2!$J$37,Berechnung2!$L$37,"")),"")</f>
        <v/>
      </c>
      <c r="I39" s="235" t="str">
        <f>IF(H39="","",VLOOKUP(F39,Berechnung2!$I$15:$J$25,2,FALSE))</f>
        <v/>
      </c>
      <c r="J39" s="234" t="str">
        <f t="shared" si="2"/>
        <v/>
      </c>
      <c r="L39" s="94" t="str">
        <f t="array" aca="1" ref="L39" ca="1">IF(ROW()-ROW($F$2:$F$65)+1&gt;ROWS($E$2:$E$65)-COUNTBLANK($E$2:$E$65),"",INDIRECT(ADDRESS(SMALL((IF($E$2:$E$65&gt;"",ROW($E$2:$E$65),ROW()+ROWS($E$2:$E$65))),ROW()-ROW($F$2:$F$65)+1),COLUMN($E$2:$E$65),4)))</f>
        <v/>
      </c>
      <c r="M39" s="94" t="str">
        <f t="array" aca="1" ref="M39" ca="1">IF(ROW()-ROW($G$2:$G$65)+1&gt;ROWS($F$2:$F$65)-COUNTBLANK($F$2:$F$65),"",INDIRECT(ADDRESS(SMALL((IF($F$2:$F$65&lt;&gt;"",ROW($F$2:$F$65),ROW()+ROWS($F$2:$F$65))),ROW()-ROW($G$2:$G$65)+1),COLUMN($F$2:$F$65),4)))</f>
        <v/>
      </c>
      <c r="N39" s="94" t="str">
        <f t="array" aca="1" ref="N39" ca="1">IF(ROW()-ROW($H$2:$H$65)+1&gt;ROWS($G$2:$G$65)-COUNTBLANK($G$2:$G$65),"",INDIRECT(ADDRESS(SMALL((IF($G$2:$G$65&lt;&gt;"",ROW($G$2:$G$65),ROW()+ROWS($G$2:$G$65))),ROW()-ROW($H$2:$H$65)+1),COLUMN($G$2:$G$65),4)))</f>
        <v/>
      </c>
      <c r="O39" s="183" t="str">
        <f t="array" aca="1" ref="O39" ca="1">IF(ROW()-ROW($I$2:$I$65)+1&gt;ROWS($H$2:$H$65)-COUNTBLANK($H$2:$H$65),"",INDIRECT(ADDRESS(SMALL((IF($H$2:$H$65&lt;&gt;"",ROW($H$2:$H$65),ROW()+ROWS($H$2:$H$65))),ROW()-ROW($I$2:$I$65)+1),COLUMN($H$2:$H$65),4)))</f>
        <v/>
      </c>
      <c r="P39" s="183" t="str">
        <f t="array" aca="1" ref="P39" ca="1">IF(ROW()-ROW($J$2:$J$65)+1&gt;ROWS($I$2:$I$65)-COUNTBLANK($I$2:$I$65),"",INDIRECT(ADDRESS(SMALL((IF($I$2:$I$65&lt;&gt;"",ROW($I$2:$I$65),ROW()+ROWS($I$2:$I$65))),ROW()-ROW($J$2:$J$65)+1),COLUMN($I$2:$I$65),4)))</f>
        <v/>
      </c>
    </row>
    <row r="40" spans="4:16" x14ac:dyDescent="0.25">
      <c r="D40" s="964" t="s">
        <v>92</v>
      </c>
      <c r="E40" s="34" t="str">
        <f>IF(H40="","","2020")</f>
        <v/>
      </c>
      <c r="F40" s="34" t="str">
        <f t="shared" si="14"/>
        <v/>
      </c>
      <c r="G40" s="34" t="str">
        <f t="shared" si="10"/>
        <v/>
      </c>
      <c r="H40" s="172" t="str">
        <f>IF(A3="relevant",IF('Matrix-Kolon'!M24="","",IF(ROUND('Matrix-Kolon'!M24,4)&lt;Berechnung2!$J$37,Berechnung2!$L$37,"")),"")</f>
        <v/>
      </c>
      <c r="I40" s="171" t="str">
        <f>IF(H40="","",VLOOKUP(F40,Berechnung2!$I$15:$J$25,2,FALSE))</f>
        <v/>
      </c>
      <c r="J40" s="233" t="str">
        <f t="shared" si="2"/>
        <v/>
      </c>
      <c r="L40" s="94" t="str">
        <f t="array" aca="1" ref="L40" ca="1">IF(ROW()-ROW($F$2:$F$65)+1&gt;ROWS($E$2:$E$65)-COUNTBLANK($E$2:$E$65),"",INDIRECT(ADDRESS(SMALL((IF($E$2:$E$65&gt;"",ROW($E$2:$E$65),ROW()+ROWS($E$2:$E$65))),ROW()-ROW($F$2:$F$65)+1),COLUMN($E$2:$E$65),4)))</f>
        <v/>
      </c>
      <c r="M40" s="94" t="str">
        <f t="array" aca="1" ref="M40" ca="1">IF(ROW()-ROW($G$2:$G$65)+1&gt;ROWS($F$2:$F$65)-COUNTBLANK($F$2:$F$65),"",INDIRECT(ADDRESS(SMALL((IF($F$2:$F$65&lt;&gt;"",ROW($F$2:$F$65),ROW()+ROWS($F$2:$F$65))),ROW()-ROW($G$2:$G$65)+1),COLUMN($F$2:$F$65),4)))</f>
        <v/>
      </c>
      <c r="N40" s="94" t="str">
        <f t="array" aca="1" ref="N40" ca="1">IF(ROW()-ROW($H$2:$H$65)+1&gt;ROWS($G$2:$G$65)-COUNTBLANK($G$2:$G$65),"",INDIRECT(ADDRESS(SMALL((IF($G$2:$G$65&lt;&gt;"",ROW($G$2:$G$65),ROW()+ROWS($G$2:$G$65))),ROW()-ROW($H$2:$H$65)+1),COLUMN($G$2:$G$65),4)))</f>
        <v/>
      </c>
      <c r="O40" s="183" t="str">
        <f t="array" aca="1" ref="O40" ca="1">IF(ROW()-ROW($I$2:$I$65)+1&gt;ROWS($H$2:$H$65)-COUNTBLANK($H$2:$H$65),"",INDIRECT(ADDRESS(SMALL((IF($H$2:$H$65&lt;&gt;"",ROW($H$2:$H$65),ROW()+ROWS($H$2:$H$65))),ROW()-ROW($I$2:$I$65)+1),COLUMN($H$2:$H$65),4)))</f>
        <v/>
      </c>
      <c r="P40" s="183" t="str">
        <f t="array" aca="1" ref="P40" ca="1">IF(ROW()-ROW($J$2:$J$65)+1&gt;ROWS($I$2:$I$65)-COUNTBLANK($I$2:$I$65),"",INDIRECT(ADDRESS(SMALL((IF($I$2:$I$65&lt;&gt;"",ROW($I$2:$I$65),ROW()+ROWS($I$2:$I$65))),ROW()-ROW($J$2:$J$65)+1),COLUMN($I$2:$I$65),4)))</f>
        <v/>
      </c>
    </row>
    <row r="41" spans="4:16" x14ac:dyDescent="0.25">
      <c r="D41" s="964"/>
      <c r="E41" s="34" t="str">
        <f>IF(H41="","","2021")</f>
        <v/>
      </c>
      <c r="F41" s="34" t="str">
        <f t="shared" si="14"/>
        <v/>
      </c>
      <c r="G41" s="34" t="str">
        <f t="shared" si="10"/>
        <v/>
      </c>
      <c r="H41" s="172" t="str">
        <f>IF(A4="relevant",IF('Matrix-Kolon'!M25="","",IF(ROUND('Matrix-Kolon'!M25,4)&lt;Berechnung2!$J$37,Berechnung2!$L$37,"")),"")</f>
        <v/>
      </c>
      <c r="I41" s="171" t="str">
        <f>IF(H41="","",VLOOKUP(F41,Berechnung2!$I$15:$J$25,2,FALSE))</f>
        <v/>
      </c>
      <c r="J41" s="233" t="str">
        <f t="shared" si="2"/>
        <v/>
      </c>
      <c r="L41" s="94" t="str">
        <f t="array" aca="1" ref="L41" ca="1">IF(ROW()-ROW($F$2:$F$65)+1&gt;ROWS($E$2:$E$65)-COUNTBLANK($E$2:$E$65),"",INDIRECT(ADDRESS(SMALL((IF($E$2:$E$65&gt;"",ROW($E$2:$E$65),ROW()+ROWS($E$2:$E$65))),ROW()-ROW($F$2:$F$65)+1),COLUMN($E$2:$E$65),4)))</f>
        <v/>
      </c>
      <c r="M41" s="94" t="str">
        <f t="array" aca="1" ref="M41" ca="1">IF(ROW()-ROW($G$2:$G$65)+1&gt;ROWS($F$2:$F$65)-COUNTBLANK($F$2:$F$65),"",INDIRECT(ADDRESS(SMALL((IF($F$2:$F$65&lt;&gt;"",ROW($F$2:$F$65),ROW()+ROWS($F$2:$F$65))),ROW()-ROW($G$2:$G$65)+1),COLUMN($F$2:$F$65),4)))</f>
        <v/>
      </c>
      <c r="N41" s="94" t="str">
        <f t="array" aca="1" ref="N41" ca="1">IF(ROW()-ROW($H$2:$H$65)+1&gt;ROWS($G$2:$G$65)-COUNTBLANK($G$2:$G$65),"",INDIRECT(ADDRESS(SMALL((IF($G$2:$G$65&lt;&gt;"",ROW($G$2:$G$65),ROW()+ROWS($G$2:$G$65))),ROW()-ROW($H$2:$H$65)+1),COLUMN($G$2:$G$65),4)))</f>
        <v/>
      </c>
      <c r="O41" s="183" t="str">
        <f t="array" aca="1" ref="O41" ca="1">IF(ROW()-ROW($I$2:$I$65)+1&gt;ROWS($H$2:$H$65)-COUNTBLANK($H$2:$H$65),"",INDIRECT(ADDRESS(SMALL((IF($H$2:$H$65&lt;&gt;"",ROW($H$2:$H$65),ROW()+ROWS($H$2:$H$65))),ROW()-ROW($I$2:$I$65)+1),COLUMN($H$2:$H$65),4)))</f>
        <v/>
      </c>
      <c r="P41" s="183" t="str">
        <f t="array" aca="1" ref="P41" ca="1">IF(ROW()-ROW($J$2:$J$65)+1&gt;ROWS($I$2:$I$65)-COUNTBLANK($I$2:$I$65),"",INDIRECT(ADDRESS(SMALL((IF($I$2:$I$65&lt;&gt;"",ROW($I$2:$I$65),ROW()+ROWS($I$2:$I$65))),ROW()-ROW($J$2:$J$65)+1),COLUMN($I$2:$I$65),4)))</f>
        <v/>
      </c>
    </row>
    <row r="42" spans="4:16" x14ac:dyDescent="0.25">
      <c r="D42" s="964"/>
      <c r="E42" s="34" t="str">
        <f>IF(H42="","","2022")</f>
        <v/>
      </c>
      <c r="F42" s="34" t="str">
        <f t="shared" si="14"/>
        <v/>
      </c>
      <c r="G42" s="34" t="str">
        <f t="shared" si="10"/>
        <v/>
      </c>
      <c r="H42" s="172" t="str">
        <f>IF(A5="relevant",IF('Matrix-Kolon'!M26="","",IF(ROUND('Matrix-Kolon'!M26,4)&lt;Berechnung2!$J$37,Berechnung2!$L$37,"")),"")</f>
        <v/>
      </c>
      <c r="I42" s="171" t="str">
        <f>IF(H42="","",VLOOKUP(F42,Berechnung2!$I$15:$J$25,2,FALSE))</f>
        <v/>
      </c>
      <c r="J42" s="233" t="str">
        <f t="shared" si="2"/>
        <v/>
      </c>
      <c r="L42" s="94" t="str">
        <f t="array" aca="1" ref="L42" ca="1">IF(ROW()-ROW($F$2:$F$65)+1&gt;ROWS($E$2:$E$65)-COUNTBLANK($E$2:$E$65),"",INDIRECT(ADDRESS(SMALL((IF($E$2:$E$65&gt;"",ROW($E$2:$E$65),ROW()+ROWS($E$2:$E$65))),ROW()-ROW($F$2:$F$65)+1),COLUMN($E$2:$E$65),4)))</f>
        <v/>
      </c>
      <c r="M42" s="94" t="str">
        <f t="array" aca="1" ref="M42" ca="1">IF(ROW()-ROW($G$2:$G$65)+1&gt;ROWS($F$2:$F$65)-COUNTBLANK($F$2:$F$65),"",INDIRECT(ADDRESS(SMALL((IF($F$2:$F$65&lt;&gt;"",ROW($F$2:$F$65),ROW()+ROWS($F$2:$F$65))),ROW()-ROW($G$2:$G$65)+1),COLUMN($F$2:$F$65),4)))</f>
        <v/>
      </c>
      <c r="N42" s="94" t="str">
        <f t="array" aca="1" ref="N42" ca="1">IF(ROW()-ROW($H$2:$H$65)+1&gt;ROWS($G$2:$G$65)-COUNTBLANK($G$2:$G$65),"",INDIRECT(ADDRESS(SMALL((IF($G$2:$G$65&lt;&gt;"",ROW($G$2:$G$65),ROW()+ROWS($G$2:$G$65))),ROW()-ROW($H$2:$H$65)+1),COLUMN($G$2:$G$65),4)))</f>
        <v/>
      </c>
      <c r="O42" s="183" t="str">
        <f t="array" aca="1" ref="O42" ca="1">IF(ROW()-ROW($I$2:$I$65)+1&gt;ROWS($H$2:$H$65)-COUNTBLANK($H$2:$H$65),"",INDIRECT(ADDRESS(SMALL((IF($H$2:$H$65&lt;&gt;"",ROW($H$2:$H$65),ROW()+ROWS($H$2:$H$65))),ROW()-ROW($I$2:$I$65)+1),COLUMN($H$2:$H$65),4)))</f>
        <v/>
      </c>
      <c r="P42" s="183" t="str">
        <f t="array" aca="1" ref="P42" ca="1">IF(ROW()-ROW($J$2:$J$65)+1&gt;ROWS($I$2:$I$65)-COUNTBLANK($I$2:$I$65),"",INDIRECT(ADDRESS(SMALL((IF($I$2:$I$65&lt;&gt;"",ROW($I$2:$I$65),ROW()+ROWS($I$2:$I$65))),ROW()-ROW($J$2:$J$65)+1),COLUMN($I$2:$I$65),4)))</f>
        <v/>
      </c>
    </row>
    <row r="43" spans="4:16" x14ac:dyDescent="0.25">
      <c r="D43" s="964"/>
      <c r="E43" s="34" t="str">
        <f>IF(H43="","","2023")</f>
        <v/>
      </c>
      <c r="F43" s="34" t="str">
        <f t="shared" si="14"/>
        <v/>
      </c>
      <c r="G43" s="34" t="str">
        <f t="shared" si="10"/>
        <v/>
      </c>
      <c r="H43" s="172" t="str">
        <f>IF(A6="relevant",IF('Matrix-Kolon'!M27="","",IF(ROUND('Matrix-Kolon'!M27,4)&lt;Berechnung2!$J$37,Berechnung2!$L$37,"")),"")</f>
        <v/>
      </c>
      <c r="I43" s="171" t="str">
        <f>IF(H43="","",VLOOKUP(F43,Berechnung2!$I$15:$J$25,2,FALSE))</f>
        <v/>
      </c>
      <c r="J43" s="233" t="str">
        <f t="shared" si="2"/>
        <v/>
      </c>
      <c r="L43" s="94" t="str">
        <f t="array" aca="1" ref="L43" ca="1">IF(ROW()-ROW($F$2:$F$65)+1&gt;ROWS($E$2:$E$65)-COUNTBLANK($E$2:$E$65),"",INDIRECT(ADDRESS(SMALL((IF($E$2:$E$65&gt;"",ROW($E$2:$E$65),ROW()+ROWS($E$2:$E$65))),ROW()-ROW($F$2:$F$65)+1),COLUMN($E$2:$E$65),4)))</f>
        <v/>
      </c>
      <c r="M43" s="94" t="str">
        <f t="array" aca="1" ref="M43" ca="1">IF(ROW()-ROW($G$2:$G$65)+1&gt;ROWS($F$2:$F$65)-COUNTBLANK($F$2:$F$65),"",INDIRECT(ADDRESS(SMALL((IF($F$2:$F$65&lt;&gt;"",ROW($F$2:$F$65),ROW()+ROWS($F$2:$F$65))),ROW()-ROW($G$2:$G$65)+1),COLUMN($F$2:$F$65),4)))</f>
        <v/>
      </c>
      <c r="N43" s="94" t="str">
        <f t="array" aca="1" ref="N43" ca="1">IF(ROW()-ROW($H$2:$H$65)+1&gt;ROWS($G$2:$G$65)-COUNTBLANK($G$2:$G$65),"",INDIRECT(ADDRESS(SMALL((IF($G$2:$G$65&lt;&gt;"",ROW($G$2:$G$65),ROW()+ROWS($G$2:$G$65))),ROW()-ROW($H$2:$H$65)+1),COLUMN($G$2:$G$65),4)))</f>
        <v/>
      </c>
      <c r="O43" s="183" t="str">
        <f t="array" aca="1" ref="O43" ca="1">IF(ROW()-ROW($I$2:$I$65)+1&gt;ROWS($H$2:$H$65)-COUNTBLANK($H$2:$H$65),"",INDIRECT(ADDRESS(SMALL((IF($H$2:$H$65&lt;&gt;"",ROW($H$2:$H$65),ROW()+ROWS($H$2:$H$65))),ROW()-ROW($I$2:$I$65)+1),COLUMN($H$2:$H$65),4)))</f>
        <v/>
      </c>
      <c r="P43" s="183" t="str">
        <f t="array" aca="1" ref="P43" ca="1">IF(ROW()-ROW($J$2:$J$65)+1&gt;ROWS($I$2:$I$65)-COUNTBLANK($I$2:$I$65),"",INDIRECT(ADDRESS(SMALL((IF($I$2:$I$65&lt;&gt;"",ROW($I$2:$I$65),ROW()+ROWS($I$2:$I$65))),ROW()-ROW($J$2:$J$65)+1),COLUMN($I$2:$I$65),4)))</f>
        <v/>
      </c>
    </row>
    <row r="44" spans="4:16" x14ac:dyDescent="0.25">
      <c r="D44" s="466" t="s">
        <v>232</v>
      </c>
      <c r="E44" s="240" t="str">
        <f>IF(H44="","","2024")</f>
        <v/>
      </c>
      <c r="F44" s="240" t="str">
        <f>IF(H44="","","h")</f>
        <v/>
      </c>
      <c r="G44" s="240" t="str">
        <f>IF(H44="","","6")</f>
        <v/>
      </c>
      <c r="H44" s="460"/>
      <c r="I44" s="241" t="str">
        <f>IF(H44="","",VLOOKUP(F44,Berechnung2!$I$15:$J$25,2,FALSE))</f>
        <v/>
      </c>
      <c r="J44" s="242" t="str">
        <f>IF(H44&lt;&gt;"",1,"")</f>
        <v/>
      </c>
      <c r="L44" s="94" t="str">
        <f t="array" aca="1" ref="L44" ca="1">IF(ROW()-ROW($F$2:$F$65)+1&gt;ROWS($E$2:$E$65)-COUNTBLANK($E$2:$E$65),"",INDIRECT(ADDRESS(SMALL((IF($E$2:$E$65&gt;"",ROW($E$2:$E$65),ROW()+ROWS($E$2:$E$65))),ROW()-ROW($F$2:$F$65)+1),COLUMN($E$2:$E$65),4)))</f>
        <v/>
      </c>
      <c r="M44" s="94" t="str">
        <f t="array" aca="1" ref="M44" ca="1">IF(ROW()-ROW($G$2:$G$65)+1&gt;ROWS($F$2:$F$65)-COUNTBLANK($F$2:$F$65),"",INDIRECT(ADDRESS(SMALL((IF($F$2:$F$65&lt;&gt;"",ROW($F$2:$F$65),ROW()+ROWS($F$2:$F$65))),ROW()-ROW($G$2:$G$65)+1),COLUMN($F$2:$F$65),4)))</f>
        <v/>
      </c>
      <c r="N44" s="94" t="str">
        <f t="array" aca="1" ref="N44" ca="1">IF(ROW()-ROW($H$2:$H$65)+1&gt;ROWS($G$2:$G$65)-COUNTBLANK($G$2:$G$65),"",INDIRECT(ADDRESS(SMALL((IF($G$2:$G$65&lt;&gt;"",ROW($G$2:$G$65),ROW()+ROWS($G$2:$G$65))),ROW()-ROW($H$2:$H$65)+1),COLUMN($G$2:$G$65),4)))</f>
        <v/>
      </c>
      <c r="O44" s="183" t="str">
        <f t="array" aca="1" ref="O44" ca="1">IF(ROW()-ROW($I$2:$I$65)+1&gt;ROWS($H$2:$H$65)-COUNTBLANK($H$2:$H$65),"",INDIRECT(ADDRESS(SMALL((IF($H$2:$H$65&lt;&gt;"",ROW($H$2:$H$65),ROW()+ROWS($H$2:$H$65))),ROW()-ROW($I$2:$I$65)+1),COLUMN($H$2:$H$65),4)))</f>
        <v/>
      </c>
      <c r="P44" s="183" t="str">
        <f t="array" aca="1" ref="P44" ca="1">IF(ROW()-ROW($J$2:$J$65)+1&gt;ROWS($I$2:$I$65)-COUNTBLANK($I$2:$I$65),"",INDIRECT(ADDRESS(SMALL((IF($I$2:$I$65&lt;&gt;"",ROW($I$2:$I$65),ROW()+ROWS($I$2:$I$65))),ROW()-ROW($J$2:$J$65)+1),COLUMN($I$2:$I$65),4)))</f>
        <v/>
      </c>
    </row>
    <row r="45" spans="4:16" ht="12" thickBot="1" x14ac:dyDescent="0.3">
      <c r="D45" s="459"/>
      <c r="E45" s="240" t="str">
        <f>IF(H45="","","2025")</f>
        <v/>
      </c>
      <c r="F45" s="240" t="str">
        <f>IF(H45="","","h")</f>
        <v/>
      </c>
      <c r="G45" s="240" t="str">
        <f>IF(H45="","","6")</f>
        <v/>
      </c>
      <c r="H45" s="460"/>
      <c r="I45" s="241" t="str">
        <f>IF(H45="","",VLOOKUP(F45,Berechnung2!$I$15:$J$25,2,FALSE))</f>
        <v/>
      </c>
      <c r="J45" s="242" t="str">
        <f>IF(H45&lt;&gt;"",1,"")</f>
        <v/>
      </c>
      <c r="L45" s="94" t="str">
        <f t="array" aca="1" ref="L45" ca="1">IF(ROW()-ROW($F$2:$F$65)+1&gt;ROWS($E$2:$E$65)-COUNTBLANK($E$2:$E$65),"",INDIRECT(ADDRESS(SMALL((IF($E$2:$E$65&gt;"",ROW($E$2:$E$65),ROW()+ROWS($E$2:$E$65))),ROW()-ROW($F$2:$F$65)+1),COLUMN($E$2:$E$65),4)))</f>
        <v/>
      </c>
      <c r="M45" s="94" t="str">
        <f t="array" aca="1" ref="M45" ca="1">IF(ROW()-ROW($G$2:$G$65)+1&gt;ROWS($F$2:$F$65)-COUNTBLANK($F$2:$F$65),"",INDIRECT(ADDRESS(SMALL((IF($F$2:$F$65&lt;&gt;"",ROW($F$2:$F$65),ROW()+ROWS($F$2:$F$65))),ROW()-ROW($G$2:$G$65)+1),COLUMN($F$2:$F$65),4)))</f>
        <v/>
      </c>
      <c r="N45" s="94" t="str">
        <f t="array" aca="1" ref="N45" ca="1">IF(ROW()-ROW($H$2:$H$65)+1&gt;ROWS($G$2:$G$65)-COUNTBLANK($G$2:$G$65),"",INDIRECT(ADDRESS(SMALL((IF($G$2:$G$65&lt;&gt;"",ROW($G$2:$G$65),ROW()+ROWS($G$2:$G$65))),ROW()-ROW($H$2:$H$65)+1),COLUMN($G$2:$G$65),4)))</f>
        <v/>
      </c>
      <c r="O45" s="183" t="str">
        <f t="array" aca="1" ref="O45" ca="1">IF(ROW()-ROW($I$2:$I$65)+1&gt;ROWS($H$2:$H$65)-COUNTBLANK($H$2:$H$65),"",INDIRECT(ADDRESS(SMALL((IF($H$2:$H$65&lt;&gt;"",ROW($H$2:$H$65),ROW()+ROWS($H$2:$H$65))),ROW()-ROW($I$2:$I$65)+1),COLUMN($H$2:$H$65),4)))</f>
        <v/>
      </c>
      <c r="P45" s="183" t="str">
        <f t="array" aca="1" ref="P45" ca="1">IF(ROW()-ROW($J$2:$J$65)+1&gt;ROWS($I$2:$I$65)-COUNTBLANK($I$2:$I$65),"",INDIRECT(ADDRESS(SMALL((IF($I$2:$I$65&lt;&gt;"",ROW($I$2:$I$65),ROW()+ROWS($I$2:$I$65))),ROW()-ROW($J$2:$J$65)+1),COLUMN($I$2:$I$65),4)))</f>
        <v/>
      </c>
    </row>
    <row r="46" spans="4:16" x14ac:dyDescent="0.25">
      <c r="D46" s="144" t="s">
        <v>345</v>
      </c>
      <c r="E46" s="155" t="str">
        <f>IF(H46="","","2019")</f>
        <v/>
      </c>
      <c r="F46" s="155" t="str">
        <f t="shared" ref="F46:F51" si="15">IF(H46="","","i")</f>
        <v/>
      </c>
      <c r="G46" s="155" t="str">
        <f t="shared" si="10"/>
        <v/>
      </c>
      <c r="H46" s="184" t="str">
        <f>IF(A2="relevant",IF('Matrix-Kolon'!P23="","",IF(AND(ROUND('Matrix-Kolon'!P23,4)&lt;Berechnung2!$J$33,(ROUND('Matrix-Kolon'!P23,4))&gt;=0),Berechnung2!$L$33,"")),"")</f>
        <v/>
      </c>
      <c r="I46" s="235" t="str">
        <f>IF(H46="","",VLOOKUP(F46,Berechnung2!$I$15:$J$25,2,FALSE))</f>
        <v/>
      </c>
      <c r="J46" s="234" t="str">
        <f t="shared" si="2"/>
        <v/>
      </c>
      <c r="L46" s="94" t="str">
        <f t="array" aca="1" ref="L46" ca="1">IF(ROW()-ROW($F$2:$F$65)+1&gt;ROWS($E$2:$E$65)-COUNTBLANK($E$2:$E$65),"",INDIRECT(ADDRESS(SMALL((IF($E$2:$E$65&gt;"",ROW($E$2:$E$65),ROW()+ROWS($E$2:$E$65))),ROW()-ROW($F$2:$F$65)+1),COLUMN($E$2:$E$65),4)))</f>
        <v/>
      </c>
      <c r="M46" s="94" t="str">
        <f t="array" aca="1" ref="M46" ca="1">IF(ROW()-ROW($G$2:$G$65)+1&gt;ROWS($F$2:$F$65)-COUNTBLANK($F$2:$F$65),"",INDIRECT(ADDRESS(SMALL((IF($F$2:$F$65&lt;&gt;"",ROW($F$2:$F$65),ROW()+ROWS($F$2:$F$65))),ROW()-ROW($G$2:$G$65)+1),COLUMN($F$2:$F$65),4)))</f>
        <v/>
      </c>
      <c r="N46" s="94" t="str">
        <f t="array" aca="1" ref="N46" ca="1">IF(ROW()-ROW($H$2:$H$65)+1&gt;ROWS($G$2:$G$65)-COUNTBLANK($G$2:$G$65),"",INDIRECT(ADDRESS(SMALL((IF($G$2:$G$65&lt;&gt;"",ROW($G$2:$G$65),ROW()+ROWS($G$2:$G$65))),ROW()-ROW($H$2:$H$65)+1),COLUMN($G$2:$G$65),4)))</f>
        <v/>
      </c>
      <c r="O46" s="183" t="str">
        <f t="array" aca="1" ref="O46" ca="1">IF(ROW()-ROW($I$2:$I$65)+1&gt;ROWS($H$2:$H$65)-COUNTBLANK($H$2:$H$65),"",INDIRECT(ADDRESS(SMALL((IF($H$2:$H$65&lt;&gt;"",ROW($H$2:$H$65),ROW()+ROWS($H$2:$H$65))),ROW()-ROW($I$2:$I$65)+1),COLUMN($H$2:$H$65),4)))</f>
        <v/>
      </c>
      <c r="P46" s="183" t="str">
        <f t="array" aca="1" ref="P46" ca="1">IF(ROW()-ROW($J$2:$J$65)+1&gt;ROWS($I$2:$I$65)-COUNTBLANK($I$2:$I$65),"",INDIRECT(ADDRESS(SMALL((IF($I$2:$I$65&lt;&gt;"",ROW($I$2:$I$65),ROW()+ROWS($I$2:$I$65))),ROW()-ROW($J$2:$J$65)+1),COLUMN($I$2:$I$65),4)))</f>
        <v/>
      </c>
    </row>
    <row r="47" spans="4:16" x14ac:dyDescent="0.25">
      <c r="D47" s="964" t="s">
        <v>391</v>
      </c>
      <c r="E47" s="34" t="str">
        <f>IF(H47="","","2020")</f>
        <v/>
      </c>
      <c r="F47" s="34" t="str">
        <f t="shared" si="15"/>
        <v/>
      </c>
      <c r="G47" s="34" t="str">
        <f t="shared" si="10"/>
        <v/>
      </c>
      <c r="H47" s="172" t="str">
        <f>IF(A3="relevant",IF('Matrix-Kolon'!P24="","",IF(AND(ROUND('Matrix-Kolon'!P24,4)&lt;Berechnung2!$J$33,(ROUND('Matrix-Kolon'!P24,4))&gt;=0),Berechnung2!$L$33,"")),"")</f>
        <v/>
      </c>
      <c r="I47" s="171" t="str">
        <f>IF(H47="","",VLOOKUP(F47,Berechnung2!$I$15:$J$25,2,FALSE))</f>
        <v/>
      </c>
      <c r="J47" s="233" t="str">
        <f t="shared" si="2"/>
        <v/>
      </c>
      <c r="L47" s="94" t="str">
        <f t="array" aca="1" ref="L47" ca="1">IF(ROW()-ROW($F$2:$F$65)+1&gt;ROWS($E$2:$E$65)-COUNTBLANK($E$2:$E$65),"",INDIRECT(ADDRESS(SMALL((IF($E$2:$E$65&gt;"",ROW($E$2:$E$65),ROW()+ROWS($E$2:$E$65))),ROW()-ROW($F$2:$F$65)+1),COLUMN($E$2:$E$65),4)))</f>
        <v/>
      </c>
      <c r="M47" s="94" t="str">
        <f t="array" aca="1" ref="M47" ca="1">IF(ROW()-ROW($G$2:$G$65)+1&gt;ROWS($F$2:$F$65)-COUNTBLANK($F$2:$F$65),"",INDIRECT(ADDRESS(SMALL((IF($F$2:$F$65&lt;&gt;"",ROW($F$2:$F$65),ROW()+ROWS($F$2:$F$65))),ROW()-ROW($G$2:$G$65)+1),COLUMN($F$2:$F$65),4)))</f>
        <v/>
      </c>
      <c r="N47" s="94" t="str">
        <f t="array" aca="1" ref="N47" ca="1">IF(ROW()-ROW($H$2:$H$65)+1&gt;ROWS($G$2:$G$65)-COUNTBLANK($G$2:$G$65),"",INDIRECT(ADDRESS(SMALL((IF($G$2:$G$65&lt;&gt;"",ROW($G$2:$G$65),ROW()+ROWS($G$2:$G$65))),ROW()-ROW($H$2:$H$65)+1),COLUMN($G$2:$G$65),4)))</f>
        <v/>
      </c>
      <c r="O47" s="183" t="str">
        <f t="array" aca="1" ref="O47" ca="1">IF(ROW()-ROW($I$2:$I$65)+1&gt;ROWS($H$2:$H$65)-COUNTBLANK($H$2:$H$65),"",INDIRECT(ADDRESS(SMALL((IF($H$2:$H$65&lt;&gt;"",ROW($H$2:$H$65),ROW()+ROWS($H$2:$H$65))),ROW()-ROW($I$2:$I$65)+1),COLUMN($H$2:$H$65),4)))</f>
        <v/>
      </c>
      <c r="P47" s="183" t="str">
        <f t="array" aca="1" ref="P47" ca="1">IF(ROW()-ROW($J$2:$J$65)+1&gt;ROWS($I$2:$I$65)-COUNTBLANK($I$2:$I$65),"",INDIRECT(ADDRESS(SMALL((IF($I$2:$I$65&lt;&gt;"",ROW($I$2:$I$65),ROW()+ROWS($I$2:$I$65))),ROW()-ROW($J$2:$J$65)+1),COLUMN($I$2:$I$65),4)))</f>
        <v/>
      </c>
    </row>
    <row r="48" spans="4:16" x14ac:dyDescent="0.25">
      <c r="D48" s="964"/>
      <c r="E48" s="34" t="str">
        <f>IF(H48="","","2021")</f>
        <v/>
      </c>
      <c r="F48" s="34" t="str">
        <f t="shared" si="15"/>
        <v/>
      </c>
      <c r="G48" s="34" t="str">
        <f t="shared" si="10"/>
        <v/>
      </c>
      <c r="H48" s="172" t="str">
        <f>IF(A4="relevant",IF('Matrix-Kolon'!P25="","",IF(AND(ROUND('Matrix-Kolon'!P25,4)&lt;Berechnung2!$J$33,(ROUND('Matrix-Kolon'!P25,4))&gt;=0),Berechnung2!$L$33,"")),"")</f>
        <v/>
      </c>
      <c r="I48" s="171" t="str">
        <f>IF(H48="","",VLOOKUP(F48,Berechnung2!$I$15:$J$25,2,FALSE))</f>
        <v/>
      </c>
      <c r="J48" s="233" t="str">
        <f t="shared" si="2"/>
        <v/>
      </c>
      <c r="L48" s="94" t="str">
        <f t="array" aca="1" ref="L48" ca="1">IF(ROW()-ROW($F$2:$F$65)+1&gt;ROWS($E$2:$E$65)-COUNTBLANK($E$2:$E$65),"",INDIRECT(ADDRESS(SMALL((IF($E$2:$E$65&gt;"",ROW($E$2:$E$65),ROW()+ROWS($E$2:$E$65))),ROW()-ROW($F$2:$F$65)+1),COLUMN($E$2:$E$65),4)))</f>
        <v/>
      </c>
      <c r="M48" s="94" t="str">
        <f t="array" aca="1" ref="M48" ca="1">IF(ROW()-ROW($G$2:$G$65)+1&gt;ROWS($F$2:$F$65)-COUNTBLANK($F$2:$F$65),"",INDIRECT(ADDRESS(SMALL((IF($F$2:$F$65&lt;&gt;"",ROW($F$2:$F$65),ROW()+ROWS($F$2:$F$65))),ROW()-ROW($G$2:$G$65)+1),COLUMN($F$2:$F$65),4)))</f>
        <v/>
      </c>
      <c r="N48" s="94" t="str">
        <f t="array" aca="1" ref="N48" ca="1">IF(ROW()-ROW($H$2:$H$65)+1&gt;ROWS($G$2:$G$65)-COUNTBLANK($G$2:$G$65),"",INDIRECT(ADDRESS(SMALL((IF($G$2:$G$65&lt;&gt;"",ROW($G$2:$G$65),ROW()+ROWS($G$2:$G$65))),ROW()-ROW($H$2:$H$65)+1),COLUMN($G$2:$G$65),4)))</f>
        <v/>
      </c>
      <c r="O48" s="183" t="str">
        <f t="array" aca="1" ref="O48" ca="1">IF(ROW()-ROW($I$2:$I$65)+1&gt;ROWS($H$2:$H$65)-COUNTBLANK($H$2:$H$65),"",INDIRECT(ADDRESS(SMALL((IF($H$2:$H$65&lt;&gt;"",ROW($H$2:$H$65),ROW()+ROWS($H$2:$H$65))),ROW()-ROW($I$2:$I$65)+1),COLUMN($H$2:$H$65),4)))</f>
        <v/>
      </c>
      <c r="P48" s="183" t="str">
        <f t="array" aca="1" ref="P48" ca="1">IF(ROW()-ROW($J$2:$J$65)+1&gt;ROWS($I$2:$I$65)-COUNTBLANK($I$2:$I$65),"",INDIRECT(ADDRESS(SMALL((IF($I$2:$I$65&lt;&gt;"",ROW($I$2:$I$65),ROW()+ROWS($I$2:$I$65))),ROW()-ROW($J$2:$J$65)+1),COLUMN($I$2:$I$65),4)))</f>
        <v/>
      </c>
    </row>
    <row r="49" spans="4:16" x14ac:dyDescent="0.25">
      <c r="D49" s="964"/>
      <c r="E49" s="34" t="str">
        <f>IF(H49="","","2022")</f>
        <v/>
      </c>
      <c r="F49" s="34" t="str">
        <f t="shared" si="15"/>
        <v/>
      </c>
      <c r="G49" s="34" t="str">
        <f t="shared" si="10"/>
        <v/>
      </c>
      <c r="H49" s="172" t="str">
        <f>IF(A5="relevant",IF('Matrix-Kolon'!P26="","",IF(AND(ROUND('Matrix-Kolon'!P26,4)&lt;Berechnung2!$J$33,(ROUND('Matrix-Kolon'!P26,4))&gt;=0),Berechnung2!$L$33,"")),"")</f>
        <v/>
      </c>
      <c r="I49" s="171" t="str">
        <f>IF(H49="","",VLOOKUP(F49,Berechnung2!$I$15:$J$25,2,FALSE))</f>
        <v/>
      </c>
      <c r="J49" s="233" t="str">
        <f t="shared" si="2"/>
        <v/>
      </c>
      <c r="L49" s="94" t="str">
        <f t="array" aca="1" ref="L49" ca="1">IF(ROW()-ROW($F$2:$F$65)+1&gt;ROWS($E$2:$E$65)-COUNTBLANK($E$2:$E$65),"",INDIRECT(ADDRESS(SMALL((IF($E$2:$E$65&gt;"",ROW($E$2:$E$65),ROW()+ROWS($E$2:$E$65))),ROW()-ROW($F$2:$F$65)+1),COLUMN($E$2:$E$65),4)))</f>
        <v/>
      </c>
      <c r="M49" s="94" t="str">
        <f t="array" aca="1" ref="M49" ca="1">IF(ROW()-ROW($G$2:$G$65)+1&gt;ROWS($F$2:$F$65)-COUNTBLANK($F$2:$F$65),"",INDIRECT(ADDRESS(SMALL((IF($F$2:$F$65&lt;&gt;"",ROW($F$2:$F$65),ROW()+ROWS($F$2:$F$65))),ROW()-ROW($G$2:$G$65)+1),COLUMN($F$2:$F$65),4)))</f>
        <v/>
      </c>
      <c r="N49" s="94" t="str">
        <f t="array" aca="1" ref="N49" ca="1">IF(ROW()-ROW($H$2:$H$65)+1&gt;ROWS($G$2:$G$65)-COUNTBLANK($G$2:$G$65),"",INDIRECT(ADDRESS(SMALL((IF($G$2:$G$65&lt;&gt;"",ROW($G$2:$G$65),ROW()+ROWS($G$2:$G$65))),ROW()-ROW($H$2:$H$65)+1),COLUMN($G$2:$G$65),4)))</f>
        <v/>
      </c>
      <c r="O49" s="183" t="str">
        <f t="array" aca="1" ref="O49" ca="1">IF(ROW()-ROW($I$2:$I$65)+1&gt;ROWS($H$2:$H$65)-COUNTBLANK($H$2:$H$65),"",INDIRECT(ADDRESS(SMALL((IF($H$2:$H$65&lt;&gt;"",ROW($H$2:$H$65),ROW()+ROWS($H$2:$H$65))),ROW()-ROW($I$2:$I$65)+1),COLUMN($H$2:$H$65),4)))</f>
        <v/>
      </c>
      <c r="P49" s="183" t="str">
        <f t="array" aca="1" ref="P49" ca="1">IF(ROW()-ROW($J$2:$J$65)+1&gt;ROWS($I$2:$I$65)-COUNTBLANK($I$2:$I$65),"",INDIRECT(ADDRESS(SMALL((IF($I$2:$I$65&lt;&gt;"",ROW($I$2:$I$65),ROW()+ROWS($I$2:$I$65))),ROW()-ROW($J$2:$J$65)+1),COLUMN($I$2:$I$65),4)))</f>
        <v/>
      </c>
    </row>
    <row r="50" spans="4:16" x14ac:dyDescent="0.25">
      <c r="D50" s="964"/>
      <c r="E50" s="34" t="str">
        <f>IF(H50="","","2023")</f>
        <v/>
      </c>
      <c r="F50" s="34" t="str">
        <f t="shared" si="15"/>
        <v/>
      </c>
      <c r="G50" s="34" t="str">
        <f t="shared" si="10"/>
        <v/>
      </c>
      <c r="H50" s="172" t="str">
        <f>IF(A6="relevant",IF('Matrix-Kolon'!P27="","",IF(AND(ROUND('Matrix-Kolon'!P27,4)&lt;Berechnung2!$J$33,(ROUND('Matrix-Kolon'!P27,4))&gt;=0),Berechnung2!$L$33,"")),"")</f>
        <v/>
      </c>
      <c r="I50" s="171" t="str">
        <f>IF(H50="","",VLOOKUP(F50,Berechnung2!$I$15:$J$25,2,FALSE))</f>
        <v/>
      </c>
      <c r="J50" s="233" t="str">
        <f t="shared" si="2"/>
        <v/>
      </c>
      <c r="L50" s="94" t="str">
        <f t="array" aca="1" ref="L50" ca="1">IF(ROW()-ROW($F$2:$F$65)+1&gt;ROWS($E$2:$E$65)-COUNTBLANK($E$2:$E$65),"",INDIRECT(ADDRESS(SMALL((IF($E$2:$E$65&gt;"",ROW($E$2:$E$65),ROW()+ROWS($E$2:$E$65))),ROW()-ROW($F$2:$F$65)+1),COLUMN($E$2:$E$65),4)))</f>
        <v/>
      </c>
      <c r="M50" s="94" t="str">
        <f t="array" aca="1" ref="M50" ca="1">IF(ROW()-ROW($G$2:$G$65)+1&gt;ROWS($F$2:$F$65)-COUNTBLANK($F$2:$F$65),"",INDIRECT(ADDRESS(SMALL((IF($F$2:$F$65&lt;&gt;"",ROW($F$2:$F$65),ROW()+ROWS($F$2:$F$65))),ROW()-ROW($G$2:$G$65)+1),COLUMN($F$2:$F$65),4)))</f>
        <v/>
      </c>
      <c r="N50" s="94" t="str">
        <f t="array" aca="1" ref="N50" ca="1">IF(ROW()-ROW($H$2:$H$65)+1&gt;ROWS($G$2:$G$65)-COUNTBLANK($G$2:$G$65),"",INDIRECT(ADDRESS(SMALL((IF($G$2:$G$65&lt;&gt;"",ROW($G$2:$G$65),ROW()+ROWS($G$2:$G$65))),ROW()-ROW($H$2:$H$65)+1),COLUMN($G$2:$G$65),4)))</f>
        <v/>
      </c>
      <c r="O50" s="183" t="str">
        <f t="array" aca="1" ref="O50" ca="1">IF(ROW()-ROW($I$2:$I$65)+1&gt;ROWS($H$2:$H$65)-COUNTBLANK($H$2:$H$65),"",INDIRECT(ADDRESS(SMALL((IF($H$2:$H$65&lt;&gt;"",ROW($H$2:$H$65),ROW()+ROWS($H$2:$H$65))),ROW()-ROW($I$2:$I$65)+1),COLUMN($H$2:$H$65),4)))</f>
        <v/>
      </c>
      <c r="P50" s="183" t="str">
        <f t="array" aca="1" ref="P50" ca="1">IF(ROW()-ROW($J$2:$J$65)+1&gt;ROWS($I$2:$I$65)-COUNTBLANK($I$2:$I$65),"",INDIRECT(ADDRESS(SMALL((IF($I$2:$I$65&lt;&gt;"",ROW($I$2:$I$65),ROW()+ROWS($I$2:$I$65))),ROW()-ROW($J$2:$J$65)+1),COLUMN($I$2:$I$65),4)))</f>
        <v/>
      </c>
    </row>
    <row r="51" spans="4:16" x14ac:dyDescent="0.25">
      <c r="D51" s="466" t="s">
        <v>233</v>
      </c>
      <c r="E51" s="240" t="str">
        <f>IF(H51="","","2024")</f>
        <v/>
      </c>
      <c r="F51" s="240" t="str">
        <f t="shared" si="15"/>
        <v/>
      </c>
      <c r="G51" s="240" t="str">
        <f t="shared" si="10"/>
        <v/>
      </c>
      <c r="H51" s="238"/>
      <c r="I51" s="241" t="str">
        <f>IF(H51="","",VLOOKUP(F51,Berechnung2!$I$15:$J$25,2,FALSE))</f>
        <v/>
      </c>
      <c r="J51" s="242" t="str">
        <f t="shared" si="2"/>
        <v/>
      </c>
      <c r="L51" s="94" t="str">
        <f t="array" aca="1" ref="L51" ca="1">IF(ROW()-ROW($F$2:$F$65)+1&gt;ROWS($E$2:$E$65)-COUNTBLANK($E$2:$E$65),"",INDIRECT(ADDRESS(SMALL((IF($E$2:$E$65&gt;"",ROW($E$2:$E$65),ROW()+ROWS($E$2:$E$65))),ROW()-ROW($F$2:$F$65)+1),COLUMN($E$2:$E$65),4)))</f>
        <v/>
      </c>
      <c r="M51" s="94" t="str">
        <f t="array" aca="1" ref="M51" ca="1">IF(ROW()-ROW($G$2:$G$65)+1&gt;ROWS($F$2:$F$65)-COUNTBLANK($F$2:$F$65),"",INDIRECT(ADDRESS(SMALL((IF($F$2:$F$65&lt;&gt;"",ROW($F$2:$F$65),ROW()+ROWS($F$2:$F$65))),ROW()-ROW($G$2:$G$65)+1),COLUMN($F$2:$F$65),4)))</f>
        <v/>
      </c>
      <c r="N51" s="94" t="str">
        <f t="array" aca="1" ref="N51" ca="1">IF(ROW()-ROW($H$2:$H$65)+1&gt;ROWS($G$2:$G$65)-COUNTBLANK($G$2:$G$65),"",INDIRECT(ADDRESS(SMALL((IF($G$2:$G$65&lt;&gt;"",ROW($G$2:$G$65),ROW()+ROWS($G$2:$G$65))),ROW()-ROW($H$2:$H$65)+1),COLUMN($G$2:$G$65),4)))</f>
        <v/>
      </c>
      <c r="O51" s="183" t="str">
        <f t="array" aca="1" ref="O51" ca="1">IF(ROW()-ROW($I$2:$I$65)+1&gt;ROWS($H$2:$H$65)-COUNTBLANK($H$2:$H$65),"",INDIRECT(ADDRESS(SMALL((IF($H$2:$H$65&lt;&gt;"",ROW($H$2:$H$65),ROW()+ROWS($H$2:$H$65))),ROW()-ROW($I$2:$I$65)+1),COLUMN($H$2:$H$65),4)))</f>
        <v/>
      </c>
      <c r="P51" s="183" t="str">
        <f t="array" aca="1" ref="P51" ca="1">IF(ROW()-ROW($J$2:$J$65)+1&gt;ROWS($I$2:$I$65)-COUNTBLANK($I$2:$I$65),"",INDIRECT(ADDRESS(SMALL((IF($I$2:$I$65&lt;&gt;"",ROW($I$2:$I$65),ROW()+ROWS($I$2:$I$65))),ROW()-ROW($J$2:$J$65)+1),COLUMN($I$2:$I$65),4)))</f>
        <v/>
      </c>
    </row>
    <row r="52" spans="4:16" ht="12" thickBot="1" x14ac:dyDescent="0.3">
      <c r="D52" s="459"/>
      <c r="E52" s="240" t="str">
        <f>IF(H52="","","2025")</f>
        <v/>
      </c>
      <c r="F52" s="240" t="str">
        <f t="shared" ref="F52" si="16">IF(H52="","","i")</f>
        <v/>
      </c>
      <c r="G52" s="240" t="str">
        <f t="shared" ref="G52" si="17">IF(H52="","","6")</f>
        <v/>
      </c>
      <c r="H52" s="238"/>
      <c r="I52" s="241" t="str">
        <f>IF(H52="","",VLOOKUP(F52,Berechnung2!$I$15:$J$25,2,FALSE))</f>
        <v/>
      </c>
      <c r="J52" s="242" t="str">
        <f t="shared" ref="J52" si="18">IF(H52&lt;&gt;"",1,"")</f>
        <v/>
      </c>
      <c r="L52" s="94" t="str">
        <f t="array" aca="1" ref="L52" ca="1">IF(ROW()-ROW($F$2:$F$65)+1&gt;ROWS($E$2:$E$65)-COUNTBLANK($E$2:$E$65),"",INDIRECT(ADDRESS(SMALL((IF($E$2:$E$65&gt;"",ROW($E$2:$E$65),ROW()+ROWS($E$2:$E$65))),ROW()-ROW($F$2:$F$65)+1),COLUMN($E$2:$E$65),4)))</f>
        <v/>
      </c>
      <c r="M52" s="94" t="str">
        <f t="array" aca="1" ref="M52" ca="1">IF(ROW()-ROW($G$2:$G$65)+1&gt;ROWS($F$2:$F$65)-COUNTBLANK($F$2:$F$65),"",INDIRECT(ADDRESS(SMALL((IF($F$2:$F$65&lt;&gt;"",ROW($F$2:$F$65),ROW()+ROWS($F$2:$F$65))),ROW()-ROW($G$2:$G$65)+1),COLUMN($F$2:$F$65),4)))</f>
        <v/>
      </c>
      <c r="N52" s="94" t="str">
        <f t="array" aca="1" ref="N52" ca="1">IF(ROW()-ROW($H$2:$H$65)+1&gt;ROWS($G$2:$G$65)-COUNTBLANK($G$2:$G$65),"",INDIRECT(ADDRESS(SMALL((IF($G$2:$G$65&lt;&gt;"",ROW($G$2:$G$65),ROW()+ROWS($G$2:$G$65))),ROW()-ROW($H$2:$H$65)+1),COLUMN($G$2:$G$65),4)))</f>
        <v/>
      </c>
      <c r="O52" s="183" t="str">
        <f t="array" aca="1" ref="O52" ca="1">IF(ROW()-ROW($I$2:$I$65)+1&gt;ROWS($H$2:$H$65)-COUNTBLANK($H$2:$H$65),"",INDIRECT(ADDRESS(SMALL((IF($H$2:$H$65&lt;&gt;"",ROW($H$2:$H$65),ROW()+ROWS($H$2:$H$65))),ROW()-ROW($I$2:$I$65)+1),COLUMN($H$2:$H$65),4)))</f>
        <v/>
      </c>
      <c r="P52" s="183" t="str">
        <f t="array" aca="1" ref="P52" ca="1">IF(ROW()-ROW($J$2:$J$65)+1&gt;ROWS($I$2:$I$65)-COUNTBLANK($I$2:$I$65),"",INDIRECT(ADDRESS(SMALL((IF($I$2:$I$65&lt;&gt;"",ROW($I$2:$I$65),ROW()+ROWS($I$2:$I$65))),ROW()-ROW($J$2:$J$65)+1),COLUMN($I$2:$I$65),4)))</f>
        <v/>
      </c>
    </row>
    <row r="53" spans="4:16" x14ac:dyDescent="0.25">
      <c r="D53" s="144" t="s">
        <v>345</v>
      </c>
      <c r="E53" s="155" t="str">
        <f>IF(H53="","","2019")</f>
        <v/>
      </c>
      <c r="F53" s="155" t="str">
        <f t="shared" ref="F53:F57" si="19">IF(H53="","","j")</f>
        <v/>
      </c>
      <c r="G53" s="155" t="str">
        <f t="shared" si="10"/>
        <v/>
      </c>
      <c r="H53" s="184" t="str">
        <f>IF(A2="relevant",IF('Matrix-Kolon'!Y23="","",IF(AND(ROUND('Matrix-Kolon'!Y23,4)&gt;=Berechnung2!E47,ROUND('Matrix-Kolon'!Y23,4)&lt;=Berechnung2!G47),Berechnung2!L47,IF(ROUND('Matrix-Kolon'!Y23,4)&gt;Berechnung2!J47,Berechnung2!M47,""))),"")</f>
        <v/>
      </c>
      <c r="I53" s="235" t="str">
        <f>IF(H53="","",VLOOKUP(F53,Berechnung2!$I$15:$J$25,2,FALSE))</f>
        <v/>
      </c>
      <c r="J53" s="234" t="str">
        <f t="shared" si="2"/>
        <v/>
      </c>
      <c r="L53" s="94" t="str">
        <f t="array" aca="1" ref="L53" ca="1">IF(ROW()-ROW($F$2:$F$65)+1&gt;ROWS($E$2:$E$65)-COUNTBLANK($E$2:$E$65),"",INDIRECT(ADDRESS(SMALL((IF($E$2:$E$65&gt;"",ROW($E$2:$E$65),ROW()+ROWS($E$2:$E$65))),ROW()-ROW($F$2:$F$65)+1),COLUMN($E$2:$E$65),4)))</f>
        <v/>
      </c>
      <c r="M53" s="94" t="str">
        <f t="array" aca="1" ref="M53" ca="1">IF(ROW()-ROW($G$2:$G$65)+1&gt;ROWS($F$2:$F$65)-COUNTBLANK($F$2:$F$65),"",INDIRECT(ADDRESS(SMALL((IF($F$2:$F$65&lt;&gt;"",ROW($F$2:$F$65),ROW()+ROWS($F$2:$F$65))),ROW()-ROW($G$2:$G$65)+1),COLUMN($F$2:$F$65),4)))</f>
        <v/>
      </c>
      <c r="N53" s="94" t="str">
        <f t="array" aca="1" ref="N53" ca="1">IF(ROW()-ROW($H$2:$H$65)+1&gt;ROWS($G$2:$G$65)-COUNTBLANK($G$2:$G$65),"",INDIRECT(ADDRESS(SMALL((IF($G$2:$G$65&lt;&gt;"",ROW($G$2:$G$65),ROW()+ROWS($G$2:$G$65))),ROW()-ROW($H$2:$H$65)+1),COLUMN($G$2:$G$65),4)))</f>
        <v/>
      </c>
      <c r="O53" s="183" t="str">
        <f t="array" aca="1" ref="O53" ca="1">IF(ROW()-ROW($I$2:$I$65)+1&gt;ROWS($H$2:$H$65)-COUNTBLANK($H$2:$H$65),"",INDIRECT(ADDRESS(SMALL((IF($H$2:$H$65&lt;&gt;"",ROW($H$2:$H$65),ROW()+ROWS($H$2:$H$65))),ROW()-ROW($I$2:$I$65)+1),COLUMN($H$2:$H$65),4)))</f>
        <v/>
      </c>
      <c r="P53" s="183" t="str">
        <f t="array" aca="1" ref="P53" ca="1">IF(ROW()-ROW($J$2:$J$65)+1&gt;ROWS($I$2:$I$65)-COUNTBLANK($I$2:$I$65),"",INDIRECT(ADDRESS(SMALL((IF($I$2:$I$65&lt;&gt;"",ROW($I$2:$I$65),ROW()+ROWS($I$2:$I$65))),ROW()-ROW($J$2:$J$65)+1),COLUMN($I$2:$I$65),4)))</f>
        <v/>
      </c>
    </row>
    <row r="54" spans="4:16" x14ac:dyDescent="0.25">
      <c r="D54" s="962" t="s">
        <v>396</v>
      </c>
      <c r="E54" s="34" t="str">
        <f>IF(H54="","","2020")</f>
        <v/>
      </c>
      <c r="F54" s="34" t="str">
        <f t="shared" si="19"/>
        <v/>
      </c>
      <c r="G54" s="34" t="str">
        <f t="shared" si="10"/>
        <v/>
      </c>
      <c r="H54" s="172" t="str">
        <f>IF(A3="relevant",IF('Matrix-Kolon'!Y24="","",IF(AND(ROUND('Matrix-Kolon'!Y24,4)&gt;=Berechnung2!E48,ROUND('Matrix-Kolon'!Y24,4)&lt;=Berechnung2!G48),Berechnung2!L48,IF(ROUND('Matrix-Kolon'!Y24,4)&gt;Berechnung2!J48,Berechnung2!M48,""))),"")</f>
        <v/>
      </c>
      <c r="I54" s="171" t="str">
        <f>IF(H54="","",VLOOKUP(F54,Berechnung2!$I$15:$J$25,2,FALSE))</f>
        <v/>
      </c>
      <c r="J54" s="233" t="str">
        <f t="shared" si="2"/>
        <v/>
      </c>
      <c r="L54" s="94" t="str">
        <f t="array" aca="1" ref="L54" ca="1">IF(ROW()-ROW($F$2:$F$65)+1&gt;ROWS($E$2:$E$65)-COUNTBLANK($E$2:$E$65),"",INDIRECT(ADDRESS(SMALL((IF($E$2:$E$65&gt;"",ROW($E$2:$E$65),ROW()+ROWS($E$2:$E$65))),ROW()-ROW($F$2:$F$65)+1),COLUMN($E$2:$E$65),4)))</f>
        <v/>
      </c>
      <c r="M54" s="94" t="str">
        <f t="array" aca="1" ref="M54" ca="1">IF(ROW()-ROW($G$2:$G$65)+1&gt;ROWS($F$2:$F$65)-COUNTBLANK($F$2:$F$65),"",INDIRECT(ADDRESS(SMALL((IF($F$2:$F$65&lt;&gt;"",ROW($F$2:$F$65),ROW()+ROWS($F$2:$F$65))),ROW()-ROW($G$2:$G$65)+1),COLUMN($F$2:$F$65),4)))</f>
        <v/>
      </c>
      <c r="N54" s="94" t="str">
        <f t="array" aca="1" ref="N54" ca="1">IF(ROW()-ROW($H$2:$H$65)+1&gt;ROWS($G$2:$G$65)-COUNTBLANK($G$2:$G$65),"",INDIRECT(ADDRESS(SMALL((IF($G$2:$G$65&lt;&gt;"",ROW($G$2:$G$65),ROW()+ROWS($G$2:$G$65))),ROW()-ROW($H$2:$H$65)+1),COLUMN($G$2:$G$65),4)))</f>
        <v/>
      </c>
      <c r="O54" s="183" t="str">
        <f t="array" aca="1" ref="O54" ca="1">IF(ROW()-ROW($I$2:$I$65)+1&gt;ROWS($H$2:$H$65)-COUNTBLANK($H$2:$H$65),"",INDIRECT(ADDRESS(SMALL((IF($H$2:$H$65&lt;&gt;"",ROW($H$2:$H$65),ROW()+ROWS($H$2:$H$65))),ROW()-ROW($I$2:$I$65)+1),COLUMN($H$2:$H$65),4)))</f>
        <v/>
      </c>
      <c r="P54" s="183" t="str">
        <f t="array" aca="1" ref="P54" ca="1">IF(ROW()-ROW($J$2:$J$65)+1&gt;ROWS($I$2:$I$65)-COUNTBLANK($I$2:$I$65),"",INDIRECT(ADDRESS(SMALL((IF($I$2:$I$65&lt;&gt;"",ROW($I$2:$I$65),ROW()+ROWS($I$2:$I$65))),ROW()-ROW($J$2:$J$65)+1),COLUMN($I$2:$I$65),4)))</f>
        <v/>
      </c>
    </row>
    <row r="55" spans="4:16" x14ac:dyDescent="0.25">
      <c r="D55" s="962"/>
      <c r="E55" s="34" t="str">
        <f>IF(H55="","","2021")</f>
        <v/>
      </c>
      <c r="F55" s="34" t="str">
        <f t="shared" si="19"/>
        <v/>
      </c>
      <c r="G55" s="34" t="str">
        <f t="shared" si="10"/>
        <v/>
      </c>
      <c r="H55" s="172" t="str">
        <f>IF(A4="relevant",IF('Matrix-Kolon'!Y25="","",IF(AND(ROUND('Matrix-Kolon'!Y25,4)&gt;=Berechnung2!E49,ROUND('Matrix-Kolon'!Y25,4)&lt;=Berechnung2!G49),Berechnung2!L49,IF(ROUND('Matrix-Kolon'!Y25,4)&gt;Berechnung2!J49,Berechnung2!M49,""))),"")</f>
        <v/>
      </c>
      <c r="I55" s="171" t="str">
        <f>IF(H55="","",VLOOKUP(F55,Berechnung2!$I$15:$J$25,2,FALSE))</f>
        <v/>
      </c>
      <c r="J55" s="233" t="str">
        <f t="shared" si="2"/>
        <v/>
      </c>
      <c r="L55" s="94" t="str">
        <f t="array" aca="1" ref="L55" ca="1">IF(ROW()-ROW($F$2:$F$65)+1&gt;ROWS($E$2:$E$65)-COUNTBLANK($E$2:$E$65),"",INDIRECT(ADDRESS(SMALL((IF($E$2:$E$65&gt;"",ROW($E$2:$E$65),ROW()+ROWS($E$2:$E$65))),ROW()-ROW($F$2:$F$65)+1),COLUMN($E$2:$E$65),4)))</f>
        <v/>
      </c>
      <c r="M55" s="94" t="str">
        <f t="array" aca="1" ref="M55" ca="1">IF(ROW()-ROW($G$2:$G$65)+1&gt;ROWS($F$2:$F$65)-COUNTBLANK($F$2:$F$65),"",INDIRECT(ADDRESS(SMALL((IF($F$2:$F$65&lt;&gt;"",ROW($F$2:$F$65),ROW()+ROWS($F$2:$F$65))),ROW()-ROW($G$2:$G$65)+1),COLUMN($F$2:$F$65),4)))</f>
        <v/>
      </c>
      <c r="N55" s="94" t="str">
        <f t="array" aca="1" ref="N55" ca="1">IF(ROW()-ROW($H$2:$H$65)+1&gt;ROWS($G$2:$G$65)-COUNTBLANK($G$2:$G$65),"",INDIRECT(ADDRESS(SMALL((IF($G$2:$G$65&lt;&gt;"",ROW($G$2:$G$65),ROW()+ROWS($G$2:$G$65))),ROW()-ROW($H$2:$H$65)+1),COLUMN($G$2:$G$65),4)))</f>
        <v/>
      </c>
      <c r="O55" s="183" t="str">
        <f t="array" aca="1" ref="O55" ca="1">IF(ROW()-ROW($I$2:$I$65)+1&gt;ROWS($H$2:$H$65)-COUNTBLANK($H$2:$H$65),"",INDIRECT(ADDRESS(SMALL((IF($H$2:$H$65&lt;&gt;"",ROW($H$2:$H$65),ROW()+ROWS($H$2:$H$65))),ROW()-ROW($I$2:$I$65)+1),COLUMN($H$2:$H$65),4)))</f>
        <v/>
      </c>
      <c r="P55" s="183" t="str">
        <f t="array" aca="1" ref="P55" ca="1">IF(ROW()-ROW($J$2:$J$65)+1&gt;ROWS($I$2:$I$65)-COUNTBLANK($I$2:$I$65),"",INDIRECT(ADDRESS(SMALL((IF($I$2:$I$65&lt;&gt;"",ROW($I$2:$I$65),ROW()+ROWS($I$2:$I$65))),ROW()-ROW($J$2:$J$65)+1),COLUMN($I$2:$I$65),4)))</f>
        <v/>
      </c>
    </row>
    <row r="56" spans="4:16" x14ac:dyDescent="0.25">
      <c r="D56" s="962"/>
      <c r="E56" s="34" t="str">
        <f>IF(H56="","","2022")</f>
        <v/>
      </c>
      <c r="F56" s="34" t="str">
        <f t="shared" si="19"/>
        <v/>
      </c>
      <c r="G56" s="34" t="str">
        <f t="shared" si="10"/>
        <v/>
      </c>
      <c r="H56" s="172" t="str">
        <f>IF(A5="relevant",IF('Matrix-Kolon'!Y26="","",IF(AND(ROUND('Matrix-Kolon'!Y26,4)&gt;=Berechnung2!E50,ROUND('Matrix-Kolon'!Y26,4)&lt;=Berechnung2!G50),Berechnung2!L50,IF(ROUND('Matrix-Kolon'!Y26,4)&gt;Berechnung2!J50,Berechnung2!M50,""))),"")</f>
        <v/>
      </c>
      <c r="I56" s="171" t="str">
        <f>IF(H56="","",VLOOKUP(F56,Berechnung2!$I$15:$J$25,2,FALSE))</f>
        <v/>
      </c>
      <c r="J56" s="233" t="str">
        <f t="shared" si="2"/>
        <v/>
      </c>
      <c r="L56" s="94" t="str">
        <f t="array" aca="1" ref="L56" ca="1">IF(ROW()-ROW($F$2:$F$65)+1&gt;ROWS($E$2:$E$65)-COUNTBLANK($E$2:$E$65),"",INDIRECT(ADDRESS(SMALL((IF($E$2:$E$65&gt;"",ROW($E$2:$E$65),ROW()+ROWS($E$2:$E$65))),ROW()-ROW($F$2:$F$65)+1),COLUMN($E$2:$E$65),4)))</f>
        <v/>
      </c>
      <c r="M56" s="94" t="str">
        <f t="array" aca="1" ref="M56" ca="1">IF(ROW()-ROW($G$2:$G$65)+1&gt;ROWS($F$2:$F$65)-COUNTBLANK($F$2:$F$65),"",INDIRECT(ADDRESS(SMALL((IF($F$2:$F$65&lt;&gt;"",ROW($F$2:$F$65),ROW()+ROWS($F$2:$F$65))),ROW()-ROW($G$2:$G$65)+1),COLUMN($F$2:$F$65),4)))</f>
        <v/>
      </c>
      <c r="N56" s="94" t="str">
        <f t="array" aca="1" ref="N56" ca="1">IF(ROW()-ROW($H$2:$H$65)+1&gt;ROWS($G$2:$G$65)-COUNTBLANK($G$2:$G$65),"",INDIRECT(ADDRESS(SMALL((IF($G$2:$G$65&lt;&gt;"",ROW($G$2:$G$65),ROW()+ROWS($G$2:$G$65))),ROW()-ROW($H$2:$H$65)+1),COLUMN($G$2:$G$65),4)))</f>
        <v/>
      </c>
      <c r="O56" s="183" t="str">
        <f t="array" aca="1" ref="O56" ca="1">IF(ROW()-ROW($I$2:$I$65)+1&gt;ROWS($H$2:$H$65)-COUNTBLANK($H$2:$H$65),"",INDIRECT(ADDRESS(SMALL((IF($H$2:$H$65&lt;&gt;"",ROW($H$2:$H$65),ROW()+ROWS($H$2:$H$65))),ROW()-ROW($I$2:$I$65)+1),COLUMN($H$2:$H$65),4)))</f>
        <v/>
      </c>
      <c r="P56" s="183" t="str">
        <f t="array" aca="1" ref="P56" ca="1">IF(ROW()-ROW($J$2:$J$65)+1&gt;ROWS($I$2:$I$65)-COUNTBLANK($I$2:$I$65),"",INDIRECT(ADDRESS(SMALL((IF($I$2:$I$65&lt;&gt;"",ROW($I$2:$I$65),ROW()+ROWS($I$2:$I$65))),ROW()-ROW($J$2:$J$65)+1),COLUMN($I$2:$I$65),4)))</f>
        <v/>
      </c>
    </row>
    <row r="57" spans="4:16" x14ac:dyDescent="0.25">
      <c r="D57" s="962"/>
      <c r="E57" s="34" t="str">
        <f>IF(H57="","","2023")</f>
        <v/>
      </c>
      <c r="F57" s="34" t="str">
        <f t="shared" si="19"/>
        <v/>
      </c>
      <c r="G57" s="34" t="str">
        <f t="shared" si="10"/>
        <v/>
      </c>
      <c r="H57" s="172" t="str">
        <f>IF(A6="relevant",IF('Matrix-Kolon'!Y27="","",IF(AND(ROUND('Matrix-Kolon'!Y27,4)&gt;=Berechnung2!E51,ROUND('Matrix-Kolon'!Y27,4)&lt;=Berechnung2!G51),Berechnung2!L51,IF(ROUND('Matrix-Kolon'!Y27,4)&gt;Berechnung2!J51,Berechnung2!M51,""))),"")</f>
        <v/>
      </c>
      <c r="I57" s="171" t="str">
        <f>IF(H57="","",VLOOKUP(F57,Berechnung2!$I$15:$J$25,2,FALSE))</f>
        <v/>
      </c>
      <c r="J57" s="233" t="str">
        <f t="shared" si="2"/>
        <v/>
      </c>
      <c r="L57" s="94" t="str">
        <f t="array" aca="1" ref="L57" ca="1">IF(ROW()-ROW($F$2:$F$65)+1&gt;ROWS($E$2:$E$65)-COUNTBLANK($E$2:$E$65),"",INDIRECT(ADDRESS(SMALL((IF($E$2:$E$65&gt;"",ROW($E$2:$E$65),ROW()+ROWS($E$2:$E$65))),ROW()-ROW($F$2:$F$65)+1),COLUMN($E$2:$E$65),4)))</f>
        <v/>
      </c>
      <c r="M57" s="94" t="str">
        <f t="array" aca="1" ref="M57" ca="1">IF(ROW()-ROW($G$2:$G$65)+1&gt;ROWS($F$2:$F$65)-COUNTBLANK($F$2:$F$65),"",INDIRECT(ADDRESS(SMALL((IF($F$2:$F$65&lt;&gt;"",ROW($F$2:$F$65),ROW()+ROWS($F$2:$F$65))),ROW()-ROW($G$2:$G$65)+1),COLUMN($F$2:$F$65),4)))</f>
        <v/>
      </c>
      <c r="N57" s="94" t="str">
        <f t="array" aca="1" ref="N57" ca="1">IF(ROW()-ROW($H$2:$H$65)+1&gt;ROWS($G$2:$G$65)-COUNTBLANK($G$2:$G$65),"",INDIRECT(ADDRESS(SMALL((IF($G$2:$G$65&lt;&gt;"",ROW($G$2:$G$65),ROW()+ROWS($G$2:$G$65))),ROW()-ROW($H$2:$H$65)+1),COLUMN($G$2:$G$65),4)))</f>
        <v/>
      </c>
      <c r="O57" s="183" t="str">
        <f t="array" aca="1" ref="O57" ca="1">IF(ROW()-ROW($I$2:$I$65)+1&gt;ROWS($H$2:$H$65)-COUNTBLANK($H$2:$H$65),"",INDIRECT(ADDRESS(SMALL((IF($H$2:$H$65&lt;&gt;"",ROW($H$2:$H$65),ROW()+ROWS($H$2:$H$65))),ROW()-ROW($I$2:$I$65)+1),COLUMN($H$2:$H$65),4)))</f>
        <v/>
      </c>
      <c r="P57" s="183" t="str">
        <f t="array" aca="1" ref="P57" ca="1">IF(ROW()-ROW($J$2:$J$65)+1&gt;ROWS($I$2:$I$65)-COUNTBLANK($I$2:$I$65),"",INDIRECT(ADDRESS(SMALL((IF($I$2:$I$65&lt;&gt;"",ROW($I$2:$I$65),ROW()+ROWS($I$2:$I$65))),ROW()-ROW($J$2:$J$65)+1),COLUMN($I$2:$I$65),4)))</f>
        <v/>
      </c>
    </row>
    <row r="58" spans="4:16" x14ac:dyDescent="0.25">
      <c r="D58" s="466" t="s">
        <v>234</v>
      </c>
      <c r="E58" s="240"/>
      <c r="F58" s="240"/>
      <c r="G58" s="240"/>
      <c r="H58" s="238"/>
      <c r="I58" s="241"/>
      <c r="J58" s="242"/>
      <c r="L58" s="94" t="str">
        <f t="array" aca="1" ref="L58" ca="1">IF(ROW()-ROW($F$2:$F$65)+1&gt;ROWS($E$2:$E$65)-COUNTBLANK($E$2:$E$65),"",INDIRECT(ADDRESS(SMALL((IF($E$2:$E$65&gt;"",ROW($E$2:$E$65),ROW()+ROWS($E$2:$E$65))),ROW()-ROW($F$2:$F$65)+1),COLUMN($E$2:$E$65),4)))</f>
        <v/>
      </c>
      <c r="M58" s="94" t="str">
        <f t="array" aca="1" ref="M58" ca="1">IF(ROW()-ROW($G$2:$G$65)+1&gt;ROWS($F$2:$F$65)-COUNTBLANK($F$2:$F$65),"",INDIRECT(ADDRESS(SMALL((IF($F$2:$F$65&lt;&gt;"",ROW($F$2:$F$65),ROW()+ROWS($F$2:$F$65))),ROW()-ROW($G$2:$G$65)+1),COLUMN($F$2:$F$65),4)))</f>
        <v/>
      </c>
      <c r="N58" s="94" t="str">
        <f t="array" aca="1" ref="N58" ca="1">IF(ROW()-ROW($H$2:$H$65)+1&gt;ROWS($G$2:$G$65)-COUNTBLANK($G$2:$G$65),"",INDIRECT(ADDRESS(SMALL((IF($G$2:$G$65&lt;&gt;"",ROW($G$2:$G$65),ROW()+ROWS($G$2:$G$65))),ROW()-ROW($H$2:$H$65)+1),COLUMN($G$2:$G$65),4)))</f>
        <v/>
      </c>
      <c r="O58" s="183" t="str">
        <f t="array" aca="1" ref="O58" ca="1">IF(ROW()-ROW($I$2:$I$65)+1&gt;ROWS($H$2:$H$65)-COUNTBLANK($H$2:$H$65),"",INDIRECT(ADDRESS(SMALL((IF($H$2:$H$65&lt;&gt;"",ROW($H$2:$H$65),ROW()+ROWS($H$2:$H$65))),ROW()-ROW($I$2:$I$65)+1),COLUMN($H$2:$H$65),4)))</f>
        <v/>
      </c>
      <c r="P58" s="183" t="str">
        <f t="array" aca="1" ref="P58" ca="1">IF(ROW()-ROW($J$2:$J$65)+1&gt;ROWS($I$2:$I$65)-COUNTBLANK($I$2:$I$65),"",INDIRECT(ADDRESS(SMALL((IF($I$2:$I$65&lt;&gt;"",ROW($I$2:$I$65),ROW()+ROWS($I$2:$I$65))),ROW()-ROW($J$2:$J$65)+1),COLUMN($I$2:$I$65),4)))</f>
        <v/>
      </c>
    </row>
    <row r="59" spans="4:16" ht="12" thickBot="1" x14ac:dyDescent="0.3">
      <c r="D59" s="459"/>
      <c r="E59" s="240"/>
      <c r="F59" s="240"/>
      <c r="G59" s="240"/>
      <c r="H59" s="238"/>
      <c r="I59" s="241"/>
      <c r="J59" s="242"/>
      <c r="L59" s="94" t="str">
        <f t="array" aca="1" ref="L59" ca="1">IF(ROW()-ROW($F$2:$F$65)+1&gt;ROWS($E$2:$E$65)-COUNTBLANK($E$2:$E$65),"",INDIRECT(ADDRESS(SMALL((IF($E$2:$E$65&gt;"",ROW($E$2:$E$65),ROW()+ROWS($E$2:$E$65))),ROW()-ROW($F$2:$F$65)+1),COLUMN($E$2:$E$65),4)))</f>
        <v/>
      </c>
      <c r="M59" s="94" t="str">
        <f t="array" aca="1" ref="M59" ca="1">IF(ROW()-ROW($G$2:$G$65)+1&gt;ROWS($F$2:$F$65)-COUNTBLANK($F$2:$F$65),"",INDIRECT(ADDRESS(SMALL((IF($F$2:$F$65&lt;&gt;"",ROW($F$2:$F$65),ROW()+ROWS($F$2:$F$65))),ROW()-ROW($G$2:$G$65)+1),COLUMN($F$2:$F$65),4)))</f>
        <v/>
      </c>
      <c r="N59" s="94" t="str">
        <f t="array" aca="1" ref="N59" ca="1">IF(ROW()-ROW($H$2:$H$65)+1&gt;ROWS($G$2:$G$65)-COUNTBLANK($G$2:$G$65),"",INDIRECT(ADDRESS(SMALL((IF($G$2:$G$65&lt;&gt;"",ROW($G$2:$G$65),ROW()+ROWS($G$2:$G$65))),ROW()-ROW($H$2:$H$65)+1),COLUMN($G$2:$G$65),4)))</f>
        <v/>
      </c>
      <c r="O59" s="183" t="str">
        <f t="array" aca="1" ref="O59" ca="1">IF(ROW()-ROW($I$2:$I$65)+1&gt;ROWS($H$2:$H$65)-COUNTBLANK($H$2:$H$65),"",INDIRECT(ADDRESS(SMALL((IF($H$2:$H$65&lt;&gt;"",ROW($H$2:$H$65),ROW()+ROWS($H$2:$H$65))),ROW()-ROW($I$2:$I$65)+1),COLUMN($H$2:$H$65),4)))</f>
        <v/>
      </c>
      <c r="P59" s="183" t="str">
        <f t="array" aca="1" ref="P59" ca="1">IF(ROW()-ROW($J$2:$J$65)+1&gt;ROWS($I$2:$I$65)-COUNTBLANK($I$2:$I$65),"",INDIRECT(ADDRESS(SMALL((IF($I$2:$I$65&lt;&gt;"",ROW($I$2:$I$65),ROW()+ROWS($I$2:$I$65))),ROW()-ROW($J$2:$J$65)+1),COLUMN($I$2:$I$65),4)))</f>
        <v/>
      </c>
    </row>
    <row r="60" spans="4:16" x14ac:dyDescent="0.25">
      <c r="D60" s="144" t="s">
        <v>345</v>
      </c>
      <c r="E60" s="155" t="str">
        <f>IF(H60="","","2019")</f>
        <v/>
      </c>
      <c r="F60" s="155" t="str">
        <f t="shared" ref="F60:F64" si="20">IF(H60="","","k")</f>
        <v/>
      </c>
      <c r="G60" s="155" t="str">
        <f t="shared" si="10"/>
        <v/>
      </c>
      <c r="H60" s="184" t="str">
        <f>IF(A2="relevant",IF('Matrix-Kolon'!Z23="","",IF(AND(ROUND('Matrix-Kolon'!Z23,4)&gt;=Berechnung2!E56,ROUND('Matrix-Kolon'!Z23,4)&lt;=Berechnung2!G56),Berechnung2!L56,IF(ROUND('Matrix-Kolon'!Z23,4)&gt;Berechnung2!J56,Berechnung2!M56,""))),"")</f>
        <v/>
      </c>
      <c r="I60" s="235" t="str">
        <f>IF(H60="","",VLOOKUP(F60,Berechnung2!$I$15:$J$25,2,FALSE))</f>
        <v/>
      </c>
      <c r="J60" s="234" t="str">
        <f t="shared" si="2"/>
        <v/>
      </c>
      <c r="L60" s="94" t="str">
        <f t="array" aca="1" ref="L60" ca="1">IF(ROW()-ROW($F$2:$F$65)+1&gt;ROWS($E$2:$E$65)-COUNTBLANK($E$2:$E$65),"",INDIRECT(ADDRESS(SMALL((IF($E$2:$E$65&gt;"",ROW($E$2:$E$65),ROW()+ROWS($E$2:$E$65))),ROW()-ROW($F$2:$F$65)+1),COLUMN($E$2:$E$65),4)))</f>
        <v/>
      </c>
      <c r="M60" s="94" t="str">
        <f t="array" aca="1" ref="M60" ca="1">IF(ROW()-ROW($G$2:$G$65)+1&gt;ROWS($F$2:$F$65)-COUNTBLANK($F$2:$F$65),"",INDIRECT(ADDRESS(SMALL((IF($F$2:$F$65&lt;&gt;"",ROW($F$2:$F$65),ROW()+ROWS($F$2:$F$65))),ROW()-ROW($G$2:$G$65)+1),COLUMN($F$2:$F$65),4)))</f>
        <v/>
      </c>
      <c r="N60" s="94" t="str">
        <f t="array" aca="1" ref="N60" ca="1">IF(ROW()-ROW($H$2:$H$65)+1&gt;ROWS($G$2:$G$65)-COUNTBLANK($G$2:$G$65),"",INDIRECT(ADDRESS(SMALL((IF($G$2:$G$65&lt;&gt;"",ROW($G$2:$G$65),ROW()+ROWS($G$2:$G$65))),ROW()-ROW($H$2:$H$65)+1),COLUMN($G$2:$G$65),4)))</f>
        <v/>
      </c>
      <c r="O60" s="183" t="str">
        <f t="array" aca="1" ref="O60" ca="1">IF(ROW()-ROW($I$2:$I$65)+1&gt;ROWS($H$2:$H$65)-COUNTBLANK($H$2:$H$65),"",INDIRECT(ADDRESS(SMALL((IF($H$2:$H$65&lt;&gt;"",ROW($H$2:$H$65),ROW()+ROWS($H$2:$H$65))),ROW()-ROW($I$2:$I$65)+1),COLUMN($H$2:$H$65),4)))</f>
        <v/>
      </c>
      <c r="P60" s="183" t="str">
        <f t="array" aca="1" ref="P60" ca="1">IF(ROW()-ROW($J$2:$J$65)+1&gt;ROWS($I$2:$I$65)-COUNTBLANK($I$2:$I$65),"",INDIRECT(ADDRESS(SMALL((IF($I$2:$I$65&lt;&gt;"",ROW($I$2:$I$65),ROW()+ROWS($I$2:$I$65))),ROW()-ROW($J$2:$J$65)+1),COLUMN($I$2:$I$65),4)))</f>
        <v/>
      </c>
    </row>
    <row r="61" spans="4:16" x14ac:dyDescent="0.25">
      <c r="D61" s="962" t="s">
        <v>397</v>
      </c>
      <c r="E61" s="34" t="str">
        <f>IF(H61="","","2020")</f>
        <v/>
      </c>
      <c r="F61" s="34" t="str">
        <f t="shared" si="20"/>
        <v/>
      </c>
      <c r="G61" s="34" t="str">
        <f t="shared" si="10"/>
        <v/>
      </c>
      <c r="H61" s="172" t="str">
        <f>IF(A3="relevant",IF('Matrix-Kolon'!Z24="","",IF(AND(ROUND('Matrix-Kolon'!Z24,4)&gt;=Berechnung2!E57,ROUND('Matrix-Kolon'!Z24,4)&lt;=Berechnung2!G57),Berechnung2!L57,IF(ROUND('Matrix-Kolon'!Z24,4)&gt;Berechnung2!J57,Berechnung2!M57,""))),"")</f>
        <v/>
      </c>
      <c r="I61" s="171" t="str">
        <f>IF(H61="","",VLOOKUP(F61,Berechnung2!$I$15:$J$25,2,FALSE))</f>
        <v/>
      </c>
      <c r="J61" s="233" t="str">
        <f t="shared" si="2"/>
        <v/>
      </c>
      <c r="L61" s="94" t="str">
        <f t="array" aca="1" ref="L61" ca="1">IF(ROW()-ROW($F$2:$F$65)+1&gt;ROWS($E$2:$E$65)-COUNTBLANK($E$2:$E$65),"",INDIRECT(ADDRESS(SMALL((IF($E$2:$E$65&gt;"",ROW($E$2:$E$65),ROW()+ROWS($E$2:$E$65))),ROW()-ROW($F$2:$F$65)+1),COLUMN($E$2:$E$65),4)))</f>
        <v/>
      </c>
      <c r="M61" s="94" t="str">
        <f t="array" aca="1" ref="M61" ca="1">IF(ROW()-ROW($G$2:$G$65)+1&gt;ROWS($F$2:$F$65)-COUNTBLANK($F$2:$F$65),"",INDIRECT(ADDRESS(SMALL((IF($F$2:$F$65&lt;&gt;"",ROW($F$2:$F$65),ROW()+ROWS($F$2:$F$65))),ROW()-ROW($G$2:$G$65)+1),COLUMN($F$2:$F$65),4)))</f>
        <v/>
      </c>
      <c r="N61" s="94" t="str">
        <f t="array" aca="1" ref="N61" ca="1">IF(ROW()-ROW($H$2:$H$65)+1&gt;ROWS($G$2:$G$65)-COUNTBLANK($G$2:$G$65),"",INDIRECT(ADDRESS(SMALL((IF($G$2:$G$65&lt;&gt;"",ROW($G$2:$G$65),ROW()+ROWS($G$2:$G$65))),ROW()-ROW($H$2:$H$65)+1),COLUMN($G$2:$G$65),4)))</f>
        <v/>
      </c>
      <c r="O61" s="183" t="str">
        <f t="array" aca="1" ref="O61" ca="1">IF(ROW()-ROW($I$2:$I$65)+1&gt;ROWS($H$2:$H$65)-COUNTBLANK($H$2:$H$65),"",INDIRECT(ADDRESS(SMALL((IF($H$2:$H$65&lt;&gt;"",ROW($H$2:$H$65),ROW()+ROWS($H$2:$H$65))),ROW()-ROW($I$2:$I$65)+1),COLUMN($H$2:$H$65),4)))</f>
        <v/>
      </c>
      <c r="P61" s="183" t="str">
        <f t="array" aca="1" ref="P61" ca="1">IF(ROW()-ROW($J$2:$J$65)+1&gt;ROWS($I$2:$I$65)-COUNTBLANK($I$2:$I$65),"",INDIRECT(ADDRESS(SMALL((IF($I$2:$I$65&lt;&gt;"",ROW($I$2:$I$65),ROW()+ROWS($I$2:$I$65))),ROW()-ROW($J$2:$J$65)+1),COLUMN($I$2:$I$65),4)))</f>
        <v/>
      </c>
    </row>
    <row r="62" spans="4:16" x14ac:dyDescent="0.25">
      <c r="D62" s="962"/>
      <c r="E62" s="34" t="str">
        <f>IF(H62="","","2021")</f>
        <v/>
      </c>
      <c r="F62" s="34" t="str">
        <f t="shared" si="20"/>
        <v/>
      </c>
      <c r="G62" s="34" t="str">
        <f t="shared" si="10"/>
        <v/>
      </c>
      <c r="H62" s="172" t="str">
        <f>IF(A4="relevant",IF('Matrix-Kolon'!Z25="","",IF(AND(ROUND('Matrix-Kolon'!Z25,4)&gt;=Berechnung2!E58,ROUND('Matrix-Kolon'!Z25,4)&lt;=Berechnung2!G58),Berechnung2!L58,IF(ROUND('Matrix-Kolon'!Z25,4)&gt;Berechnung2!J58,Berechnung2!M58,""))),"")</f>
        <v/>
      </c>
      <c r="I62" s="171" t="str">
        <f>IF(H62="","",VLOOKUP(F62,Berechnung2!$I$15:$J$25,2,FALSE))</f>
        <v/>
      </c>
      <c r="J62" s="233" t="str">
        <f t="shared" si="2"/>
        <v/>
      </c>
      <c r="L62" s="94" t="str">
        <f t="array" aca="1" ref="L62" ca="1">IF(ROW()-ROW($F$2:$F$65)+1&gt;ROWS($E$2:$E$65)-COUNTBLANK($E$2:$E$65),"",INDIRECT(ADDRESS(SMALL((IF($E$2:$E$65&gt;"",ROW($E$2:$E$65),ROW()+ROWS($E$2:$E$65))),ROW()-ROW($F$2:$F$65)+1),COLUMN($E$2:$E$65),4)))</f>
        <v/>
      </c>
      <c r="M62" s="94" t="str">
        <f t="array" aca="1" ref="M62" ca="1">IF(ROW()-ROW($G$2:$G$65)+1&gt;ROWS($F$2:$F$65)-COUNTBLANK($F$2:$F$65),"",INDIRECT(ADDRESS(SMALL((IF($F$2:$F$65&lt;&gt;"",ROW($F$2:$F$65),ROW()+ROWS($F$2:$F$65))),ROW()-ROW($G$2:$G$65)+1),COLUMN($F$2:$F$65),4)))</f>
        <v/>
      </c>
      <c r="N62" s="94" t="str">
        <f t="array" aca="1" ref="N62" ca="1">IF(ROW()-ROW($H$2:$H$65)+1&gt;ROWS($G$2:$G$65)-COUNTBLANK($G$2:$G$65),"",INDIRECT(ADDRESS(SMALL((IF($G$2:$G$65&lt;&gt;"",ROW($G$2:$G$65),ROW()+ROWS($G$2:$G$65))),ROW()-ROW($H$2:$H$65)+1),COLUMN($G$2:$G$65),4)))</f>
        <v/>
      </c>
      <c r="O62" s="183" t="str">
        <f t="array" aca="1" ref="O62" ca="1">IF(ROW()-ROW($I$2:$I$65)+1&gt;ROWS($H$2:$H$65)-COUNTBLANK($H$2:$H$65),"",INDIRECT(ADDRESS(SMALL((IF($H$2:$H$65&lt;&gt;"",ROW($H$2:$H$65),ROW()+ROWS($H$2:$H$65))),ROW()-ROW($I$2:$I$65)+1),COLUMN($H$2:$H$65),4)))</f>
        <v/>
      </c>
      <c r="P62" s="183" t="str">
        <f t="array" aca="1" ref="P62" ca="1">IF(ROW()-ROW($J$2:$J$65)+1&gt;ROWS($I$2:$I$65)-COUNTBLANK($I$2:$I$65),"",INDIRECT(ADDRESS(SMALL((IF($I$2:$I$65&lt;&gt;"",ROW($I$2:$I$65),ROW()+ROWS($I$2:$I$65))),ROW()-ROW($J$2:$J$65)+1),COLUMN($I$2:$I$65),4)))</f>
        <v/>
      </c>
    </row>
    <row r="63" spans="4:16" x14ac:dyDescent="0.25">
      <c r="D63" s="962"/>
      <c r="E63" s="34" t="str">
        <f>IF(H63="","","2022")</f>
        <v/>
      </c>
      <c r="F63" s="34" t="str">
        <f t="shared" si="20"/>
        <v/>
      </c>
      <c r="G63" s="34" t="str">
        <f t="shared" si="10"/>
        <v/>
      </c>
      <c r="H63" s="172" t="str">
        <f>IF(A5="relevant",IF('Matrix-Kolon'!Z26="","",IF(AND(ROUND('Matrix-Kolon'!Z26,4)&gt;=Berechnung2!E59,ROUND('Matrix-Kolon'!Z26,4)&lt;=Berechnung2!G59),Berechnung2!L59,IF(ROUND('Matrix-Kolon'!Z26,4)&gt;Berechnung2!J59,Berechnung2!M59,""))),"")</f>
        <v/>
      </c>
      <c r="I63" s="171" t="str">
        <f>IF(H63="","",VLOOKUP(F63,Berechnung2!$I$15:$J$25,2,FALSE))</f>
        <v/>
      </c>
      <c r="J63" s="233" t="str">
        <f t="shared" si="2"/>
        <v/>
      </c>
      <c r="L63" s="94" t="str">
        <f t="array" aca="1" ref="L63" ca="1">IF(ROW()-ROW($F$2:$F$65)+1&gt;ROWS($E$2:$E$65)-COUNTBLANK($E$2:$E$65),"",INDIRECT(ADDRESS(SMALL((IF($E$2:$E$65&gt;"",ROW($E$2:$E$65),ROW()+ROWS($E$2:$E$65))),ROW()-ROW($F$2:$F$65)+1),COLUMN($E$2:$E$65),4)))</f>
        <v/>
      </c>
      <c r="M63" s="94" t="str">
        <f t="array" aca="1" ref="M63" ca="1">IF(ROW()-ROW($G$2:$G$65)+1&gt;ROWS($F$2:$F$65)-COUNTBLANK($F$2:$F$65),"",INDIRECT(ADDRESS(SMALL((IF($F$2:$F$65&lt;&gt;"",ROW($F$2:$F$65),ROW()+ROWS($F$2:$F$65))),ROW()-ROW($G$2:$G$65)+1),COLUMN($F$2:$F$65),4)))</f>
        <v/>
      </c>
      <c r="N63" s="94" t="str">
        <f t="array" aca="1" ref="N63" ca="1">IF(ROW()-ROW($H$2:$H$65)+1&gt;ROWS($G$2:$G$65)-COUNTBLANK($G$2:$G$65),"",INDIRECT(ADDRESS(SMALL((IF($G$2:$G$65&lt;&gt;"",ROW($G$2:$G$65),ROW()+ROWS($G$2:$G$65))),ROW()-ROW($H$2:$H$65)+1),COLUMN($G$2:$G$65),4)))</f>
        <v/>
      </c>
      <c r="O63" s="183" t="str">
        <f t="array" aca="1" ref="O63" ca="1">IF(ROW()-ROW($I$2:$I$65)+1&gt;ROWS($H$2:$H$65)-COUNTBLANK($H$2:$H$65),"",INDIRECT(ADDRESS(SMALL((IF($H$2:$H$65&lt;&gt;"",ROW($H$2:$H$65),ROW()+ROWS($H$2:$H$65))),ROW()-ROW($I$2:$I$65)+1),COLUMN($H$2:$H$65),4)))</f>
        <v/>
      </c>
      <c r="P63" s="183" t="str">
        <f t="array" aca="1" ref="P63" ca="1">IF(ROW()-ROW($J$2:$J$65)+1&gt;ROWS($I$2:$I$65)-COUNTBLANK($I$2:$I$65),"",INDIRECT(ADDRESS(SMALL((IF($I$2:$I$65&lt;&gt;"",ROW($I$2:$I$65),ROW()+ROWS($I$2:$I$65))),ROW()-ROW($J$2:$J$65)+1),COLUMN($I$2:$I$65),4)))</f>
        <v/>
      </c>
    </row>
    <row r="64" spans="4:16" x14ac:dyDescent="0.25">
      <c r="D64" s="962"/>
      <c r="E64" s="34" t="str">
        <f>IF(H64="","","2023")</f>
        <v/>
      </c>
      <c r="F64" s="34" t="str">
        <f t="shared" si="20"/>
        <v/>
      </c>
      <c r="G64" s="34" t="str">
        <f t="shared" si="10"/>
        <v/>
      </c>
      <c r="H64" s="172" t="str">
        <f>IF(A6="relevant",IF('Matrix-Kolon'!Z27="","",IF(AND(ROUND('Matrix-Kolon'!Z27,4)&gt;=Berechnung2!E60,ROUND('Matrix-Kolon'!Z27,4)&lt;=Berechnung2!G60),Berechnung2!L60,IF(ROUND('Matrix-Kolon'!Z27,4)&gt;Berechnung2!J60,Berechnung2!M60,""))),"")</f>
        <v/>
      </c>
      <c r="I64" s="171" t="str">
        <f>IF(H64="","",VLOOKUP(F64,Berechnung2!$I$15:$J$25,2,FALSE))</f>
        <v/>
      </c>
      <c r="J64" s="233" t="str">
        <f t="shared" si="2"/>
        <v/>
      </c>
      <c r="L64" s="94" t="str">
        <f t="array" aca="1" ref="L64" ca="1">IF(ROW()-ROW($F$2:$F$65)+1&gt;ROWS($E$2:$E$65)-COUNTBLANK($E$2:$E$65),"",INDIRECT(ADDRESS(SMALL((IF($E$2:$E$65&gt;"",ROW($E$2:$E$65),ROW()+ROWS($E$2:$E$65))),ROW()-ROW($F$2:$F$65)+1),COLUMN($E$2:$E$65),4)))</f>
        <v/>
      </c>
      <c r="M64" s="94" t="str">
        <f t="array" aca="1" ref="M64" ca="1">IF(ROW()-ROW($G$2:$G$65)+1&gt;ROWS($F$2:$F$65)-COUNTBLANK($F$2:$F$65),"",INDIRECT(ADDRESS(SMALL((IF($F$2:$F$65&lt;&gt;"",ROW($F$2:$F$65),ROW()+ROWS($F$2:$F$65))),ROW()-ROW($G$2:$G$65)+1),COLUMN($F$2:$F$65),4)))</f>
        <v/>
      </c>
      <c r="N64" s="94" t="str">
        <f t="array" aca="1" ref="N64" ca="1">IF(ROW()-ROW($H$2:$H$65)+1&gt;ROWS($G$2:$G$65)-COUNTBLANK($G$2:$G$65),"",INDIRECT(ADDRESS(SMALL((IF($G$2:$G$65&lt;&gt;"",ROW($G$2:$G$65),ROW()+ROWS($G$2:$G$65))),ROW()-ROW($H$2:$H$65)+1),COLUMN($G$2:$G$65),4)))</f>
        <v/>
      </c>
      <c r="O64" s="183" t="str">
        <f t="array" aca="1" ref="O64" ca="1">IF(ROW()-ROW($I$2:$I$65)+1&gt;ROWS($H$2:$H$65)-COUNTBLANK($H$2:$H$65),"",INDIRECT(ADDRESS(SMALL((IF($H$2:$H$65&lt;&gt;"",ROW($H$2:$H$65),ROW()+ROWS($H$2:$H$65))),ROW()-ROW($I$2:$I$65)+1),COLUMN($H$2:$H$65),4)))</f>
        <v/>
      </c>
      <c r="P64" s="183" t="str">
        <f t="array" aca="1" ref="P64" ca="1">IF(ROW()-ROW($J$2:$J$65)+1&gt;ROWS($I$2:$I$65)-COUNTBLANK($I$2:$I$65),"",INDIRECT(ADDRESS(SMALL((IF($I$2:$I$65&lt;&gt;"",ROW($I$2:$I$65),ROW()+ROWS($I$2:$I$65))),ROW()-ROW($J$2:$J$65)+1),COLUMN($I$2:$I$65),4)))</f>
        <v/>
      </c>
    </row>
    <row r="65" spans="4:16" x14ac:dyDescent="0.25">
      <c r="D65" s="466" t="s">
        <v>235</v>
      </c>
      <c r="E65" s="240"/>
      <c r="F65" s="240"/>
      <c r="G65" s="240"/>
      <c r="H65" s="238"/>
      <c r="I65" s="241"/>
      <c r="J65" s="242"/>
      <c r="L65" s="94" t="str">
        <f t="array" aca="1" ref="L65" ca="1">IF(ROW()-ROW($F$2:$F$65)+1&gt;ROWS($E$2:$E$65)-COUNTBLANK($E$2:$E$65),"",INDIRECT(ADDRESS(SMALL((IF($E$2:$E$65&gt;"",ROW($E$2:$E$65),ROW()+ROWS($E$2:$E$65))),ROW()-ROW($F$2:$F$65)+1),COLUMN($E$2:$E$65),4)))</f>
        <v/>
      </c>
      <c r="M65" s="94" t="str">
        <f t="array" aca="1" ref="M65" ca="1">IF(ROW()-ROW($G$2:$G$65)+1&gt;ROWS($F$2:$F$65)-COUNTBLANK($F$2:$F$65),"",INDIRECT(ADDRESS(SMALL((IF($F$2:$F$65&lt;&gt;"",ROW($F$2:$F$65),ROW()+ROWS($F$2:$F$65))),ROW()-ROW($G$2:$G$65)+1),COLUMN($F$2:$F$65),4)))</f>
        <v/>
      </c>
      <c r="N65" s="94" t="str">
        <f t="array" aca="1" ref="N65" ca="1">IF(ROW()-ROW($H$2:$H$65)+1&gt;ROWS($G$2:$G$65)-COUNTBLANK($G$2:$G$65),"",INDIRECT(ADDRESS(SMALL((IF($G$2:$G$65&lt;&gt;"",ROW($G$2:$G$65),ROW()+ROWS($G$2:$G$65))),ROW()-ROW($H$2:$H$65)+1),COLUMN($G$2:$G$65),4)))</f>
        <v/>
      </c>
      <c r="O65" s="183" t="str">
        <f t="array" aca="1" ref="O65" ca="1">IF(ROW()-ROW($I$2:$I$65)+1&gt;ROWS($H$2:$H$65)-COUNTBLANK($H$2:$H$65),"",INDIRECT(ADDRESS(SMALL((IF($H$2:$H$65&lt;&gt;"",ROW($H$2:$H$65),ROW()+ROWS($H$2:$H$65))),ROW()-ROW($I$2:$I$65)+1),COLUMN($H$2:$H$65),4)))</f>
        <v/>
      </c>
      <c r="P65" s="183" t="str">
        <f t="array" aca="1" ref="P65" ca="1">IF(ROW()-ROW($J$2:$J$65)+1&gt;ROWS($I$2:$I$65)-COUNTBLANK($I$2:$I$65),"",INDIRECT(ADDRESS(SMALL((IF($I$2:$I$65&lt;&gt;"",ROW($I$2:$I$65),ROW()+ROWS($I$2:$I$65))),ROW()-ROW($J$2:$J$65)+1),COLUMN($I$2:$I$65),4)))</f>
        <v/>
      </c>
    </row>
    <row r="66" spans="4:16" ht="12" thickBot="1" x14ac:dyDescent="0.3">
      <c r="D66" s="459"/>
      <c r="E66" s="462"/>
      <c r="F66" s="462"/>
      <c r="G66" s="462"/>
      <c r="H66" s="187"/>
      <c r="I66" s="464"/>
      <c r="J66" s="465"/>
      <c r="L66" s="158"/>
      <c r="M66" s="158"/>
      <c r="N66" s="158"/>
      <c r="O66" s="124"/>
      <c r="P66" s="124"/>
    </row>
    <row r="68" spans="4:16" x14ac:dyDescent="0.25">
      <c r="I68" s="221" t="s">
        <v>354</v>
      </c>
      <c r="J68" s="222">
        <f>IF(SUM(J2:J8)=0,0,SUM(J2:J8))</f>
        <v>0</v>
      </c>
    </row>
    <row r="69" spans="4:16" x14ac:dyDescent="0.25">
      <c r="I69" s="221" t="s">
        <v>353</v>
      </c>
      <c r="J69" s="223">
        <f>IF(SUM(J9:J29)=0,0,SUM(J9:J29))</f>
        <v>0</v>
      </c>
    </row>
    <row r="70" spans="4:16" x14ac:dyDescent="0.25">
      <c r="I70" s="224" t="s">
        <v>345</v>
      </c>
      <c r="J70" s="225">
        <f>IF(SUM(J31:J66)=0,0,SUM(J31:J66))</f>
        <v>0</v>
      </c>
    </row>
    <row r="71" spans="4:16" x14ac:dyDescent="0.25">
      <c r="I71" s="226" t="s">
        <v>294</v>
      </c>
      <c r="J71" s="227">
        <f>IF(J30="",0,J30)</f>
        <v>0</v>
      </c>
    </row>
  </sheetData>
  <mergeCells count="9">
    <mergeCell ref="D54:D57"/>
    <mergeCell ref="D61:D64"/>
    <mergeCell ref="D32:D35"/>
    <mergeCell ref="D3:D6"/>
    <mergeCell ref="D10:D13"/>
    <mergeCell ref="D17:D20"/>
    <mergeCell ref="D24:D27"/>
    <mergeCell ref="D40:D43"/>
    <mergeCell ref="D47:D50"/>
  </mergeCells>
  <phoneticPr fontId="81" type="noConversion"/>
  <conditionalFormatting sqref="B2:B8 E2:J8">
    <cfRule type="expression" dxfId="81" priority="10" stopIfTrue="1">
      <formula>OR($A2="EZ",$A2="nicht relevant")</formula>
    </cfRule>
  </conditionalFormatting>
  <conditionalFormatting sqref="E9:J15">
    <cfRule type="expression" dxfId="80" priority="557" stopIfTrue="1">
      <formula>OR($A2="EZ",$A2="nicht relevant")</formula>
    </cfRule>
  </conditionalFormatting>
  <conditionalFormatting sqref="E16:J22">
    <cfRule type="expression" dxfId="79" priority="558" stopIfTrue="1">
      <formula>OR($A2="EZ",$A2="nicht relevant")</formula>
    </cfRule>
  </conditionalFormatting>
  <conditionalFormatting sqref="E23:J29">
    <cfRule type="expression" dxfId="78" priority="559" stopIfTrue="1">
      <formula>OR($A2="EZ",$A2="nicht relevant")</formula>
    </cfRule>
  </conditionalFormatting>
  <conditionalFormatting sqref="E31:J37">
    <cfRule type="expression" dxfId="77" priority="560" stopIfTrue="1">
      <formula>OR($A2="EZ",$A2="nicht relevant")</formula>
    </cfRule>
  </conditionalFormatting>
  <conditionalFormatting sqref="E39:J45">
    <cfRule type="expression" dxfId="76" priority="554" stopIfTrue="1">
      <formula>OR($A2="EZ",$A2="nicht relevant")</formula>
    </cfRule>
  </conditionalFormatting>
  <conditionalFormatting sqref="E46:J52">
    <cfRule type="expression" dxfId="75" priority="562" stopIfTrue="1">
      <formula>OR($A2="EZ",$A2="nicht relevant")</formula>
    </cfRule>
  </conditionalFormatting>
  <conditionalFormatting sqref="E53:J59">
    <cfRule type="expression" dxfId="74" priority="563" stopIfTrue="1">
      <formula>OR($A2="EZ",$A2="nicht relevant")</formula>
    </cfRule>
  </conditionalFormatting>
  <conditionalFormatting sqref="E60:J66">
    <cfRule type="expression" dxfId="73" priority="564" stopIfTrue="1">
      <formula>OR($A2="EZ",$A2="nicht relevant")</formula>
    </cfRule>
  </conditionalFormatting>
  <pageMargins left="0.7" right="0.7" top="0.78740157499999996" bottom="0.78740157499999996" header="0.3" footer="0.3"/>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Tabelle8"/>
  <dimension ref="A1:N27"/>
  <sheetViews>
    <sheetView showGridLines="0" zoomScaleNormal="100" zoomScaleSheetLayoutView="100" workbookViewId="0">
      <selection activeCell="C19" sqref="C19:G19"/>
    </sheetView>
  </sheetViews>
  <sheetFormatPr defaultColWidth="9" defaultRowHeight="14.25" x14ac:dyDescent="0.2"/>
  <cols>
    <col min="1" max="1" width="14.140625" style="8" customWidth="1"/>
    <col min="2" max="2" width="22.85546875" style="8" customWidth="1"/>
    <col min="3" max="3" width="20.7109375" style="8" customWidth="1"/>
    <col min="4" max="4" width="24.7109375" style="8" customWidth="1"/>
    <col min="5" max="6" width="21.7109375" style="8" customWidth="1"/>
    <col min="7" max="182" width="11.42578125" style="8" customWidth="1"/>
    <col min="183" max="16384" width="9" style="8"/>
  </cols>
  <sheetData>
    <row r="1" spans="1:14" ht="9.9499999999999993" customHeight="1" x14ac:dyDescent="0.2">
      <c r="B1" s="31"/>
      <c r="E1" s="19"/>
    </row>
    <row r="2" spans="1:14" ht="12.95" customHeight="1" x14ac:dyDescent="0.2">
      <c r="A2" s="26" t="s">
        <v>1817</v>
      </c>
      <c r="E2" s="19"/>
    </row>
    <row r="3" spans="1:14" ht="16.5" x14ac:dyDescent="0.25">
      <c r="A3" s="22" t="s">
        <v>430</v>
      </c>
      <c r="E3" s="19"/>
      <c r="F3" s="20"/>
    </row>
    <row r="4" spans="1:14" ht="16.5" x14ac:dyDescent="0.25">
      <c r="A4" s="22"/>
      <c r="J4" s="23"/>
    </row>
    <row r="5" spans="1:14" ht="15" customHeight="1" x14ac:dyDescent="0.2">
      <c r="D5" s="15"/>
      <c r="E5" s="15"/>
      <c r="F5" s="15"/>
      <c r="G5" s="15"/>
      <c r="H5" s="15"/>
      <c r="I5" s="15"/>
      <c r="J5" s="23"/>
    </row>
    <row r="6" spans="1:14" s="26" customFormat="1" ht="15" customHeight="1" x14ac:dyDescent="0.25">
      <c r="B6" s="29" t="s">
        <v>398</v>
      </c>
      <c r="C6" s="701" t="str">
        <f>IF(Basisdaten!B8=0,"",Basisdaten!B8)</f>
        <v/>
      </c>
      <c r="D6" s="804"/>
      <c r="E6" s="804"/>
      <c r="F6" s="805"/>
      <c r="G6" s="15"/>
      <c r="H6" s="15"/>
      <c r="J6" s="23"/>
      <c r="K6" s="23"/>
      <c r="L6" s="21"/>
      <c r="M6" s="23"/>
      <c r="N6" s="23"/>
    </row>
    <row r="7" spans="1:14" s="26" customFormat="1" ht="6.95" customHeight="1" x14ac:dyDescent="0.2">
      <c r="B7" s="10"/>
      <c r="C7" s="15"/>
      <c r="D7" s="15"/>
      <c r="E7" s="15"/>
      <c r="F7" s="15"/>
      <c r="G7" s="15"/>
      <c r="H7" s="15"/>
      <c r="J7" s="23"/>
      <c r="K7" s="23"/>
      <c r="L7" s="21"/>
      <c r="M7" s="23"/>
      <c r="N7" s="23"/>
    </row>
    <row r="8" spans="1:14" s="26" customFormat="1" ht="15" customHeight="1" x14ac:dyDescent="0.2">
      <c r="B8" s="29" t="s">
        <v>346</v>
      </c>
      <c r="C8" s="38" t="str">
        <f>IF(Basisdaten!B6=0,"",Basisdaten!B6)</f>
        <v/>
      </c>
      <c r="D8" s="23"/>
      <c r="E8" s="9" t="s">
        <v>344</v>
      </c>
      <c r="F8" s="37" t="str">
        <f>IF(Basisdaten!G12=0,"",Basisdaten!G12)</f>
        <v/>
      </c>
      <c r="H8" s="8"/>
      <c r="J8" s="23"/>
      <c r="K8" s="23"/>
      <c r="L8" s="21"/>
      <c r="M8" s="23"/>
      <c r="N8" s="23"/>
    </row>
    <row r="9" spans="1:14" s="26" customFormat="1" ht="8.25" customHeight="1" x14ac:dyDescent="0.2">
      <c r="B9" s="28"/>
      <c r="C9" s="8"/>
      <c r="E9" s="8"/>
      <c r="I9" s="17"/>
      <c r="J9" s="24"/>
      <c r="K9" s="24"/>
      <c r="L9" s="24"/>
      <c r="M9" s="24"/>
      <c r="N9" s="24"/>
    </row>
    <row r="10" spans="1:14" ht="6.75" customHeight="1" x14ac:dyDescent="0.2">
      <c r="I10" s="18"/>
      <c r="J10" s="33"/>
      <c r="K10" s="33"/>
      <c r="L10" s="33"/>
      <c r="M10" s="33"/>
      <c r="N10" s="33"/>
    </row>
    <row r="11" spans="1:14" ht="15" x14ac:dyDescent="0.25">
      <c r="A11" s="32" t="s">
        <v>358</v>
      </c>
    </row>
    <row r="12" spans="1:14" ht="13.5" customHeight="1" x14ac:dyDescent="0.2">
      <c r="B12" s="73" t="str">
        <f>IF(OR(B13="",B13="Matrix kann eingereicht werden"),"In Ordnung",IF(B13="die inkorrekten und unvollständigen Einträge beheben","Nicht in Ordnung"))</f>
        <v>In Ordnung</v>
      </c>
      <c r="C12" s="58" t="s">
        <v>345</v>
      </c>
      <c r="D12" s="39" t="s">
        <v>294</v>
      </c>
      <c r="E12" s="44" t="s">
        <v>353</v>
      </c>
      <c r="F12" s="45" t="s">
        <v>443</v>
      </c>
    </row>
    <row r="13" spans="1:14" ht="18.75" customHeight="1" x14ac:dyDescent="0.2">
      <c r="B13" s="255" t="str">
        <f>Berechnung2!B6</f>
        <v/>
      </c>
      <c r="C13" s="64">
        <f>Berechnung2!C6</f>
        <v>0</v>
      </c>
      <c r="D13" s="65">
        <f>Berechnung2!D6</f>
        <v>0</v>
      </c>
      <c r="E13" s="85">
        <f>Berechnung2!E6</f>
        <v>0</v>
      </c>
      <c r="F13" s="86">
        <f>Berechnung2!F6</f>
        <v>0</v>
      </c>
    </row>
    <row r="14" spans="1:14" s="26" customFormat="1" ht="9.75" customHeight="1" x14ac:dyDescent="0.2">
      <c r="B14" s="16"/>
      <c r="C14" s="16"/>
    </row>
    <row r="15" spans="1:14" s="26" customFormat="1" ht="13.5" customHeight="1" x14ac:dyDescent="0.2">
      <c r="A15" s="47" t="str">
        <f>IF(SUM(C13:F13)&gt;0,IF(A19&gt;"","","FEHLER - Bearbeitungshinweise müssen beachtet werden!!! Siehe Tabellenblatt Matrix ab Zeile 45"),"")</f>
        <v/>
      </c>
      <c r="C15" s="16"/>
    </row>
    <row r="16" spans="1:14" s="26" customFormat="1" ht="6" customHeight="1" x14ac:dyDescent="0.2">
      <c r="B16" s="16"/>
      <c r="C16" s="16"/>
    </row>
    <row r="17" spans="1:7" ht="14.25" customHeight="1" x14ac:dyDescent="0.2">
      <c r="A17" s="965" t="s">
        <v>379</v>
      </c>
      <c r="B17" s="967" t="s">
        <v>336</v>
      </c>
      <c r="C17" s="968" t="s">
        <v>117</v>
      </c>
      <c r="D17" s="969"/>
      <c r="E17" s="969"/>
      <c r="F17" s="969"/>
      <c r="G17" s="970"/>
    </row>
    <row r="18" spans="1:7" ht="10.5" customHeight="1" x14ac:dyDescent="0.2">
      <c r="A18" s="966"/>
      <c r="B18" s="966"/>
      <c r="C18" s="969"/>
      <c r="D18" s="969"/>
      <c r="E18" s="969"/>
      <c r="F18" s="969"/>
      <c r="G18" s="970"/>
    </row>
    <row r="19" spans="1:7" ht="66" customHeight="1" x14ac:dyDescent="0.25">
      <c r="A19" s="34" t="str">
        <f>IF(ISERROR(Berechnung2!G15),"",Berechnung2!G15)</f>
        <v/>
      </c>
      <c r="B19" s="34" t="str">
        <f>IF(ISERROR(Berechnung2!H15),"",Berechnung2!H15)</f>
        <v/>
      </c>
      <c r="C19" s="971"/>
      <c r="D19" s="972"/>
      <c r="E19" s="972"/>
      <c r="F19" s="972"/>
      <c r="G19" s="973"/>
    </row>
    <row r="20" spans="1:7" ht="66" customHeight="1" x14ac:dyDescent="0.25">
      <c r="A20" s="34" t="str">
        <f>IF(ISERROR(Berechnung2!G16),"",Berechnung2!G16)</f>
        <v/>
      </c>
      <c r="B20" s="34" t="str">
        <f>IF(ISERROR(Berechnung2!H16),"",Berechnung2!H16)</f>
        <v/>
      </c>
      <c r="C20" s="971"/>
      <c r="D20" s="972"/>
      <c r="E20" s="972"/>
      <c r="F20" s="972"/>
      <c r="G20" s="974"/>
    </row>
    <row r="21" spans="1:7" ht="66" customHeight="1" x14ac:dyDescent="0.25">
      <c r="A21" s="34" t="str">
        <f>IF(ISERROR(Berechnung2!G17),"",Berechnung2!G17)</f>
        <v/>
      </c>
      <c r="B21" s="34" t="str">
        <f>IF(ISERROR(Berechnung2!H17),"",Berechnung2!H17)</f>
        <v/>
      </c>
      <c r="C21" s="971"/>
      <c r="D21" s="972"/>
      <c r="E21" s="972"/>
      <c r="F21" s="972"/>
      <c r="G21" s="974"/>
    </row>
    <row r="22" spans="1:7" ht="66" customHeight="1" x14ac:dyDescent="0.25">
      <c r="A22" s="34" t="str">
        <f>IF(ISERROR(Berechnung2!G18),"",Berechnung2!G18)</f>
        <v/>
      </c>
      <c r="B22" s="34" t="str">
        <f>IF(ISERROR(Berechnung2!H18),"",Berechnung2!H18)</f>
        <v/>
      </c>
      <c r="C22" s="971"/>
      <c r="D22" s="972"/>
      <c r="E22" s="972"/>
      <c r="F22" s="972"/>
      <c r="G22" s="974"/>
    </row>
    <row r="23" spans="1:7" ht="66" customHeight="1" x14ac:dyDescent="0.25">
      <c r="A23" s="34" t="str">
        <f>IF(ISERROR(Berechnung2!G19),"",Berechnung2!G19)</f>
        <v/>
      </c>
      <c r="B23" s="34" t="str">
        <f>IF(ISERROR(Berechnung2!H19),"",Berechnung2!H19)</f>
        <v/>
      </c>
      <c r="C23" s="971"/>
      <c r="D23" s="972"/>
      <c r="E23" s="972"/>
      <c r="F23" s="972"/>
      <c r="G23" s="974"/>
    </row>
    <row r="24" spans="1:7" ht="66" customHeight="1" x14ac:dyDescent="0.25">
      <c r="A24" s="34" t="str">
        <f>IF(ISERROR(Berechnung2!G20),"",Berechnung2!G20)</f>
        <v/>
      </c>
      <c r="B24" s="34" t="str">
        <f>IF(ISERROR(Berechnung2!H20),"",Berechnung2!H20)</f>
        <v/>
      </c>
      <c r="C24" s="971"/>
      <c r="D24" s="972"/>
      <c r="E24" s="972"/>
      <c r="F24" s="972"/>
      <c r="G24" s="974"/>
    </row>
    <row r="25" spans="1:7" ht="66" customHeight="1" x14ac:dyDescent="0.25">
      <c r="A25" s="34" t="str">
        <f>IF(ISERROR(Berechnung2!G21),"",Berechnung2!G21)</f>
        <v/>
      </c>
      <c r="B25" s="34" t="str">
        <f>IF(ISERROR(Berechnung2!H21),"",Berechnung2!H21)</f>
        <v/>
      </c>
      <c r="C25" s="971"/>
      <c r="D25" s="972"/>
      <c r="E25" s="972"/>
      <c r="F25" s="972"/>
      <c r="G25" s="974"/>
    </row>
    <row r="26" spans="1:7" ht="66" customHeight="1" x14ac:dyDescent="0.25">
      <c r="A26" s="34" t="str">
        <f>IF(ISERROR(Berechnung2!G22),"",Berechnung2!G22)</f>
        <v/>
      </c>
      <c r="B26" s="34" t="str">
        <f>IF(ISERROR(Berechnung2!H22),"",Berechnung2!H22)</f>
        <v/>
      </c>
      <c r="C26" s="971"/>
      <c r="D26" s="972"/>
      <c r="E26" s="972"/>
      <c r="F26" s="972"/>
      <c r="G26" s="974"/>
    </row>
    <row r="27" spans="1:7" ht="66" customHeight="1" x14ac:dyDescent="0.25">
      <c r="A27" s="34" t="str">
        <f>IF(ISERROR(Berechnung2!G23),"",Berechnung2!G23)</f>
        <v/>
      </c>
      <c r="B27" s="34" t="str">
        <f>IF(ISERROR(Berechnung2!H23),"",Berechnung2!H23)</f>
        <v/>
      </c>
      <c r="C27" s="971"/>
      <c r="D27" s="972"/>
      <c r="E27" s="972"/>
      <c r="F27" s="972"/>
      <c r="G27" s="974"/>
    </row>
  </sheetData>
  <sheetProtection algorithmName="SHA-512" hashValue="/eA2qQhrQjar0pGFrp3Ceg2wZ251t1kGJ3Nh83pyHZFN7rl91rORvA544fqxVPfe0WttjsdFBqKSB2FenU2rXA==" saltValue="Ikb7FeXbvar/JAIVk0efIw==" spinCount="100000" sheet="1" objects="1" selectLockedCells="1"/>
  <mergeCells count="13">
    <mergeCell ref="C27:G27"/>
    <mergeCell ref="C20:G20"/>
    <mergeCell ref="C21:G21"/>
    <mergeCell ref="C22:G22"/>
    <mergeCell ref="C23:G23"/>
    <mergeCell ref="C24:G24"/>
    <mergeCell ref="C25:G25"/>
    <mergeCell ref="C26:G26"/>
    <mergeCell ref="C6:F6"/>
    <mergeCell ref="A17:A18"/>
    <mergeCell ref="B17:B18"/>
    <mergeCell ref="C17:G18"/>
    <mergeCell ref="C19:G19"/>
  </mergeCells>
  <phoneticPr fontId="81" type="noConversion"/>
  <conditionalFormatting sqref="B12">
    <cfRule type="expression" dxfId="72" priority="2" stopIfTrue="1">
      <formula>$B$12="Nicht in Ordnung"</formula>
    </cfRule>
  </conditionalFormatting>
  <conditionalFormatting sqref="B13">
    <cfRule type="expression" dxfId="71" priority="1" stopIfTrue="1">
      <formula>$B$13="die inkorrekten und unvollständigen Einträge beheben"</formula>
    </cfRule>
  </conditionalFormatting>
  <conditionalFormatting sqref="B19:B27">
    <cfRule type="expression" dxfId="70" priority="25" stopIfTrue="1">
      <formula>SEARCH("Unvollständig",$B19,1)</formula>
    </cfRule>
    <cfRule type="expression" dxfId="69" priority="26" stopIfTrue="1">
      <formula>SEARCH($D$12,$B19,1)</formula>
    </cfRule>
    <cfRule type="expression" dxfId="68" priority="27" stopIfTrue="1">
      <formula>SEARCH($C$12,$B19,1)</formula>
    </cfRule>
    <cfRule type="expression" dxfId="67" priority="28" stopIfTrue="1">
      <formula>SEARCH($E$12,$B19,1)</formula>
    </cfRule>
  </conditionalFormatting>
  <conditionalFormatting sqref="C19:C27">
    <cfRule type="notContainsBlanks" dxfId="66" priority="7" stopIfTrue="1">
      <formula>LEN(TRIM(C19))&gt;0</formula>
    </cfRule>
    <cfRule type="expression" dxfId="65" priority="8" stopIfTrue="1">
      <formula>A19&lt;&gt;""</formula>
    </cfRule>
  </conditionalFormatting>
  <dataValidations count="1">
    <dataValidation type="textLength" allowBlank="1" showErrorMessage="1" errorTitle="Zeichenlänge" error="Minimal 30 Zeichen und max. 450 Zeichen." sqref="C19:G19 C20:G20 C21:G21 C22:G22 C23:G23 C24:G27" xr:uid="{00000000-0002-0000-1200-000000000000}">
      <formula1>30</formula1>
      <formula2>450</formula2>
    </dataValidation>
  </dataValidations>
  <pageMargins left="0.39370078740157483" right="3.937007874015748E-2" top="0.59055118110236227" bottom="0.39370078740157483" header="0.11811023622047245" footer="0.11811023622047245"/>
  <pageSetup paperSize="9" orientation="landscape" r:id="rId1"/>
  <headerFooter>
    <oddFooter>&amp;L&amp;"Arial,Standard"&amp;7&amp;F&amp;C&amp;"Arial,Standard"&amp;7 © DKG  Alle Rechte vorbehalten&amp;R&amp;"Arial,Standard"&amp;7&amp;P</oddFooter>
  </headerFooter>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16"/>
  <dimension ref="A1:H12"/>
  <sheetViews>
    <sheetView workbookViewId="0">
      <selection activeCell="C1" sqref="C1"/>
    </sheetView>
  </sheetViews>
  <sheetFormatPr defaultColWidth="9.140625" defaultRowHeight="12.75" x14ac:dyDescent="0.25"/>
  <cols>
    <col min="1" max="1" width="15.42578125" style="176" customWidth="1"/>
    <col min="2" max="2" width="15.5703125" style="176" customWidth="1"/>
    <col min="3" max="4" width="14.42578125" style="176" customWidth="1"/>
    <col min="5" max="5" width="14" style="176" customWidth="1"/>
    <col min="6" max="6" width="17.140625" style="176" customWidth="1"/>
    <col min="7" max="7" width="22.140625" style="176" customWidth="1"/>
    <col min="8" max="8" width="13.7109375" style="176" customWidth="1"/>
    <col min="9" max="16384" width="9.140625" style="176"/>
  </cols>
  <sheetData>
    <row r="1" spans="1:8" ht="54.75" customHeight="1" x14ac:dyDescent="0.25">
      <c r="A1" s="248" t="str">
        <f>LEFT(Basisdaten!A25,21)</f>
        <v>Primärfälle Darmkrebs</v>
      </c>
      <c r="B1" s="358" t="s">
        <v>1178</v>
      </c>
      <c r="C1" s="358" t="s">
        <v>1199</v>
      </c>
      <c r="D1" s="358" t="s">
        <v>1179</v>
      </c>
      <c r="E1" s="249" t="s">
        <v>1180</v>
      </c>
      <c r="F1" s="250" t="s">
        <v>1181</v>
      </c>
      <c r="G1" s="250" t="s">
        <v>1182</v>
      </c>
      <c r="H1" s="210" t="str">
        <f>Basisdaten!H25</f>
        <v>Gesamt</v>
      </c>
    </row>
    <row r="2" spans="1:8" ht="15" customHeight="1" x14ac:dyDescent="0.25">
      <c r="A2" s="212" t="str">
        <f>Basisdaten!A28</f>
        <v>Primärfälle</v>
      </c>
      <c r="B2" s="179" t="str">
        <f>IF(Basisdaten!B28="","",Basisdaten!B28)</f>
        <v/>
      </c>
      <c r="C2" s="179" t="str">
        <f>IF(Basisdaten!C28="","",Basisdaten!C28)</f>
        <v/>
      </c>
      <c r="D2" s="179" t="str">
        <f>IF(Basisdaten!D28="","",Basisdaten!D28)</f>
        <v/>
      </c>
      <c r="E2" s="179" t="str">
        <f>IF(Basisdaten!E28="","",Basisdaten!E28)</f>
        <v/>
      </c>
      <c r="F2" s="179" t="str">
        <f>IF(Basisdaten!F28="","",Basisdaten!F28)</f>
        <v/>
      </c>
      <c r="G2" s="179" t="str">
        <f>IF(Basisdaten!G28="","",Basisdaten!G28)</f>
        <v/>
      </c>
      <c r="H2" s="179" t="str">
        <f>IF(Basisdaten!H28="","",Basisdaten!H28)</f>
        <v/>
      </c>
    </row>
    <row r="3" spans="1:8" ht="15" customHeight="1" x14ac:dyDescent="0.25">
      <c r="A3" s="213" t="str">
        <f>LEFT(Basisdaten!A29,5)</f>
        <v>Kolon</v>
      </c>
      <c r="B3" s="179" t="str">
        <f>IF(Basisdaten!B29="","",Basisdaten!B29)</f>
        <v/>
      </c>
      <c r="C3" s="369" t="str">
        <f>IF(Basisdaten!C29="","",Basisdaten!C29)</f>
        <v/>
      </c>
      <c r="D3" s="179" t="str">
        <f>IF(Basisdaten!D29="","",Basisdaten!D29)</f>
        <v/>
      </c>
      <c r="E3" s="179" t="str">
        <f>IF(Basisdaten!E29="","",Basisdaten!E29)</f>
        <v/>
      </c>
      <c r="F3" s="179" t="str">
        <f>IF(Basisdaten!F29="","",Basisdaten!F29)</f>
        <v/>
      </c>
      <c r="G3" s="369" t="str">
        <f>IF(Basisdaten!G29="","",Basisdaten!G29)</f>
        <v/>
      </c>
      <c r="H3" s="179" t="str">
        <f>IF(Basisdaten!H29="","",Basisdaten!H29)</f>
        <v/>
      </c>
    </row>
    <row r="4" spans="1:8" x14ac:dyDescent="0.25">
      <c r="A4" s="213" t="str">
        <f>LEFT(Basisdaten!A30,6)</f>
        <v>Rektum</v>
      </c>
      <c r="B4" s="179" t="str">
        <f>IF(Basisdaten!B30="","",Basisdaten!B30)</f>
        <v/>
      </c>
      <c r="C4" s="179" t="str">
        <f>IF(Basisdaten!C30="","",Basisdaten!C30)</f>
        <v/>
      </c>
      <c r="D4" s="179" t="str">
        <f>IF(Basisdaten!D30="","",Basisdaten!D30)</f>
        <v/>
      </c>
      <c r="E4" s="179" t="str">
        <f>IF(Basisdaten!E30="","",Basisdaten!E30)</f>
        <v/>
      </c>
      <c r="F4" s="179" t="str">
        <f>IF(Basisdaten!F30="","",Basisdaten!F30)</f>
        <v/>
      </c>
      <c r="G4" s="179" t="str">
        <f>IF(Basisdaten!G30="","",Basisdaten!G30)</f>
        <v/>
      </c>
      <c r="H4" s="179" t="str">
        <f>IF(Basisdaten!H30="","",Basisdaten!H30)</f>
        <v/>
      </c>
    </row>
    <row r="5" spans="1:8" x14ac:dyDescent="0.25">
      <c r="B5" s="180"/>
      <c r="C5" s="180"/>
      <c r="D5" s="180"/>
      <c r="E5" s="180"/>
      <c r="F5" s="180"/>
      <c r="G5" s="180"/>
      <c r="H5" s="180"/>
    </row>
    <row r="7" spans="1:8" x14ac:dyDescent="0.25">
      <c r="E7" s="325"/>
    </row>
    <row r="12" spans="1:8" x14ac:dyDescent="0.25">
      <c r="D12" s="325"/>
    </row>
  </sheetData>
  <phoneticPr fontId="81" type="noConversion"/>
  <pageMargins left="0.7" right="0.7" top="0.78740157499999996" bottom="0.78740157499999996"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Tabelle22"/>
  <dimension ref="A1:D65"/>
  <sheetViews>
    <sheetView workbookViewId="0">
      <selection activeCell="A65" sqref="A65"/>
    </sheetView>
  </sheetViews>
  <sheetFormatPr defaultColWidth="9.140625" defaultRowHeight="12" x14ac:dyDescent="0.25"/>
  <cols>
    <col min="1" max="1" width="20.5703125" style="150" customWidth="1"/>
    <col min="2" max="2" width="21.140625" style="150" customWidth="1"/>
    <col min="3" max="4" width="66.28515625" style="148" customWidth="1"/>
    <col min="5" max="16384" width="9.140625" style="149"/>
  </cols>
  <sheetData>
    <row r="1" spans="1:4" ht="31.5" customHeight="1" x14ac:dyDescent="0.25">
      <c r="A1" s="151" t="s">
        <v>379</v>
      </c>
      <c r="B1" s="152" t="s">
        <v>238</v>
      </c>
      <c r="C1" s="152" t="s">
        <v>336</v>
      </c>
      <c r="D1" s="151" t="s">
        <v>117</v>
      </c>
    </row>
    <row r="2" spans="1:4" x14ac:dyDescent="0.25">
      <c r="A2" s="150" t="str">
        <f ca="1">Berechnung3!L2</f>
        <v/>
      </c>
      <c r="B2" s="150" t="str">
        <f ca="1">Berechnung3!N2</f>
        <v/>
      </c>
      <c r="C2" s="148" t="str">
        <f ca="1">Berechnung3!O2</f>
        <v/>
      </c>
      <c r="D2" s="148" t="str">
        <f ca="1">Berechnung3!P2</f>
        <v/>
      </c>
    </row>
    <row r="3" spans="1:4" x14ac:dyDescent="0.25">
      <c r="A3" s="150" t="str">
        <f ca="1">Berechnung3!L3</f>
        <v/>
      </c>
      <c r="B3" s="150" t="str">
        <f ca="1">Berechnung3!N3</f>
        <v/>
      </c>
      <c r="C3" s="148" t="str">
        <f ca="1">Berechnung3!O3</f>
        <v/>
      </c>
      <c r="D3" s="148" t="str">
        <f ca="1">Berechnung3!P3</f>
        <v/>
      </c>
    </row>
    <row r="4" spans="1:4" x14ac:dyDescent="0.25">
      <c r="A4" s="150" t="str">
        <f ca="1">Berechnung3!L4</f>
        <v/>
      </c>
      <c r="B4" s="150" t="str">
        <f ca="1">Berechnung3!N4</f>
        <v/>
      </c>
      <c r="C4" s="148" t="str">
        <f ca="1">Berechnung3!O4</f>
        <v/>
      </c>
      <c r="D4" s="148" t="str">
        <f ca="1">Berechnung3!P4</f>
        <v/>
      </c>
    </row>
    <row r="5" spans="1:4" x14ac:dyDescent="0.25">
      <c r="A5" s="150" t="str">
        <f ca="1">Berechnung3!L5</f>
        <v/>
      </c>
      <c r="B5" s="150" t="str">
        <f ca="1">Berechnung3!N5</f>
        <v/>
      </c>
      <c r="C5" s="148" t="str">
        <f ca="1">Berechnung3!O5</f>
        <v/>
      </c>
      <c r="D5" s="148" t="str">
        <f ca="1">Berechnung3!P5</f>
        <v/>
      </c>
    </row>
    <row r="6" spans="1:4" x14ac:dyDescent="0.25">
      <c r="A6" s="150" t="str">
        <f ca="1">Berechnung3!L6</f>
        <v/>
      </c>
      <c r="B6" s="150" t="str">
        <f ca="1">Berechnung3!N6</f>
        <v/>
      </c>
      <c r="C6" s="148" t="str">
        <f ca="1">Berechnung3!O6</f>
        <v/>
      </c>
      <c r="D6" s="148" t="str">
        <f ca="1">Berechnung3!P6</f>
        <v/>
      </c>
    </row>
    <row r="7" spans="1:4" x14ac:dyDescent="0.25">
      <c r="A7" s="150" t="str">
        <f ca="1">Berechnung3!L7</f>
        <v/>
      </c>
      <c r="B7" s="150" t="str">
        <f ca="1">Berechnung3!N7</f>
        <v/>
      </c>
      <c r="C7" s="148" t="str">
        <f ca="1">Berechnung3!O7</f>
        <v/>
      </c>
      <c r="D7" s="148" t="str">
        <f ca="1">Berechnung3!P7</f>
        <v/>
      </c>
    </row>
    <row r="8" spans="1:4" x14ac:dyDescent="0.25">
      <c r="A8" s="150" t="str">
        <f ca="1">Berechnung3!L8</f>
        <v/>
      </c>
      <c r="B8" s="150" t="str">
        <f ca="1">Berechnung3!N8</f>
        <v/>
      </c>
      <c r="C8" s="148" t="str">
        <f ca="1">Berechnung3!O8</f>
        <v/>
      </c>
      <c r="D8" s="148" t="str">
        <f ca="1">Berechnung3!P8</f>
        <v/>
      </c>
    </row>
    <row r="9" spans="1:4" x14ac:dyDescent="0.25">
      <c r="A9" s="150" t="str">
        <f ca="1">Berechnung3!L9</f>
        <v/>
      </c>
      <c r="B9" s="150" t="str">
        <f ca="1">Berechnung3!N9</f>
        <v/>
      </c>
      <c r="C9" s="148" t="str">
        <f ca="1">Berechnung3!O9</f>
        <v/>
      </c>
      <c r="D9" s="148" t="str">
        <f ca="1">Berechnung3!P9</f>
        <v/>
      </c>
    </row>
    <row r="10" spans="1:4" x14ac:dyDescent="0.25">
      <c r="A10" s="150" t="str">
        <f ca="1">Berechnung3!L10</f>
        <v/>
      </c>
      <c r="B10" s="150" t="str">
        <f ca="1">Berechnung3!N10</f>
        <v/>
      </c>
      <c r="C10" s="148" t="str">
        <f ca="1">Berechnung3!O10</f>
        <v/>
      </c>
      <c r="D10" s="148" t="str">
        <f ca="1">Berechnung3!P10</f>
        <v/>
      </c>
    </row>
    <row r="11" spans="1:4" x14ac:dyDescent="0.25">
      <c r="A11" s="150" t="str">
        <f ca="1">Berechnung3!L11</f>
        <v/>
      </c>
      <c r="B11" s="150" t="str">
        <f ca="1">Berechnung3!N11</f>
        <v/>
      </c>
      <c r="C11" s="148" t="str">
        <f ca="1">Berechnung3!O11</f>
        <v/>
      </c>
      <c r="D11" s="148" t="str">
        <f ca="1">Berechnung3!P11</f>
        <v/>
      </c>
    </row>
    <row r="12" spans="1:4" x14ac:dyDescent="0.25">
      <c r="A12" s="150" t="str">
        <f ca="1">Berechnung3!L12</f>
        <v/>
      </c>
      <c r="B12" s="150" t="str">
        <f ca="1">Berechnung3!N12</f>
        <v/>
      </c>
      <c r="C12" s="148" t="str">
        <f ca="1">Berechnung3!O12</f>
        <v/>
      </c>
      <c r="D12" s="148" t="str">
        <f ca="1">Berechnung3!P12</f>
        <v/>
      </c>
    </row>
    <row r="13" spans="1:4" x14ac:dyDescent="0.25">
      <c r="A13" s="150" t="str">
        <f ca="1">Berechnung3!L13</f>
        <v/>
      </c>
      <c r="B13" s="150" t="str">
        <f ca="1">Berechnung3!N13</f>
        <v/>
      </c>
      <c r="C13" s="148" t="str">
        <f ca="1">Berechnung3!O13</f>
        <v/>
      </c>
      <c r="D13" s="148" t="str">
        <f ca="1">Berechnung3!P13</f>
        <v/>
      </c>
    </row>
    <row r="14" spans="1:4" x14ac:dyDescent="0.25">
      <c r="A14" s="150" t="str">
        <f ca="1">Berechnung3!L14</f>
        <v/>
      </c>
      <c r="B14" s="150" t="str">
        <f ca="1">Berechnung3!N14</f>
        <v/>
      </c>
      <c r="C14" s="148" t="str">
        <f ca="1">Berechnung3!O14</f>
        <v/>
      </c>
      <c r="D14" s="148" t="str">
        <f ca="1">Berechnung3!P14</f>
        <v/>
      </c>
    </row>
    <row r="15" spans="1:4" x14ac:dyDescent="0.25">
      <c r="A15" s="150" t="str">
        <f ca="1">Berechnung3!L15</f>
        <v/>
      </c>
      <c r="B15" s="150" t="str">
        <f ca="1">Berechnung3!N15</f>
        <v/>
      </c>
      <c r="C15" s="148" t="str">
        <f ca="1">Berechnung3!O15</f>
        <v/>
      </c>
      <c r="D15" s="148" t="str">
        <f ca="1">Berechnung3!P15</f>
        <v/>
      </c>
    </row>
    <row r="16" spans="1:4" x14ac:dyDescent="0.25">
      <c r="A16" s="150" t="str">
        <f ca="1">Berechnung3!L16</f>
        <v/>
      </c>
      <c r="B16" s="150" t="str">
        <f ca="1">Berechnung3!N16</f>
        <v/>
      </c>
      <c r="C16" s="148" t="str">
        <f ca="1">Berechnung3!O16</f>
        <v/>
      </c>
      <c r="D16" s="148" t="str">
        <f ca="1">Berechnung3!P16</f>
        <v/>
      </c>
    </row>
    <row r="17" spans="1:4" x14ac:dyDescent="0.25">
      <c r="A17" s="150" t="str">
        <f ca="1">Berechnung3!L17</f>
        <v/>
      </c>
      <c r="B17" s="150" t="str">
        <f ca="1">Berechnung3!N17</f>
        <v/>
      </c>
      <c r="C17" s="148" t="str">
        <f ca="1">Berechnung3!O17</f>
        <v/>
      </c>
      <c r="D17" s="148" t="str">
        <f ca="1">Berechnung3!P17</f>
        <v/>
      </c>
    </row>
    <row r="18" spans="1:4" x14ac:dyDescent="0.25">
      <c r="A18" s="150" t="str">
        <f ca="1">Berechnung3!L18</f>
        <v/>
      </c>
      <c r="B18" s="150" t="str">
        <f ca="1">Berechnung3!N18</f>
        <v/>
      </c>
      <c r="C18" s="148" t="str">
        <f ca="1">Berechnung3!O18</f>
        <v/>
      </c>
      <c r="D18" s="148" t="str">
        <f ca="1">Berechnung3!P18</f>
        <v/>
      </c>
    </row>
    <row r="19" spans="1:4" x14ac:dyDescent="0.25">
      <c r="A19" s="150" t="str">
        <f ca="1">Berechnung3!L19</f>
        <v/>
      </c>
      <c r="B19" s="150" t="str">
        <f ca="1">Berechnung3!N19</f>
        <v/>
      </c>
      <c r="C19" s="148" t="str">
        <f ca="1">Berechnung3!O19</f>
        <v/>
      </c>
      <c r="D19" s="148" t="str">
        <f ca="1">Berechnung3!P19</f>
        <v/>
      </c>
    </row>
    <row r="20" spans="1:4" x14ac:dyDescent="0.25">
      <c r="A20" s="150" t="str">
        <f ca="1">Berechnung3!L20</f>
        <v/>
      </c>
      <c r="B20" s="150" t="str">
        <f ca="1">Berechnung3!N20</f>
        <v/>
      </c>
      <c r="C20" s="148" t="str">
        <f ca="1">Berechnung3!O20</f>
        <v/>
      </c>
      <c r="D20" s="148" t="str">
        <f ca="1">Berechnung3!P20</f>
        <v/>
      </c>
    </row>
    <row r="21" spans="1:4" x14ac:dyDescent="0.25">
      <c r="A21" s="150" t="str">
        <f ca="1">Berechnung3!L21</f>
        <v/>
      </c>
      <c r="B21" s="150" t="str">
        <f ca="1">Berechnung3!N21</f>
        <v/>
      </c>
      <c r="C21" s="148" t="str">
        <f ca="1">Berechnung3!O21</f>
        <v/>
      </c>
      <c r="D21" s="148" t="str">
        <f ca="1">Berechnung3!P21</f>
        <v/>
      </c>
    </row>
    <row r="22" spans="1:4" x14ac:dyDescent="0.25">
      <c r="A22" s="150" t="str">
        <f ca="1">Berechnung3!L22</f>
        <v/>
      </c>
      <c r="B22" s="150" t="str">
        <f ca="1">Berechnung3!N22</f>
        <v/>
      </c>
      <c r="C22" s="148" t="str">
        <f ca="1">Berechnung3!O22</f>
        <v/>
      </c>
      <c r="D22" s="148" t="str">
        <f ca="1">Berechnung3!P22</f>
        <v/>
      </c>
    </row>
    <row r="23" spans="1:4" x14ac:dyDescent="0.25">
      <c r="A23" s="150" t="str">
        <f ca="1">Berechnung3!L23</f>
        <v/>
      </c>
      <c r="B23" s="150" t="str">
        <f ca="1">Berechnung3!N23</f>
        <v/>
      </c>
      <c r="C23" s="148" t="str">
        <f ca="1">Berechnung3!O23</f>
        <v/>
      </c>
      <c r="D23" s="148" t="str">
        <f ca="1">Berechnung3!P23</f>
        <v/>
      </c>
    </row>
    <row r="24" spans="1:4" x14ac:dyDescent="0.25">
      <c r="A24" s="150" t="str">
        <f ca="1">Berechnung3!L24</f>
        <v/>
      </c>
      <c r="B24" s="150" t="str">
        <f ca="1">Berechnung3!N24</f>
        <v/>
      </c>
      <c r="C24" s="148" t="str">
        <f ca="1">Berechnung3!O24</f>
        <v/>
      </c>
      <c r="D24" s="148" t="str">
        <f ca="1">Berechnung3!P24</f>
        <v/>
      </c>
    </row>
    <row r="25" spans="1:4" x14ac:dyDescent="0.25">
      <c r="A25" s="150" t="str">
        <f ca="1">Berechnung3!L25</f>
        <v/>
      </c>
      <c r="B25" s="150" t="str">
        <f ca="1">Berechnung3!N25</f>
        <v/>
      </c>
      <c r="C25" s="148" t="str">
        <f ca="1">Berechnung3!O25</f>
        <v/>
      </c>
      <c r="D25" s="148" t="str">
        <f ca="1">Berechnung3!P25</f>
        <v/>
      </c>
    </row>
    <row r="26" spans="1:4" x14ac:dyDescent="0.25">
      <c r="A26" s="150" t="str">
        <f ca="1">Berechnung3!L26</f>
        <v/>
      </c>
      <c r="B26" s="150" t="str">
        <f ca="1">Berechnung3!N26</f>
        <v/>
      </c>
      <c r="C26" s="148" t="str">
        <f ca="1">Berechnung3!O26</f>
        <v/>
      </c>
      <c r="D26" s="148" t="str">
        <f ca="1">Berechnung3!P26</f>
        <v/>
      </c>
    </row>
    <row r="27" spans="1:4" x14ac:dyDescent="0.25">
      <c r="A27" s="150" t="str">
        <f ca="1">Berechnung3!L27</f>
        <v/>
      </c>
      <c r="B27" s="150" t="str">
        <f ca="1">Berechnung3!N27</f>
        <v/>
      </c>
      <c r="C27" s="148" t="str">
        <f ca="1">Berechnung3!O27</f>
        <v/>
      </c>
      <c r="D27" s="148" t="str">
        <f ca="1">Berechnung3!P27</f>
        <v/>
      </c>
    </row>
    <row r="28" spans="1:4" x14ac:dyDescent="0.25">
      <c r="A28" s="150" t="str">
        <f ca="1">Berechnung3!L28</f>
        <v/>
      </c>
      <c r="B28" s="150" t="str">
        <f ca="1">Berechnung3!N28</f>
        <v/>
      </c>
      <c r="C28" s="148" t="str">
        <f ca="1">Berechnung3!O28</f>
        <v/>
      </c>
      <c r="D28" s="148" t="str">
        <f ca="1">Berechnung3!P28</f>
        <v/>
      </c>
    </row>
    <row r="29" spans="1:4" x14ac:dyDescent="0.25">
      <c r="A29" s="150" t="str">
        <f ca="1">Berechnung3!L29</f>
        <v/>
      </c>
      <c r="B29" s="150" t="str">
        <f ca="1">Berechnung3!N29</f>
        <v/>
      </c>
      <c r="C29" s="148" t="str">
        <f ca="1">Berechnung3!O29</f>
        <v/>
      </c>
      <c r="D29" s="148" t="str">
        <f ca="1">Berechnung3!P29</f>
        <v/>
      </c>
    </row>
    <row r="30" spans="1:4" x14ac:dyDescent="0.25">
      <c r="A30" s="150" t="str">
        <f ca="1">Berechnung3!L30</f>
        <v/>
      </c>
      <c r="B30" s="150" t="str">
        <f ca="1">Berechnung3!N30</f>
        <v/>
      </c>
      <c r="C30" s="148" t="str">
        <f ca="1">Berechnung3!O30</f>
        <v/>
      </c>
      <c r="D30" s="148" t="str">
        <f ca="1">Berechnung3!P30</f>
        <v/>
      </c>
    </row>
    <row r="31" spans="1:4" x14ac:dyDescent="0.25">
      <c r="A31" s="150" t="str">
        <f ca="1">Berechnung3!L31</f>
        <v/>
      </c>
      <c r="B31" s="150" t="str">
        <f ca="1">Berechnung3!N31</f>
        <v/>
      </c>
      <c r="C31" s="148" t="str">
        <f ca="1">Berechnung3!O31</f>
        <v/>
      </c>
      <c r="D31" s="148" t="str">
        <f ca="1">Berechnung3!P31</f>
        <v/>
      </c>
    </row>
    <row r="32" spans="1:4" x14ac:dyDescent="0.25">
      <c r="A32" s="150" t="str">
        <f ca="1">Berechnung3!L32</f>
        <v/>
      </c>
      <c r="B32" s="150" t="str">
        <f ca="1">Berechnung3!N32</f>
        <v/>
      </c>
      <c r="C32" s="148" t="str">
        <f ca="1">Berechnung3!O32</f>
        <v/>
      </c>
      <c r="D32" s="148" t="str">
        <f ca="1">Berechnung3!P32</f>
        <v/>
      </c>
    </row>
    <row r="33" spans="1:4" x14ac:dyDescent="0.25">
      <c r="A33" s="150" t="str">
        <f ca="1">Berechnung3!L33</f>
        <v/>
      </c>
      <c r="B33" s="150" t="str">
        <f ca="1">Berechnung3!N33</f>
        <v/>
      </c>
      <c r="C33" s="148" t="str">
        <f ca="1">Berechnung3!O33</f>
        <v/>
      </c>
      <c r="D33" s="148" t="str">
        <f ca="1">Berechnung3!P33</f>
        <v/>
      </c>
    </row>
    <row r="34" spans="1:4" x14ac:dyDescent="0.25">
      <c r="A34" s="150" t="str">
        <f ca="1">Berechnung3!L34</f>
        <v/>
      </c>
      <c r="B34" s="150" t="str">
        <f ca="1">Berechnung3!N34</f>
        <v/>
      </c>
      <c r="C34" s="148" t="str">
        <f ca="1">Berechnung3!O34</f>
        <v/>
      </c>
      <c r="D34" s="148" t="str">
        <f ca="1">Berechnung3!P34</f>
        <v/>
      </c>
    </row>
    <row r="35" spans="1:4" x14ac:dyDescent="0.25">
      <c r="A35" s="150" t="str">
        <f ca="1">Berechnung3!L35</f>
        <v/>
      </c>
      <c r="B35" s="150" t="str">
        <f ca="1">Berechnung3!N35</f>
        <v/>
      </c>
      <c r="C35" s="148" t="str">
        <f ca="1">Berechnung3!O35</f>
        <v/>
      </c>
      <c r="D35" s="148" t="str">
        <f ca="1">Berechnung3!P35</f>
        <v/>
      </c>
    </row>
    <row r="36" spans="1:4" x14ac:dyDescent="0.25">
      <c r="A36" s="150" t="str">
        <f ca="1">Berechnung3!L36</f>
        <v/>
      </c>
      <c r="B36" s="150" t="str">
        <f ca="1">Berechnung3!N36</f>
        <v/>
      </c>
      <c r="C36" s="148" t="str">
        <f ca="1">Berechnung3!O36</f>
        <v/>
      </c>
      <c r="D36" s="148" t="str">
        <f ca="1">Berechnung3!P36</f>
        <v/>
      </c>
    </row>
    <row r="37" spans="1:4" x14ac:dyDescent="0.25">
      <c r="A37" s="150" t="str">
        <f ca="1">Berechnung3!L37</f>
        <v/>
      </c>
      <c r="B37" s="150" t="str">
        <f ca="1">Berechnung3!N37</f>
        <v/>
      </c>
      <c r="C37" s="148" t="str">
        <f ca="1">Berechnung3!O37</f>
        <v/>
      </c>
      <c r="D37" s="148" t="str">
        <f ca="1">Berechnung3!P37</f>
        <v/>
      </c>
    </row>
    <row r="38" spans="1:4" x14ac:dyDescent="0.25">
      <c r="A38" s="150" t="str">
        <f ca="1">Berechnung3!L38</f>
        <v/>
      </c>
      <c r="B38" s="150" t="str">
        <f ca="1">Berechnung3!N38</f>
        <v/>
      </c>
      <c r="C38" s="148" t="str">
        <f ca="1">Berechnung3!O38</f>
        <v/>
      </c>
      <c r="D38" s="148" t="str">
        <f ca="1">Berechnung3!P38</f>
        <v/>
      </c>
    </row>
    <row r="39" spans="1:4" x14ac:dyDescent="0.25">
      <c r="A39" s="150" t="str">
        <f ca="1">Berechnung3!L39</f>
        <v/>
      </c>
      <c r="B39" s="150" t="str">
        <f ca="1">Berechnung3!N39</f>
        <v/>
      </c>
      <c r="C39" s="148" t="str">
        <f ca="1">Berechnung3!O39</f>
        <v/>
      </c>
      <c r="D39" s="148" t="str">
        <f ca="1">Berechnung3!P39</f>
        <v/>
      </c>
    </row>
    <row r="40" spans="1:4" x14ac:dyDescent="0.25">
      <c r="A40" s="150" t="str">
        <f ca="1">Berechnung3!L40</f>
        <v/>
      </c>
      <c r="B40" s="150" t="str">
        <f ca="1">Berechnung3!N40</f>
        <v/>
      </c>
      <c r="C40" s="148" t="str">
        <f ca="1">Berechnung3!O40</f>
        <v/>
      </c>
      <c r="D40" s="148" t="str">
        <f ca="1">Berechnung3!P40</f>
        <v/>
      </c>
    </row>
    <row r="41" spans="1:4" x14ac:dyDescent="0.25">
      <c r="A41" s="150" t="str">
        <f ca="1">Berechnung3!L41</f>
        <v/>
      </c>
      <c r="B41" s="150" t="str">
        <f ca="1">Berechnung3!N41</f>
        <v/>
      </c>
      <c r="C41" s="148" t="str">
        <f ca="1">Berechnung3!O41</f>
        <v/>
      </c>
      <c r="D41" s="148" t="str">
        <f ca="1">Berechnung3!P41</f>
        <v/>
      </c>
    </row>
    <row r="42" spans="1:4" x14ac:dyDescent="0.25">
      <c r="A42" s="150" t="str">
        <f ca="1">Berechnung3!L42</f>
        <v/>
      </c>
      <c r="B42" s="150" t="str">
        <f ca="1">Berechnung3!N42</f>
        <v/>
      </c>
      <c r="C42" s="148" t="str">
        <f ca="1">Berechnung3!O42</f>
        <v/>
      </c>
      <c r="D42" s="148" t="str">
        <f ca="1">Berechnung3!P42</f>
        <v/>
      </c>
    </row>
    <row r="43" spans="1:4" x14ac:dyDescent="0.25">
      <c r="A43" s="150" t="str">
        <f ca="1">Berechnung3!L43</f>
        <v/>
      </c>
      <c r="B43" s="150" t="str">
        <f ca="1">Berechnung3!N43</f>
        <v/>
      </c>
      <c r="C43" s="148" t="str">
        <f ca="1">Berechnung3!O43</f>
        <v/>
      </c>
      <c r="D43" s="148" t="str">
        <f ca="1">Berechnung3!P43</f>
        <v/>
      </c>
    </row>
    <row r="44" spans="1:4" x14ac:dyDescent="0.25">
      <c r="A44" s="150" t="str">
        <f ca="1">Berechnung3!L44</f>
        <v/>
      </c>
      <c r="B44" s="150" t="str">
        <f ca="1">Berechnung3!N44</f>
        <v/>
      </c>
      <c r="C44" s="148" t="str">
        <f ca="1">Berechnung3!O44</f>
        <v/>
      </c>
      <c r="D44" s="148" t="str">
        <f ca="1">Berechnung3!P44</f>
        <v/>
      </c>
    </row>
    <row r="45" spans="1:4" x14ac:dyDescent="0.25">
      <c r="A45" s="150" t="str">
        <f ca="1">Berechnung3!L45</f>
        <v/>
      </c>
      <c r="B45" s="150" t="str">
        <f ca="1">Berechnung3!N45</f>
        <v/>
      </c>
      <c r="C45" s="148" t="str">
        <f ca="1">Berechnung3!O45</f>
        <v/>
      </c>
      <c r="D45" s="148" t="str">
        <f ca="1">Berechnung3!P45</f>
        <v/>
      </c>
    </row>
    <row r="46" spans="1:4" x14ac:dyDescent="0.25">
      <c r="A46" s="150" t="str">
        <f ca="1">Berechnung3!L46</f>
        <v/>
      </c>
      <c r="B46" s="150" t="str">
        <f ca="1">Berechnung3!N46</f>
        <v/>
      </c>
      <c r="C46" s="148" t="str">
        <f ca="1">Berechnung3!O46</f>
        <v/>
      </c>
      <c r="D46" s="148" t="str">
        <f ca="1">Berechnung3!P46</f>
        <v/>
      </c>
    </row>
    <row r="47" spans="1:4" x14ac:dyDescent="0.25">
      <c r="A47" s="150" t="str">
        <f ca="1">Berechnung3!L47</f>
        <v/>
      </c>
      <c r="B47" s="150" t="str">
        <f ca="1">Berechnung3!N47</f>
        <v/>
      </c>
      <c r="C47" s="148" t="str">
        <f ca="1">Berechnung3!O47</f>
        <v/>
      </c>
      <c r="D47" s="148" t="str">
        <f ca="1">Berechnung3!P47</f>
        <v/>
      </c>
    </row>
    <row r="48" spans="1:4" x14ac:dyDescent="0.25">
      <c r="A48" s="150" t="str">
        <f ca="1">Berechnung3!L48</f>
        <v/>
      </c>
      <c r="B48" s="150" t="str">
        <f ca="1">Berechnung3!N48</f>
        <v/>
      </c>
      <c r="C48" s="148" t="str">
        <f ca="1">Berechnung3!O48</f>
        <v/>
      </c>
      <c r="D48" s="148" t="str">
        <f ca="1">Berechnung3!P48</f>
        <v/>
      </c>
    </row>
    <row r="49" spans="1:4" x14ac:dyDescent="0.25">
      <c r="A49" s="150" t="str">
        <f ca="1">Berechnung3!L49</f>
        <v/>
      </c>
      <c r="B49" s="150" t="str">
        <f ca="1">Berechnung3!N49</f>
        <v/>
      </c>
      <c r="C49" s="148" t="str">
        <f ca="1">Berechnung3!O49</f>
        <v/>
      </c>
      <c r="D49" s="148" t="str">
        <f ca="1">Berechnung3!P49</f>
        <v/>
      </c>
    </row>
    <row r="50" spans="1:4" x14ac:dyDescent="0.25">
      <c r="A50" s="150" t="str">
        <f ca="1">Berechnung3!L50</f>
        <v/>
      </c>
      <c r="B50" s="150" t="str">
        <f ca="1">Berechnung3!N50</f>
        <v/>
      </c>
      <c r="C50" s="148" t="str">
        <f ca="1">Berechnung3!O50</f>
        <v/>
      </c>
      <c r="D50" s="148" t="str">
        <f ca="1">Berechnung3!P50</f>
        <v/>
      </c>
    </row>
    <row r="51" spans="1:4" x14ac:dyDescent="0.25">
      <c r="A51" s="150" t="str">
        <f ca="1">Berechnung3!L51</f>
        <v/>
      </c>
      <c r="B51" s="150" t="str">
        <f ca="1">Berechnung3!N51</f>
        <v/>
      </c>
      <c r="C51" s="148" t="str">
        <f ca="1">Berechnung3!O51</f>
        <v/>
      </c>
      <c r="D51" s="148" t="str">
        <f ca="1">Berechnung3!P51</f>
        <v/>
      </c>
    </row>
    <row r="52" spans="1:4" x14ac:dyDescent="0.25">
      <c r="A52" s="150" t="str">
        <f ca="1">Berechnung3!L52</f>
        <v/>
      </c>
      <c r="B52" s="150" t="str">
        <f ca="1">Berechnung3!N52</f>
        <v/>
      </c>
      <c r="C52" s="148" t="str">
        <f ca="1">Berechnung3!O52</f>
        <v/>
      </c>
      <c r="D52" s="148" t="str">
        <f ca="1">Berechnung3!P52</f>
        <v/>
      </c>
    </row>
    <row r="53" spans="1:4" x14ac:dyDescent="0.25">
      <c r="A53" s="150" t="str">
        <f ca="1">Berechnung3!L53</f>
        <v/>
      </c>
      <c r="B53" s="150" t="str">
        <f ca="1">Berechnung3!N53</f>
        <v/>
      </c>
      <c r="C53" s="148" t="str">
        <f ca="1">Berechnung3!O53</f>
        <v/>
      </c>
      <c r="D53" s="148" t="str">
        <f ca="1">Berechnung3!P53</f>
        <v/>
      </c>
    </row>
    <row r="54" spans="1:4" x14ac:dyDescent="0.25">
      <c r="A54" s="150" t="str">
        <f ca="1">Berechnung3!L54</f>
        <v/>
      </c>
      <c r="B54" s="150" t="str">
        <f ca="1">Berechnung3!N54</f>
        <v/>
      </c>
      <c r="C54" s="148" t="str">
        <f ca="1">Berechnung3!O54</f>
        <v/>
      </c>
      <c r="D54" s="148" t="str">
        <f ca="1">Berechnung3!P54</f>
        <v/>
      </c>
    </row>
    <row r="55" spans="1:4" x14ac:dyDescent="0.25">
      <c r="A55" s="150" t="str">
        <f ca="1">Berechnung3!L55</f>
        <v/>
      </c>
      <c r="B55" s="150" t="str">
        <f ca="1">Berechnung3!N55</f>
        <v/>
      </c>
      <c r="C55" s="148" t="str">
        <f ca="1">Berechnung3!O55</f>
        <v/>
      </c>
      <c r="D55" s="148" t="str">
        <f ca="1">Berechnung3!P55</f>
        <v/>
      </c>
    </row>
    <row r="56" spans="1:4" x14ac:dyDescent="0.25">
      <c r="A56" s="150" t="str">
        <f ca="1">Berechnung3!L56</f>
        <v/>
      </c>
      <c r="B56" s="150" t="str">
        <f ca="1">Berechnung3!N56</f>
        <v/>
      </c>
      <c r="C56" s="148" t="str">
        <f ca="1">Berechnung3!O56</f>
        <v/>
      </c>
      <c r="D56" s="148" t="str">
        <f ca="1">Berechnung3!P56</f>
        <v/>
      </c>
    </row>
    <row r="57" spans="1:4" x14ac:dyDescent="0.25">
      <c r="A57" s="150" t="str">
        <f ca="1">Berechnung3!L57</f>
        <v/>
      </c>
      <c r="B57" s="150" t="str">
        <f ca="1">Berechnung3!N57</f>
        <v/>
      </c>
      <c r="C57" s="148" t="str">
        <f ca="1">Berechnung3!O57</f>
        <v/>
      </c>
      <c r="D57" s="148" t="str">
        <f ca="1">Berechnung3!P57</f>
        <v/>
      </c>
    </row>
    <row r="58" spans="1:4" x14ac:dyDescent="0.25">
      <c r="A58" s="150" t="str">
        <f ca="1">Berechnung3!L58</f>
        <v/>
      </c>
      <c r="B58" s="150" t="str">
        <f ca="1">Berechnung3!N58</f>
        <v/>
      </c>
      <c r="C58" s="148" t="str">
        <f ca="1">Berechnung3!O58</f>
        <v/>
      </c>
      <c r="D58" s="148" t="str">
        <f ca="1">Berechnung3!P58</f>
        <v/>
      </c>
    </row>
    <row r="59" spans="1:4" x14ac:dyDescent="0.25">
      <c r="A59" s="150" t="str">
        <f ca="1">Berechnung3!L59</f>
        <v/>
      </c>
      <c r="B59" s="150" t="str">
        <f ca="1">Berechnung3!N59</f>
        <v/>
      </c>
      <c r="C59" s="148" t="str">
        <f ca="1">Berechnung3!O59</f>
        <v/>
      </c>
      <c r="D59" s="148" t="str">
        <f ca="1">Berechnung3!P59</f>
        <v/>
      </c>
    </row>
    <row r="60" spans="1:4" x14ac:dyDescent="0.25">
      <c r="A60" s="150" t="str">
        <f ca="1">Berechnung3!L60</f>
        <v/>
      </c>
      <c r="B60" s="150" t="str">
        <f ca="1">Berechnung3!N60</f>
        <v/>
      </c>
      <c r="C60" s="148" t="str">
        <f ca="1">Berechnung3!O60</f>
        <v/>
      </c>
      <c r="D60" s="148" t="str">
        <f ca="1">Berechnung3!P60</f>
        <v/>
      </c>
    </row>
    <row r="61" spans="1:4" x14ac:dyDescent="0.25">
      <c r="A61" s="150" t="str">
        <f ca="1">Berechnung3!L61</f>
        <v/>
      </c>
      <c r="B61" s="150" t="str">
        <f ca="1">Berechnung3!N61</f>
        <v/>
      </c>
      <c r="C61" s="148" t="str">
        <f ca="1">Berechnung3!O61</f>
        <v/>
      </c>
      <c r="D61" s="148" t="str">
        <f ca="1">Berechnung3!P61</f>
        <v/>
      </c>
    </row>
    <row r="62" spans="1:4" x14ac:dyDescent="0.25">
      <c r="A62" s="150" t="str">
        <f ca="1">Berechnung3!L62</f>
        <v/>
      </c>
      <c r="B62" s="150" t="str">
        <f ca="1">Berechnung3!N62</f>
        <v/>
      </c>
      <c r="C62" s="148" t="str">
        <f ca="1">Berechnung3!O62</f>
        <v/>
      </c>
      <c r="D62" s="148" t="str">
        <f ca="1">Berechnung3!P62</f>
        <v/>
      </c>
    </row>
    <row r="63" spans="1:4" x14ac:dyDescent="0.25">
      <c r="A63" s="150" t="str">
        <f ca="1">Berechnung3!L63</f>
        <v/>
      </c>
      <c r="B63" s="150" t="str">
        <f ca="1">Berechnung3!N63</f>
        <v/>
      </c>
      <c r="C63" s="148" t="str">
        <f ca="1">Berechnung3!O63</f>
        <v/>
      </c>
      <c r="D63" s="148" t="str">
        <f ca="1">Berechnung3!P63</f>
        <v/>
      </c>
    </row>
    <row r="64" spans="1:4" x14ac:dyDescent="0.25">
      <c r="A64" s="150" t="str">
        <f ca="1">Berechnung3!L64</f>
        <v/>
      </c>
      <c r="B64" s="150" t="str">
        <f ca="1">Berechnung3!N64</f>
        <v/>
      </c>
      <c r="C64" s="148" t="str">
        <f ca="1">Berechnung3!O64</f>
        <v/>
      </c>
      <c r="D64" s="148" t="str">
        <f ca="1">Berechnung3!P64</f>
        <v/>
      </c>
    </row>
    <row r="65" spans="1:4" x14ac:dyDescent="0.25">
      <c r="A65" s="150" t="str">
        <f ca="1">Berechnung3!L65</f>
        <v/>
      </c>
      <c r="B65" s="150" t="str">
        <f ca="1">Berechnung3!N65</f>
        <v/>
      </c>
      <c r="C65" s="148" t="str">
        <f ca="1">Berechnung3!O65</f>
        <v/>
      </c>
      <c r="D65" s="148" t="str">
        <f ca="1">Berechnung3!P65</f>
        <v/>
      </c>
    </row>
  </sheetData>
  <phoneticPr fontId="81" type="noConversion"/>
  <pageMargins left="0.7" right="0.7" top="0.78740157499999996" bottom="0.78740157499999996" header="0.3" footer="0.3"/>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Tabelle9"/>
  <dimension ref="A1:AO120"/>
  <sheetViews>
    <sheetView showGridLines="0" showRuler="0" zoomScaleNormal="100" zoomScaleSheetLayoutView="100" workbookViewId="0">
      <selection activeCell="D23" sqref="D23"/>
    </sheetView>
  </sheetViews>
  <sheetFormatPr defaultColWidth="9" defaultRowHeight="14.25" x14ac:dyDescent="0.2"/>
  <cols>
    <col min="1" max="1" width="12" style="8" customWidth="1"/>
    <col min="2" max="2" width="4.7109375" style="8" customWidth="1"/>
    <col min="3" max="7" width="5.7109375" style="8" customWidth="1"/>
    <col min="8" max="8" width="0.42578125" style="8" customWidth="1"/>
    <col min="9" max="9" width="4.7109375" style="8" customWidth="1"/>
    <col min="10" max="12" width="5.28515625" style="8" customWidth="1"/>
    <col min="13" max="13" width="7.7109375" style="8" customWidth="1"/>
    <col min="14" max="14" width="0.42578125" style="8" customWidth="1"/>
    <col min="15" max="15" width="5.7109375" style="8" customWidth="1"/>
    <col min="16" max="16" width="6.7109375" style="8" hidden="1" customWidth="1"/>
    <col min="17" max="23" width="5.28515625" style="8" customWidth="1"/>
    <col min="24" max="24" width="0.5703125" style="8" customWidth="1"/>
    <col min="25" max="25" width="7.42578125" style="8" customWidth="1"/>
    <col min="26" max="26" width="7.42578125" style="18" customWidth="1"/>
    <col min="27" max="211" width="11.42578125" style="8" customWidth="1"/>
    <col min="212" max="16384" width="9" style="8"/>
  </cols>
  <sheetData>
    <row r="1" spans="1:41" ht="9.9499999999999993" customHeight="1" x14ac:dyDescent="0.2">
      <c r="C1" s="31"/>
      <c r="J1" s="19"/>
      <c r="K1" s="19"/>
      <c r="L1" s="19"/>
      <c r="M1" s="19"/>
      <c r="N1" s="19"/>
      <c r="O1" s="19"/>
      <c r="P1" s="19"/>
      <c r="Q1" s="19"/>
      <c r="R1" s="19"/>
    </row>
    <row r="2" spans="1:41" ht="12.95" customHeight="1" x14ac:dyDescent="0.2">
      <c r="A2" s="17" t="str">
        <f>Basisdaten!A2</f>
        <v>Anlage EB P1.1 (Auditjahr 2026 / Kennzahlenjahr 2025)</v>
      </c>
      <c r="G2" s="41"/>
      <c r="J2" s="19"/>
      <c r="K2" s="19"/>
      <c r="L2" s="19"/>
      <c r="M2" s="19"/>
      <c r="N2" s="19"/>
      <c r="O2" s="19"/>
      <c r="P2" s="19"/>
      <c r="Q2" s="19"/>
      <c r="R2" s="19"/>
    </row>
    <row r="3" spans="1:41" ht="16.5" x14ac:dyDescent="0.25">
      <c r="A3" s="22" t="s">
        <v>1319</v>
      </c>
      <c r="J3" s="19"/>
      <c r="K3" s="19"/>
      <c r="L3" s="19"/>
      <c r="M3" s="19"/>
      <c r="N3" s="19"/>
      <c r="O3" s="19"/>
      <c r="P3" s="19"/>
      <c r="R3" s="20"/>
      <c r="S3" s="20"/>
      <c r="T3" s="20"/>
      <c r="U3" s="20"/>
    </row>
    <row r="4" spans="1:41" x14ac:dyDescent="0.2">
      <c r="A4" s="48" t="s">
        <v>416</v>
      </c>
      <c r="J4" s="19"/>
      <c r="K4" s="19"/>
      <c r="L4" s="19"/>
      <c r="M4" s="19"/>
      <c r="N4" s="19"/>
      <c r="O4" s="19"/>
      <c r="P4" s="19"/>
      <c r="R4" s="20"/>
      <c r="S4" s="20"/>
      <c r="T4" s="20"/>
      <c r="U4" s="20"/>
      <c r="AK4" s="42"/>
      <c r="AL4" s="42"/>
      <c r="AM4" s="42"/>
      <c r="AN4" s="42"/>
    </row>
    <row r="5" spans="1:41" ht="15" customHeight="1" x14ac:dyDescent="0.2">
      <c r="O5" s="19"/>
      <c r="P5" s="19"/>
      <c r="AK5" s="42"/>
      <c r="AL5" s="42"/>
      <c r="AM5" s="42"/>
      <c r="AN5" s="42"/>
    </row>
    <row r="6" spans="1:41" s="26" customFormat="1" ht="15" customHeight="1" x14ac:dyDescent="0.25">
      <c r="B6" s="29" t="s">
        <v>398</v>
      </c>
      <c r="D6" s="8"/>
      <c r="F6" s="701" t="str">
        <f>IF(Basisdaten!B8=0,"",Basisdaten!B8)</f>
        <v/>
      </c>
      <c r="G6" s="870"/>
      <c r="H6" s="871"/>
      <c r="I6" s="871"/>
      <c r="J6" s="871"/>
      <c r="K6" s="871"/>
      <c r="L6" s="871"/>
      <c r="M6" s="871"/>
      <c r="N6" s="871"/>
      <c r="O6" s="804"/>
      <c r="P6" s="804"/>
      <c r="Q6" s="804"/>
      <c r="R6" s="804"/>
      <c r="S6" s="804"/>
      <c r="T6" s="804"/>
      <c r="U6" s="804"/>
      <c r="V6" s="804"/>
      <c r="W6" s="805"/>
      <c r="Z6" s="17"/>
      <c r="AK6" s="42"/>
      <c r="AL6" s="42"/>
      <c r="AM6" s="42"/>
      <c r="AN6" s="42"/>
    </row>
    <row r="7" spans="1:41" s="26" customFormat="1" ht="6.95" customHeight="1" x14ac:dyDescent="0.2">
      <c r="B7" s="10"/>
      <c r="C7" s="25"/>
      <c r="D7" s="8"/>
      <c r="E7" s="8"/>
      <c r="F7" s="8"/>
      <c r="G7" s="8"/>
      <c r="H7" s="23"/>
      <c r="I7" s="24"/>
      <c r="J7" s="24"/>
      <c r="K7" s="24"/>
      <c r="AK7" s="42"/>
      <c r="AL7" s="42"/>
      <c r="AM7" s="42"/>
      <c r="AN7" s="42"/>
    </row>
    <row r="8" spans="1:41" s="26" customFormat="1" ht="15" customHeight="1" x14ac:dyDescent="0.25">
      <c r="B8" s="27" t="s">
        <v>346</v>
      </c>
      <c r="C8" s="28"/>
      <c r="D8" s="8"/>
      <c r="F8" s="872" t="str">
        <f>IF(Basisdaten!B6=0,"",Basisdaten!B6)</f>
        <v/>
      </c>
      <c r="G8" s="873"/>
      <c r="H8" s="804"/>
      <c r="I8" s="804"/>
      <c r="J8" s="805"/>
      <c r="Q8" s="9" t="s">
        <v>344</v>
      </c>
      <c r="T8" s="874" t="str">
        <f>IF(Basisdaten!G12=0,"",Basisdaten!G12)</f>
        <v/>
      </c>
      <c r="U8" s="875"/>
      <c r="V8" s="875"/>
      <c r="W8" s="805"/>
      <c r="AK8" s="42"/>
      <c r="AL8" s="42"/>
      <c r="AM8" s="42"/>
      <c r="AN8" s="42"/>
    </row>
    <row r="9" spans="1:41" s="26" customFormat="1" ht="8.25" customHeight="1" x14ac:dyDescent="0.2">
      <c r="B9" s="27"/>
      <c r="C9" s="28"/>
      <c r="D9" s="8"/>
      <c r="F9" s="8"/>
      <c r="G9" s="8"/>
      <c r="H9" s="30"/>
      <c r="J9" s="24"/>
      <c r="K9" s="24"/>
      <c r="L9" s="8"/>
      <c r="M9" s="8"/>
      <c r="Z9" s="17"/>
      <c r="AK9" s="42"/>
      <c r="AL9" s="42"/>
      <c r="AM9" s="42"/>
      <c r="AN9" s="42"/>
    </row>
    <row r="10" spans="1:41" s="26" customFormat="1" ht="8.25" customHeight="1" x14ac:dyDescent="0.2">
      <c r="B10" s="27"/>
      <c r="C10" s="28"/>
      <c r="D10" s="8"/>
      <c r="F10" s="8"/>
      <c r="G10" s="8"/>
      <c r="H10" s="30"/>
      <c r="J10" s="24"/>
      <c r="K10" s="24"/>
      <c r="L10" s="8"/>
      <c r="M10" s="8"/>
      <c r="Z10" s="17"/>
      <c r="AK10" s="42"/>
      <c r="AL10" s="42"/>
      <c r="AM10" s="42"/>
      <c r="AN10" s="42"/>
    </row>
    <row r="11" spans="1:41" ht="6" customHeight="1" x14ac:dyDescent="0.2">
      <c r="A11" s="884"/>
      <c r="B11" s="884"/>
      <c r="C11" s="884"/>
      <c r="D11" s="884"/>
      <c r="E11" s="884"/>
      <c r="F11" s="884"/>
      <c r="G11" s="884"/>
      <c r="H11" s="884"/>
      <c r="I11" s="884"/>
      <c r="J11" s="884"/>
      <c r="K11" s="884"/>
      <c r="L11" s="884"/>
      <c r="M11" s="884"/>
      <c r="N11" s="884"/>
      <c r="O11" s="884"/>
      <c r="P11" s="884"/>
      <c r="Q11" s="884"/>
      <c r="R11" s="884"/>
      <c r="S11" s="884"/>
      <c r="T11" s="884"/>
      <c r="U11" s="884"/>
      <c r="V11" s="884"/>
      <c r="W11" s="884"/>
      <c r="X11" s="884"/>
      <c r="Y11" s="884"/>
      <c r="Z11" s="884"/>
      <c r="AH11" s="42"/>
      <c r="AI11" s="42"/>
      <c r="AJ11" s="42"/>
      <c r="AK11" s="42"/>
      <c r="AL11" s="42"/>
      <c r="AM11" s="42"/>
    </row>
    <row r="12" spans="1:41" ht="15" x14ac:dyDescent="0.25">
      <c r="A12" s="32" t="s">
        <v>358</v>
      </c>
    </row>
    <row r="13" spans="1:41" ht="11.25" customHeight="1" x14ac:dyDescent="0.25">
      <c r="B13" s="876" t="str">
        <f>IF(OR(B14="",B14="Matrix kann eingereicht werden"),"In Ordnung",IF(B14="die inkorrekten und unvollständigen Einträge beheben","Nicht in Ordnung"))</f>
        <v>In Ordnung</v>
      </c>
      <c r="C13" s="876"/>
      <c r="D13" s="877"/>
      <c r="E13" s="877"/>
      <c r="F13" s="877"/>
      <c r="G13" s="878" t="s">
        <v>345</v>
      </c>
      <c r="H13" s="879"/>
      <c r="I13" s="879"/>
      <c r="J13" s="879"/>
      <c r="K13" s="879"/>
      <c r="L13" s="880" t="s">
        <v>294</v>
      </c>
      <c r="M13" s="881"/>
      <c r="N13" s="881"/>
      <c r="O13" s="881"/>
      <c r="P13" s="881"/>
      <c r="Q13" s="881"/>
      <c r="R13" s="881"/>
      <c r="S13" s="882" t="s">
        <v>353</v>
      </c>
      <c r="T13" s="883"/>
      <c r="U13" s="883"/>
      <c r="V13" s="883"/>
      <c r="W13" s="882" t="s">
        <v>443</v>
      </c>
      <c r="X13" s="879"/>
      <c r="Y13" s="879"/>
      <c r="Z13" s="879"/>
    </row>
    <row r="14" spans="1:41" ht="20.25" customHeight="1" x14ac:dyDescent="0.25">
      <c r="B14" s="891" t="str">
        <f>Berechnung4!B6</f>
        <v/>
      </c>
      <c r="C14" s="891"/>
      <c r="D14" s="892"/>
      <c r="E14" s="892"/>
      <c r="F14" s="892"/>
      <c r="G14" s="893">
        <f>Berechnung4!C6</f>
        <v>0</v>
      </c>
      <c r="H14" s="894"/>
      <c r="I14" s="894"/>
      <c r="J14" s="894"/>
      <c r="K14" s="894"/>
      <c r="L14" s="895">
        <f>Berechnung4!D6</f>
        <v>0</v>
      </c>
      <c r="M14" s="896"/>
      <c r="N14" s="896"/>
      <c r="O14" s="896"/>
      <c r="P14" s="896"/>
      <c r="Q14" s="896"/>
      <c r="R14" s="896"/>
      <c r="S14" s="897">
        <f>Berechnung4!E6</f>
        <v>0</v>
      </c>
      <c r="T14" s="898"/>
      <c r="U14" s="898"/>
      <c r="V14" s="898"/>
      <c r="W14" s="897">
        <f>Berechnung4!F6</f>
        <v>0</v>
      </c>
      <c r="X14" s="894"/>
      <c r="Y14" s="894"/>
      <c r="Z14" s="894"/>
    </row>
    <row r="15" spans="1:41" s="26" customFormat="1" ht="5.25" customHeight="1" x14ac:dyDescent="0.2">
      <c r="B15" s="10"/>
      <c r="C15" s="16"/>
      <c r="D15" s="16"/>
      <c r="E15" s="16"/>
      <c r="F15" s="16"/>
      <c r="G15" s="16"/>
      <c r="Z15" s="17"/>
      <c r="AL15" s="42"/>
      <c r="AM15" s="42"/>
      <c r="AN15" s="42"/>
      <c r="AO15" s="42"/>
    </row>
    <row r="16" spans="1:41" s="26" customFormat="1" ht="6" customHeight="1" x14ac:dyDescent="0.2">
      <c r="B16" s="10"/>
      <c r="C16" s="16"/>
      <c r="D16" s="16"/>
      <c r="E16" s="16"/>
      <c r="F16" s="16"/>
      <c r="G16" s="16"/>
      <c r="Z16" s="17"/>
      <c r="AL16" s="42"/>
      <c r="AM16" s="42"/>
      <c r="AN16" s="42"/>
      <c r="AO16" s="42"/>
    </row>
    <row r="17" spans="1:41" s="26" customFormat="1" ht="4.5" customHeight="1" x14ac:dyDescent="0.2">
      <c r="B17" s="10"/>
      <c r="C17" s="16"/>
      <c r="D17" s="16"/>
      <c r="E17" s="16"/>
      <c r="F17" s="16"/>
      <c r="G17" s="16"/>
      <c r="Z17" s="17"/>
      <c r="AL17" s="42"/>
      <c r="AM17" s="42"/>
      <c r="AN17" s="42"/>
      <c r="AO17" s="42"/>
    </row>
    <row r="18" spans="1:41" s="26" customFormat="1" ht="6" customHeight="1" thickBot="1" x14ac:dyDescent="0.25">
      <c r="B18" s="10"/>
      <c r="C18" s="16"/>
      <c r="D18" s="16"/>
      <c r="E18" s="16"/>
      <c r="F18" s="16"/>
      <c r="G18" s="16"/>
      <c r="Z18" s="17"/>
      <c r="AL18" s="42"/>
      <c r="AM18" s="42"/>
      <c r="AN18" s="42"/>
      <c r="AO18" s="42"/>
    </row>
    <row r="19" spans="1:41" ht="24" customHeight="1" thickTop="1" thickBot="1" x14ac:dyDescent="0.3">
      <c r="A19" s="49"/>
      <c r="B19" s="50"/>
      <c r="C19" s="885" t="s">
        <v>417</v>
      </c>
      <c r="D19" s="886"/>
      <c r="E19" s="886"/>
      <c r="F19" s="886"/>
      <c r="G19" s="886"/>
      <c r="H19" s="288"/>
      <c r="I19" s="887" t="s">
        <v>350</v>
      </c>
      <c r="J19" s="888"/>
      <c r="K19" s="888"/>
      <c r="L19" s="888"/>
      <c r="M19" s="888"/>
      <c r="N19" s="888"/>
      <c r="O19" s="888"/>
      <c r="P19" s="888"/>
      <c r="Q19" s="888"/>
      <c r="R19" s="888"/>
      <c r="S19" s="888"/>
      <c r="T19" s="888"/>
      <c r="U19" s="888"/>
      <c r="V19" s="888"/>
      <c r="W19" s="889"/>
      <c r="X19" s="287"/>
      <c r="Y19" s="887" t="s">
        <v>1436</v>
      </c>
      <c r="Z19" s="890"/>
      <c r="AI19" s="42"/>
      <c r="AJ19" s="42"/>
      <c r="AK19" s="42"/>
      <c r="AL19" s="42"/>
      <c r="AM19" s="42"/>
      <c r="AN19" s="42"/>
    </row>
    <row r="20" spans="1:41" ht="15" thickBot="1" x14ac:dyDescent="0.25">
      <c r="A20" s="51" t="s">
        <v>393</v>
      </c>
      <c r="B20" s="51" t="s">
        <v>282</v>
      </c>
      <c r="C20" s="285" t="s">
        <v>295</v>
      </c>
      <c r="D20" s="1" t="s">
        <v>296</v>
      </c>
      <c r="E20" s="1" t="s">
        <v>297</v>
      </c>
      <c r="F20" s="1" t="s">
        <v>298</v>
      </c>
      <c r="G20" s="1" t="s">
        <v>299</v>
      </c>
      <c r="H20" s="286"/>
      <c r="I20" s="285" t="s">
        <v>300</v>
      </c>
      <c r="J20" s="312" t="s">
        <v>348</v>
      </c>
      <c r="K20" s="312" t="s">
        <v>418</v>
      </c>
      <c r="L20" s="312" t="s">
        <v>349</v>
      </c>
      <c r="M20" s="312" t="s">
        <v>419</v>
      </c>
      <c r="N20" s="301"/>
      <c r="O20" s="285" t="s">
        <v>301</v>
      </c>
      <c r="P20" s="312" t="s">
        <v>302</v>
      </c>
      <c r="Q20" s="312" t="s">
        <v>303</v>
      </c>
      <c r="R20" s="312" t="s">
        <v>338</v>
      </c>
      <c r="S20" s="312" t="s">
        <v>420</v>
      </c>
      <c r="T20" s="312" t="s">
        <v>304</v>
      </c>
      <c r="U20" s="312" t="s">
        <v>305</v>
      </c>
      <c r="V20" s="312" t="s">
        <v>306</v>
      </c>
      <c r="W20" s="312" t="s">
        <v>307</v>
      </c>
      <c r="X20" s="301"/>
      <c r="Y20" s="285" t="s">
        <v>308</v>
      </c>
      <c r="Z20" s="313" t="s">
        <v>309</v>
      </c>
      <c r="AI20" s="42"/>
      <c r="AJ20" s="42"/>
      <c r="AK20" s="42"/>
      <c r="AL20" s="42"/>
      <c r="AM20" s="42"/>
      <c r="AN20" s="42"/>
    </row>
    <row r="21" spans="1:41" ht="128.25" customHeight="1" thickBot="1" x14ac:dyDescent="0.25">
      <c r="A21" s="866" t="s">
        <v>333</v>
      </c>
      <c r="B21" s="866" t="s">
        <v>446</v>
      </c>
      <c r="C21" s="868" t="s">
        <v>1306</v>
      </c>
      <c r="D21" s="868" t="s">
        <v>694</v>
      </c>
      <c r="E21" s="868" t="s">
        <v>695</v>
      </c>
      <c r="F21" s="868" t="s">
        <v>696</v>
      </c>
      <c r="G21" s="868" t="s">
        <v>697</v>
      </c>
      <c r="H21" s="286"/>
      <c r="I21" s="975" t="s">
        <v>1307</v>
      </c>
      <c r="J21" s="919" t="s">
        <v>698</v>
      </c>
      <c r="K21" s="919" t="s">
        <v>699</v>
      </c>
      <c r="L21" s="919" t="s">
        <v>700</v>
      </c>
      <c r="M21" s="916" t="s">
        <v>421</v>
      </c>
      <c r="N21" s="290"/>
      <c r="O21" s="914" t="s">
        <v>1434</v>
      </c>
      <c r="P21" s="921" t="s">
        <v>88</v>
      </c>
      <c r="Q21" s="923" t="s">
        <v>1308</v>
      </c>
      <c r="R21" s="304" t="s">
        <v>422</v>
      </c>
      <c r="S21" s="304" t="s">
        <v>423</v>
      </c>
      <c r="T21" s="304" t="s">
        <v>424</v>
      </c>
      <c r="U21" s="914" t="s">
        <v>1435</v>
      </c>
      <c r="V21" s="924" t="s">
        <v>82</v>
      </c>
      <c r="W21" s="914" t="s">
        <v>112</v>
      </c>
      <c r="X21" s="290"/>
      <c r="Y21" s="912" t="s">
        <v>310</v>
      </c>
      <c r="Z21" s="908" t="s">
        <v>289</v>
      </c>
      <c r="AI21" s="42"/>
      <c r="AJ21" s="42"/>
      <c r="AK21" s="42"/>
      <c r="AL21" s="42"/>
      <c r="AM21" s="42"/>
      <c r="AN21" s="42"/>
    </row>
    <row r="22" spans="1:41" ht="33" customHeight="1" thickBot="1" x14ac:dyDescent="0.25">
      <c r="A22" s="867"/>
      <c r="B22" s="867"/>
      <c r="C22" s="869"/>
      <c r="D22" s="869"/>
      <c r="E22" s="869"/>
      <c r="F22" s="869"/>
      <c r="G22" s="869"/>
      <c r="H22" s="286"/>
      <c r="I22" s="976"/>
      <c r="J22" s="920"/>
      <c r="K22" s="920"/>
      <c r="L22" s="920"/>
      <c r="M22" s="917"/>
      <c r="N22" s="290"/>
      <c r="O22" s="915"/>
      <c r="P22" s="922"/>
      <c r="Q22" s="918"/>
      <c r="R22" s="910" t="s">
        <v>311</v>
      </c>
      <c r="S22" s="910"/>
      <c r="T22" s="910"/>
      <c r="U22" s="915"/>
      <c r="V22" s="925"/>
      <c r="W22" s="915"/>
      <c r="X22" s="290"/>
      <c r="Y22" s="913"/>
      <c r="Z22" s="909"/>
      <c r="AI22" s="42"/>
      <c r="AJ22" s="42"/>
      <c r="AK22" s="42"/>
      <c r="AL22" s="42"/>
      <c r="AM22" s="42"/>
      <c r="AN22" s="42"/>
    </row>
    <row r="23" spans="1:41" ht="20.100000000000001" customHeight="1" thickBot="1" x14ac:dyDescent="0.25">
      <c r="A23" s="69" t="str">
        <f>IF(Datenquelle!$F$3&gt;6,IF(Datenquelle!$F$3=7,"EZ",IF(Datenquelle!$F$3&gt;7,"relevant","?")),"nicht relevant")</f>
        <v>nicht relevant</v>
      </c>
      <c r="B23" s="68">
        <v>2019</v>
      </c>
      <c r="C23" s="302">
        <f t="shared" ref="C23:C28" si="0">SUM(D23:G23)</f>
        <v>0</v>
      </c>
      <c r="D23" s="74"/>
      <c r="E23" s="74"/>
      <c r="F23" s="74"/>
      <c r="G23" s="74"/>
      <c r="H23" s="286"/>
      <c r="I23" s="61" t="str">
        <f>IF(SUM(J23:L23)=0,"",SUM(J23:L23))</f>
        <v/>
      </c>
      <c r="J23" s="74"/>
      <c r="K23" s="74"/>
      <c r="L23" s="74"/>
      <c r="M23" s="291" t="str">
        <f>IF(I23="","",IF(I23&gt;0,SUM(J23:K23) /I23,0))</f>
        <v/>
      </c>
      <c r="N23" s="290"/>
      <c r="O23" s="61" t="str">
        <f>IF(COUNTA(Q23:W23)&lt;7,"",SUM(J23+K23-Q23-V23-W23-U23))</f>
        <v/>
      </c>
      <c r="P23" s="52" t="str">
        <f>IF(AND(COUNTA(J23:K23)&gt;0,O23&lt;&gt;"",SUM(J23:K23)&gt;0),O23 /(J23+K23),"")</f>
        <v/>
      </c>
      <c r="Q23" s="74"/>
      <c r="R23" s="74"/>
      <c r="S23" s="74"/>
      <c r="T23" s="74"/>
      <c r="U23" s="74"/>
      <c r="V23" s="74"/>
      <c r="W23" s="74"/>
      <c r="X23" s="303"/>
      <c r="Y23" s="115"/>
      <c r="Z23" s="116"/>
      <c r="AI23" s="42"/>
      <c r="AJ23" s="42"/>
      <c r="AK23" s="42"/>
      <c r="AL23" s="42"/>
      <c r="AM23" s="42"/>
      <c r="AN23" s="42"/>
    </row>
    <row r="24" spans="1:41" s="16" customFormat="1" ht="20.100000000000001" customHeight="1" thickBot="1" x14ac:dyDescent="0.25">
      <c r="A24" s="70" t="str">
        <f>IF(Datenquelle!$F$3&gt;5,IF(Datenquelle!$F$3=6,"EZ",IF(Datenquelle!$F$3&gt;6,"relevant","?")),"nicht relevant")</f>
        <v>nicht relevant</v>
      </c>
      <c r="B24" s="66">
        <v>2020</v>
      </c>
      <c r="C24" s="302">
        <f t="shared" si="0"/>
        <v>0</v>
      </c>
      <c r="D24" s="74"/>
      <c r="E24" s="74"/>
      <c r="F24" s="74"/>
      <c r="G24" s="74"/>
      <c r="H24" s="286"/>
      <c r="I24" s="61" t="str">
        <f>IF(SUM(J24:L24)=0,"",SUM(J24:L24))</f>
        <v/>
      </c>
      <c r="J24" s="74"/>
      <c r="K24" s="74"/>
      <c r="L24" s="74"/>
      <c r="M24" s="291" t="str">
        <f>IF(I24="","",IF(I24&gt;0,SUM(J24:K24) /I24,0))</f>
        <v/>
      </c>
      <c r="N24" s="290"/>
      <c r="O24" s="61" t="str">
        <f>IF(COUNTA(Q24:W24)&lt;7,"",SUM(J24+K24-Q24-V24-W24-U24))</f>
        <v/>
      </c>
      <c r="P24" s="52" t="str">
        <f>IF(AND(COUNTA(J24:K24)&gt;0,O24&lt;&gt;"",SUM(J24:K24)&gt;0),O24 /(J24+K24),"")</f>
        <v/>
      </c>
      <c r="Q24" s="74"/>
      <c r="R24" s="74"/>
      <c r="S24" s="74"/>
      <c r="T24" s="74"/>
      <c r="U24" s="74"/>
      <c r="V24" s="74"/>
      <c r="W24" s="74"/>
      <c r="X24" s="303"/>
      <c r="Y24" s="115"/>
      <c r="Z24" s="116"/>
      <c r="AI24" s="42"/>
      <c r="AJ24" s="42"/>
      <c r="AK24" s="42"/>
      <c r="AL24" s="42"/>
      <c r="AM24" s="42"/>
      <c r="AN24" s="42"/>
    </row>
    <row r="25" spans="1:41" s="16" customFormat="1" ht="20.100000000000001" customHeight="1" thickBot="1" x14ac:dyDescent="0.25">
      <c r="A25" s="70" t="str">
        <f>IF(Datenquelle!$F$3&gt;4,IF(Datenquelle!$F$3=5,"EZ",IF(Datenquelle!$F$3&gt;5,"relevant","?")),"nicht relevant")</f>
        <v>nicht relevant</v>
      </c>
      <c r="B25" s="66">
        <v>2021</v>
      </c>
      <c r="C25" s="302">
        <f t="shared" si="0"/>
        <v>0</v>
      </c>
      <c r="D25" s="74"/>
      <c r="E25" s="74"/>
      <c r="F25" s="74"/>
      <c r="G25" s="74"/>
      <c r="H25" s="286"/>
      <c r="I25" s="61" t="str">
        <f>IF(SUM(J25:L25)=0,"",SUM(J25:L25))</f>
        <v/>
      </c>
      <c r="J25" s="74"/>
      <c r="K25" s="74"/>
      <c r="L25" s="74"/>
      <c r="M25" s="291" t="str">
        <f>IF(I25="","",IF(I25&gt;0,SUM(J25:K25) /I25,0))</f>
        <v/>
      </c>
      <c r="N25" s="290"/>
      <c r="O25" s="61" t="str">
        <f>IF(COUNTA(Q25:W25)&lt;7,"",SUM(J25+K25-Q25-V25-W25-U25))</f>
        <v/>
      </c>
      <c r="P25" s="52" t="str">
        <f>IF(AND(COUNTA(J25:K25)&gt;0,O25&lt;&gt;"",SUM(J25:K25)&gt;0),O25 /(J25+K25),"")</f>
        <v/>
      </c>
      <c r="Q25" s="74"/>
      <c r="R25" s="74"/>
      <c r="S25" s="74"/>
      <c r="T25" s="74"/>
      <c r="U25" s="74"/>
      <c r="V25" s="74"/>
      <c r="W25" s="74"/>
      <c r="X25" s="303"/>
      <c r="Y25" s="115"/>
      <c r="Z25" s="116"/>
      <c r="AI25" s="42"/>
      <c r="AJ25" s="42"/>
      <c r="AK25" s="42"/>
      <c r="AL25" s="42"/>
      <c r="AM25" s="42"/>
      <c r="AN25" s="42"/>
    </row>
    <row r="26" spans="1:41" s="16" customFormat="1" ht="20.100000000000001" customHeight="1" thickBot="1" x14ac:dyDescent="0.25">
      <c r="A26" s="70" t="str">
        <f>IF(Datenquelle!$F$3&gt;3,IF(Datenquelle!$F$3=4,"EZ",IF(Datenquelle!$F$3&gt;4,"relevant","?")),"nicht relevant")</f>
        <v>nicht relevant</v>
      </c>
      <c r="B26" s="66">
        <v>2022</v>
      </c>
      <c r="C26" s="302">
        <f t="shared" si="0"/>
        <v>0</v>
      </c>
      <c r="D26" s="74"/>
      <c r="E26" s="74"/>
      <c r="F26" s="74"/>
      <c r="G26" s="74"/>
      <c r="H26" s="286"/>
      <c r="I26" s="61" t="str">
        <f>IF(SUM(J26:L26)=0,"",SUM(J26:L26))</f>
        <v/>
      </c>
      <c r="J26" s="74"/>
      <c r="K26" s="74"/>
      <c r="L26" s="74"/>
      <c r="M26" s="291" t="str">
        <f>IF(I26="","",IF(I26&gt;0,SUM(J26:K26) /I26,0))</f>
        <v/>
      </c>
      <c r="N26" s="290"/>
      <c r="O26" s="61" t="str">
        <f>IF(COUNTA(Q26:W26)&lt;7,"",SUM(J26+K26-Q26-V26-W26-U26))</f>
        <v/>
      </c>
      <c r="P26" s="52" t="str">
        <f>IF(AND(COUNTA(J26:K26)&gt;0,O26&lt;&gt;"",SUM(J26:K26)&gt;0),O26 /(J26+K26),"")</f>
        <v/>
      </c>
      <c r="Q26" s="74"/>
      <c r="R26" s="74"/>
      <c r="S26" s="74"/>
      <c r="T26" s="74"/>
      <c r="U26" s="74"/>
      <c r="V26" s="74"/>
      <c r="W26" s="74"/>
      <c r="X26" s="303"/>
      <c r="Y26" s="115"/>
      <c r="Z26" s="116"/>
      <c r="AI26" s="42"/>
      <c r="AJ26" s="42"/>
      <c r="AK26" s="42"/>
      <c r="AL26" s="42"/>
      <c r="AM26" s="42"/>
      <c r="AN26" s="42"/>
    </row>
    <row r="27" spans="1:41" s="16" customFormat="1" ht="20.100000000000001" customHeight="1" thickBot="1" x14ac:dyDescent="0.25">
      <c r="A27" s="71" t="str">
        <f>IF(Datenquelle!$F$3&gt;2,IF(Datenquelle!$F$3=3,"EZ",IF(Datenquelle!$F$3&gt;3,"relevant","?")),"nicht relevant")</f>
        <v>nicht relevant</v>
      </c>
      <c r="B27" s="67">
        <v>2023</v>
      </c>
      <c r="C27" s="60">
        <f t="shared" si="0"/>
        <v>0</v>
      </c>
      <c r="D27" s="75"/>
      <c r="E27" s="75"/>
      <c r="F27" s="75"/>
      <c r="G27" s="75"/>
      <c r="H27" s="286"/>
      <c r="I27" s="61" t="str">
        <f>IF(SUM(J27:L27)=0,"",SUM(J27:L27))</f>
        <v/>
      </c>
      <c r="J27" s="74"/>
      <c r="K27" s="74"/>
      <c r="L27" s="74"/>
      <c r="M27" s="291" t="str">
        <f>IF(I27="","",IF(I27&gt;0,SUM(J27:K27) /I27,0))</f>
        <v/>
      </c>
      <c r="N27" s="290"/>
      <c r="O27" s="61" t="str">
        <f>IF(COUNTA(Q27:W27)&lt;7,"",SUM(J27+K27-Q27-V27-W27-U27))</f>
        <v/>
      </c>
      <c r="P27" s="52" t="str">
        <f>IF(AND(COUNTA(J27:K27)&gt;0,O27&lt;&gt;"",SUM(J27:K27)&gt;0),O27 /(J27+K27),"")</f>
        <v/>
      </c>
      <c r="Q27" s="74"/>
      <c r="R27" s="74"/>
      <c r="S27" s="74"/>
      <c r="T27" s="74"/>
      <c r="U27" s="74"/>
      <c r="V27" s="74"/>
      <c r="W27" s="74"/>
      <c r="X27" s="303"/>
      <c r="Y27" s="115"/>
      <c r="Z27" s="116"/>
      <c r="AI27" s="42"/>
      <c r="AJ27" s="42"/>
      <c r="AK27" s="42"/>
      <c r="AL27" s="42"/>
      <c r="AM27" s="42"/>
      <c r="AN27" s="42"/>
    </row>
    <row r="28" spans="1:41" s="16" customFormat="1" ht="20.100000000000001" customHeight="1" thickBot="1" x14ac:dyDescent="0.25">
      <c r="A28" s="71" t="str">
        <f>IF(Datenquelle!$F$3&gt;1,IF(Datenquelle!$F$3=2,"EZ",IF(Datenquelle!$F$3&gt;2,"relevant","?")),"nicht relevant")</f>
        <v>nicht relevant</v>
      </c>
      <c r="B28" s="67" t="s">
        <v>1491</v>
      </c>
      <c r="C28" s="455">
        <f t="shared" si="0"/>
        <v>0</v>
      </c>
      <c r="D28" s="75"/>
      <c r="E28" s="75"/>
      <c r="F28" s="75"/>
      <c r="G28" s="75"/>
      <c r="H28" s="467"/>
      <c r="I28" s="911"/>
      <c r="J28" s="911"/>
      <c r="K28" s="911"/>
      <c r="L28" s="911"/>
      <c r="M28" s="911"/>
      <c r="N28" s="468"/>
      <c r="O28" s="911"/>
      <c r="P28" s="911"/>
      <c r="Q28" s="911"/>
      <c r="R28" s="911"/>
      <c r="S28" s="911"/>
      <c r="T28" s="911"/>
      <c r="U28" s="911"/>
      <c r="V28" s="911"/>
      <c r="W28" s="911"/>
      <c r="X28" s="468"/>
      <c r="Y28" s="906"/>
      <c r="Z28" s="907"/>
      <c r="AI28" s="42"/>
      <c r="AJ28" s="42"/>
      <c r="AK28" s="42"/>
      <c r="AL28" s="42"/>
      <c r="AM28" s="42"/>
      <c r="AN28" s="42"/>
    </row>
    <row r="29" spans="1:41" s="16" customFormat="1" ht="20.100000000000001" customHeight="1" thickBot="1" x14ac:dyDescent="0.25">
      <c r="A29" s="77" t="str">
        <f>IF(Datenquelle!$F$3&gt;0,IF(Datenquelle!$F$3=1,"EZ",IF(Datenquelle!$F$3&gt;1,"relevant","?")),"nicht relevant")</f>
        <v>nicht relevant</v>
      </c>
      <c r="B29" s="78" t="s">
        <v>1818</v>
      </c>
      <c r="C29" s="79">
        <f t="shared" ref="C29" si="1">SUM(D29:G29)</f>
        <v>0</v>
      </c>
      <c r="D29" s="80"/>
      <c r="E29" s="80"/>
      <c r="F29" s="80"/>
      <c r="G29" s="80"/>
      <c r="H29" s="81"/>
      <c r="I29" s="926"/>
      <c r="J29" s="926"/>
      <c r="K29" s="926"/>
      <c r="L29" s="926"/>
      <c r="M29" s="926"/>
      <c r="N29" s="62"/>
      <c r="O29" s="926"/>
      <c r="P29" s="926"/>
      <c r="Q29" s="926"/>
      <c r="R29" s="926"/>
      <c r="S29" s="926"/>
      <c r="T29" s="926"/>
      <c r="U29" s="926"/>
      <c r="V29" s="926"/>
      <c r="W29" s="926"/>
      <c r="X29" s="62"/>
      <c r="Y29" s="945"/>
      <c r="Z29" s="946"/>
      <c r="AI29" s="42"/>
      <c r="AJ29" s="42"/>
      <c r="AK29" s="42"/>
      <c r="AL29" s="42"/>
      <c r="AM29" s="42"/>
      <c r="AN29" s="42"/>
    </row>
    <row r="30" spans="1:41" ht="3" customHeight="1" thickTop="1" x14ac:dyDescent="0.25">
      <c r="A30"/>
      <c r="B30"/>
      <c r="C30"/>
      <c r="D30"/>
      <c r="E30"/>
      <c r="F30"/>
      <c r="G30"/>
      <c r="H30"/>
      <c r="I30"/>
      <c r="J30"/>
      <c r="K30"/>
      <c r="L30"/>
      <c r="M30"/>
      <c r="N30"/>
      <c r="O30"/>
      <c r="P30"/>
      <c r="Q30"/>
      <c r="R30"/>
      <c r="S30"/>
      <c r="T30"/>
      <c r="U30"/>
      <c r="V30"/>
      <c r="W30"/>
      <c r="X30"/>
      <c r="Y30"/>
      <c r="Z30"/>
      <c r="AI30" s="42"/>
      <c r="AJ30" s="42"/>
      <c r="AK30" s="42"/>
      <c r="AL30" s="42"/>
      <c r="AM30" s="42"/>
      <c r="AN30" s="42"/>
    </row>
    <row r="31" spans="1:41" ht="15" customHeight="1" x14ac:dyDescent="0.25">
      <c r="A31"/>
      <c r="B31"/>
      <c r="C31"/>
      <c r="D31"/>
      <c r="E31"/>
      <c r="F31" s="4" t="s">
        <v>1819</v>
      </c>
      <c r="G31" s="82"/>
      <c r="H31"/>
      <c r="I31"/>
      <c r="J31"/>
      <c r="K31"/>
      <c r="L31"/>
      <c r="M31" s="294" t="str">
        <f>IF(A27="EZ","-----",IF(A27= "Nicht relevant","-----",IF(COUNTBLANK(M25:M27)=3,"",SUMIF(A25:A27,"relevant",M25:M27) /COUNTIF(A25:A27,"relevant"))))</f>
        <v>-----</v>
      </c>
      <c r="N31"/>
      <c r="O31"/>
      <c r="P31"/>
      <c r="Q31"/>
      <c r="R31"/>
      <c r="S31"/>
      <c r="T31"/>
      <c r="U31"/>
      <c r="V31"/>
      <c r="W31"/>
      <c r="X31"/>
      <c r="Y31"/>
      <c r="AI31" s="42"/>
      <c r="AJ31" s="42"/>
      <c r="AK31" s="42"/>
      <c r="AL31" s="42"/>
      <c r="AM31" s="42"/>
      <c r="AN31" s="42"/>
    </row>
    <row r="32" spans="1:41" ht="11.25" customHeight="1" x14ac:dyDescent="0.2">
      <c r="A32" s="53"/>
      <c r="B32" s="21"/>
      <c r="C32" s="21"/>
      <c r="D32" s="21"/>
      <c r="E32" s="21"/>
      <c r="F32" s="21"/>
      <c r="G32" s="21"/>
      <c r="H32" s="21"/>
      <c r="I32" s="21"/>
      <c r="J32" s="21"/>
      <c r="K32" s="21"/>
      <c r="L32" s="21"/>
      <c r="M32" s="21"/>
      <c r="N32" s="21"/>
      <c r="O32" s="21"/>
      <c r="P32" s="54"/>
      <c r="Q32" s="54"/>
      <c r="R32" s="21"/>
      <c r="S32" s="21"/>
      <c r="T32" s="21"/>
      <c r="U32" s="21"/>
      <c r="V32" s="21"/>
      <c r="W32" s="21"/>
      <c r="X32" s="21"/>
      <c r="AI32" s="42"/>
      <c r="AJ32" s="42"/>
      <c r="AK32" s="42"/>
      <c r="AL32" s="42"/>
      <c r="AM32" s="42"/>
      <c r="AN32" s="42"/>
    </row>
    <row r="33" spans="1:27" s="11" customFormat="1" ht="14.1" customHeight="1" x14ac:dyDescent="0.2">
      <c r="A33" s="864" t="s">
        <v>701</v>
      </c>
      <c r="B33" s="864"/>
      <c r="C33" s="864"/>
      <c r="D33" s="864"/>
      <c r="E33" s="864"/>
      <c r="F33" s="864"/>
      <c r="G33" s="864"/>
      <c r="H33" s="864"/>
      <c r="I33" s="864"/>
      <c r="J33" s="864"/>
      <c r="K33" s="864"/>
      <c r="L33" s="864"/>
      <c r="M33" s="864"/>
      <c r="N33" s="864"/>
      <c r="O33" s="864"/>
      <c r="P33" s="864"/>
      <c r="Q33" s="864"/>
      <c r="R33" s="864"/>
      <c r="S33" s="864"/>
      <c r="T33" s="864"/>
      <c r="U33" s="864"/>
      <c r="V33" s="864"/>
      <c r="W33" s="864"/>
      <c r="X33" s="864"/>
      <c r="Y33" s="864"/>
      <c r="Z33" s="864"/>
    </row>
    <row r="34" spans="1:27" s="11" customFormat="1" ht="14.1" customHeight="1" x14ac:dyDescent="0.2">
      <c r="A34" s="864" t="s">
        <v>1309</v>
      </c>
      <c r="B34" s="864"/>
      <c r="C34" s="864"/>
      <c r="D34" s="864"/>
      <c r="E34" s="864"/>
      <c r="F34" s="864"/>
      <c r="G34" s="864"/>
      <c r="H34" s="864"/>
      <c r="I34" s="864"/>
      <c r="J34" s="864"/>
      <c r="K34" s="864"/>
      <c r="L34" s="864"/>
      <c r="M34" s="864"/>
      <c r="N34" s="864"/>
      <c r="O34" s="864"/>
      <c r="P34" s="864"/>
      <c r="Q34" s="864"/>
      <c r="R34" s="864"/>
      <c r="S34" s="864"/>
      <c r="T34" s="864"/>
      <c r="U34" s="864"/>
      <c r="V34" s="864"/>
      <c r="W34" s="864"/>
      <c r="X34" s="864"/>
      <c r="Y34" s="864"/>
      <c r="Z34" s="864"/>
    </row>
    <row r="35" spans="1:27" s="11" customFormat="1" ht="23.25" customHeight="1" x14ac:dyDescent="0.2">
      <c r="A35" s="865" t="s">
        <v>1310</v>
      </c>
      <c r="B35" s="865"/>
      <c r="C35" s="865"/>
      <c r="D35" s="865"/>
      <c r="E35" s="865"/>
      <c r="F35" s="865"/>
      <c r="G35" s="865"/>
      <c r="H35" s="865"/>
      <c r="I35" s="865"/>
      <c r="J35" s="865"/>
      <c r="K35" s="865"/>
      <c r="L35" s="865"/>
      <c r="M35" s="865"/>
      <c r="N35" s="865"/>
      <c r="O35" s="865"/>
      <c r="P35" s="865"/>
      <c r="Q35" s="865"/>
      <c r="R35" s="865"/>
      <c r="S35" s="865"/>
      <c r="T35" s="865"/>
      <c r="U35" s="865"/>
      <c r="V35" s="865"/>
      <c r="W35" s="865"/>
      <c r="X35" s="865"/>
      <c r="Y35" s="865"/>
      <c r="Z35" s="865"/>
    </row>
    <row r="36" spans="1:27" s="11" customFormat="1" ht="21.75" customHeight="1" x14ac:dyDescent="0.2">
      <c r="A36" s="865" t="s">
        <v>1820</v>
      </c>
      <c r="B36" s="865"/>
      <c r="C36" s="865"/>
      <c r="D36" s="865"/>
      <c r="E36" s="865"/>
      <c r="F36" s="865"/>
      <c r="G36" s="865"/>
      <c r="H36" s="865"/>
      <c r="I36" s="865"/>
      <c r="J36" s="865"/>
      <c r="K36" s="865"/>
      <c r="L36" s="865"/>
      <c r="M36" s="865"/>
      <c r="N36" s="865"/>
      <c r="O36" s="865"/>
      <c r="P36" s="865"/>
      <c r="Q36" s="865"/>
      <c r="R36" s="865"/>
      <c r="S36" s="865"/>
      <c r="T36" s="865"/>
      <c r="U36" s="865"/>
      <c r="V36" s="865"/>
      <c r="W36" s="865"/>
      <c r="X36" s="865"/>
      <c r="Y36" s="865"/>
      <c r="Z36" s="865"/>
      <c r="AA36" s="356"/>
    </row>
    <row r="37" spans="1:27" s="11" customFormat="1" ht="14.1" customHeight="1" x14ac:dyDescent="0.2">
      <c r="A37" s="864" t="s">
        <v>702</v>
      </c>
      <c r="B37" s="864"/>
      <c r="C37" s="864"/>
      <c r="D37" s="864"/>
      <c r="E37" s="864"/>
      <c r="F37" s="864"/>
      <c r="G37" s="864"/>
      <c r="H37" s="864"/>
      <c r="I37" s="864"/>
      <c r="J37" s="864"/>
      <c r="K37" s="864"/>
      <c r="L37" s="864"/>
      <c r="M37" s="864"/>
      <c r="N37" s="864"/>
      <c r="O37" s="864"/>
      <c r="P37" s="864"/>
      <c r="Q37" s="864"/>
      <c r="R37" s="864"/>
      <c r="S37" s="864"/>
      <c r="T37" s="864"/>
      <c r="U37" s="864"/>
      <c r="V37" s="864"/>
      <c r="W37" s="864"/>
      <c r="X37" s="864"/>
      <c r="Y37" s="864"/>
      <c r="Z37" s="864"/>
    </row>
    <row r="38" spans="1:27" s="11" customFormat="1" ht="14.1" customHeight="1" x14ac:dyDescent="0.2">
      <c r="A38" s="864" t="s">
        <v>1311</v>
      </c>
      <c r="B38" s="864"/>
      <c r="C38" s="864"/>
      <c r="D38" s="864"/>
      <c r="E38" s="864"/>
      <c r="F38" s="864"/>
      <c r="G38" s="864"/>
      <c r="H38" s="864"/>
      <c r="I38" s="864"/>
      <c r="J38" s="864"/>
      <c r="K38" s="864"/>
      <c r="L38" s="864"/>
      <c r="M38" s="864"/>
      <c r="N38" s="864"/>
      <c r="O38" s="864"/>
      <c r="P38" s="864"/>
      <c r="Q38" s="864"/>
      <c r="R38" s="864"/>
      <c r="S38" s="864"/>
      <c r="T38" s="864"/>
      <c r="U38" s="864"/>
      <c r="V38" s="864"/>
      <c r="W38" s="864"/>
      <c r="X38" s="864"/>
      <c r="Y38" s="864"/>
      <c r="Z38" s="864"/>
    </row>
    <row r="39" spans="1:27" s="11" customFormat="1" ht="14.1" customHeight="1" x14ac:dyDescent="0.2">
      <c r="A39" s="864" t="s">
        <v>1312</v>
      </c>
      <c r="B39" s="864"/>
      <c r="C39" s="864"/>
      <c r="D39" s="864"/>
      <c r="E39" s="864"/>
      <c r="F39" s="864"/>
      <c r="G39" s="864"/>
      <c r="H39" s="864"/>
      <c r="I39" s="864"/>
      <c r="J39" s="864"/>
      <c r="K39" s="864"/>
      <c r="L39" s="864"/>
      <c r="M39" s="864"/>
      <c r="N39" s="864"/>
      <c r="O39" s="864"/>
      <c r="P39" s="864"/>
      <c r="Q39" s="864"/>
      <c r="R39" s="864"/>
      <c r="S39" s="864"/>
      <c r="T39" s="864"/>
      <c r="U39" s="864"/>
      <c r="V39" s="864"/>
      <c r="W39" s="864"/>
      <c r="X39" s="864"/>
      <c r="Y39" s="864"/>
      <c r="Z39" s="864"/>
    </row>
    <row r="40" spans="1:27" s="11" customFormat="1" ht="24.75" customHeight="1" x14ac:dyDescent="0.2">
      <c r="A40" s="863" t="s">
        <v>1428</v>
      </c>
      <c r="B40" s="863"/>
      <c r="C40" s="863"/>
      <c r="D40" s="863"/>
      <c r="E40" s="863"/>
      <c r="F40" s="863"/>
      <c r="G40" s="863"/>
      <c r="H40" s="863"/>
      <c r="I40" s="863"/>
      <c r="J40" s="863"/>
      <c r="K40" s="863"/>
      <c r="L40" s="863"/>
      <c r="M40" s="863"/>
      <c r="N40" s="863"/>
      <c r="O40" s="863"/>
      <c r="P40" s="863"/>
      <c r="Q40" s="863"/>
      <c r="R40" s="863"/>
      <c r="S40" s="863"/>
      <c r="T40" s="863"/>
      <c r="U40" s="863"/>
      <c r="V40" s="863"/>
      <c r="W40" s="863"/>
      <c r="X40" s="863"/>
      <c r="Y40" s="863"/>
      <c r="Z40" s="863"/>
      <c r="AA40" s="355"/>
    </row>
    <row r="41" spans="1:27" s="11" customFormat="1" ht="15.75" customHeight="1" x14ac:dyDescent="0.2">
      <c r="A41" s="953" t="s">
        <v>1429</v>
      </c>
      <c r="B41" s="953"/>
      <c r="C41" s="953"/>
      <c r="D41" s="953"/>
      <c r="E41" s="953"/>
      <c r="F41" s="953"/>
      <c r="G41" s="953"/>
      <c r="H41" s="953"/>
      <c r="I41" s="953"/>
      <c r="J41" s="953"/>
      <c r="K41" s="953"/>
      <c r="L41" s="953"/>
      <c r="M41" s="953"/>
      <c r="N41" s="953"/>
      <c r="O41" s="953"/>
      <c r="P41" s="953"/>
      <c r="Q41" s="953"/>
      <c r="R41" s="953"/>
      <c r="S41" s="953"/>
      <c r="T41" s="953"/>
      <c r="U41" s="953"/>
      <c r="V41" s="953"/>
      <c r="W41" s="953"/>
      <c r="X41" s="953"/>
      <c r="Y41" s="953"/>
      <c r="Z41" s="953"/>
    </row>
    <row r="42" spans="1:27" s="11" customFormat="1" ht="33.75" customHeight="1" x14ac:dyDescent="0.2">
      <c r="A42" s="952" t="s">
        <v>1430</v>
      </c>
      <c r="B42" s="952"/>
      <c r="C42" s="952"/>
      <c r="D42" s="952"/>
      <c r="E42" s="952"/>
      <c r="F42" s="952"/>
      <c r="G42" s="952"/>
      <c r="H42" s="952"/>
      <c r="I42" s="952"/>
      <c r="J42" s="952"/>
      <c r="K42" s="952"/>
      <c r="L42" s="952"/>
      <c r="M42" s="952"/>
      <c r="N42" s="952"/>
      <c r="O42" s="952"/>
      <c r="P42" s="952"/>
      <c r="Q42" s="952"/>
      <c r="R42" s="952"/>
      <c r="S42" s="952"/>
      <c r="T42" s="952"/>
      <c r="U42" s="952"/>
      <c r="V42" s="952"/>
      <c r="W42" s="952"/>
      <c r="X42" s="952"/>
      <c r="Y42" s="952"/>
      <c r="Z42" s="952"/>
    </row>
    <row r="43" spans="1:27" s="11" customFormat="1" ht="14.1" customHeight="1" x14ac:dyDescent="0.2">
      <c r="A43" s="72" t="s">
        <v>343</v>
      </c>
      <c r="Z43" s="4"/>
    </row>
    <row r="44" spans="1:27" s="11" customFormat="1" ht="14.1" customHeight="1" x14ac:dyDescent="0.2">
      <c r="A44" s="35" t="s">
        <v>425</v>
      </c>
      <c r="Z44" s="4"/>
    </row>
    <row r="45" spans="1:27" s="35" customFormat="1" ht="14.1" customHeight="1" x14ac:dyDescent="0.25">
      <c r="A45" s="35" t="s">
        <v>426</v>
      </c>
    </row>
    <row r="46" spans="1:27" s="11" customFormat="1" ht="14.1" customHeight="1" x14ac:dyDescent="0.2">
      <c r="A46" s="87" t="s">
        <v>400</v>
      </c>
      <c r="B46" s="35" t="s">
        <v>1313</v>
      </c>
      <c r="Z46" s="4"/>
    </row>
    <row r="47" spans="1:27" s="11" customFormat="1" ht="14.1" customHeight="1" x14ac:dyDescent="0.2">
      <c r="A47" s="87" t="s">
        <v>401</v>
      </c>
      <c r="B47" s="35" t="s">
        <v>610</v>
      </c>
      <c r="Z47" s="4"/>
    </row>
    <row r="48" spans="1:27" s="11" customFormat="1" ht="14.1" customHeight="1" x14ac:dyDescent="0.2">
      <c r="A48" s="87" t="s">
        <v>402</v>
      </c>
      <c r="B48" s="35" t="s">
        <v>447</v>
      </c>
      <c r="E48" s="88"/>
      <c r="Z48" s="4"/>
    </row>
    <row r="49" spans="1:36" s="11" customFormat="1" ht="14.1" customHeight="1" x14ac:dyDescent="0.2">
      <c r="A49" s="87" t="s">
        <v>403</v>
      </c>
      <c r="B49" s="35" t="s">
        <v>281</v>
      </c>
      <c r="Z49" s="4"/>
    </row>
    <row r="50" spans="1:36" s="11" customFormat="1" ht="14.1" customHeight="1" x14ac:dyDescent="0.2">
      <c r="A50" s="89" t="s">
        <v>404</v>
      </c>
      <c r="B50" s="35" t="s">
        <v>283</v>
      </c>
      <c r="Z50" s="4"/>
    </row>
    <row r="51" spans="1:36" s="11" customFormat="1" ht="14.1" customHeight="1" x14ac:dyDescent="0.2">
      <c r="A51" s="87" t="s">
        <v>408</v>
      </c>
      <c r="B51" s="35" t="s">
        <v>109</v>
      </c>
      <c r="Z51" s="4"/>
    </row>
    <row r="52" spans="1:36" s="11" customFormat="1" ht="18.75" customHeight="1" x14ac:dyDescent="0.2">
      <c r="A52" s="35"/>
      <c r="Z52" s="4"/>
    </row>
    <row r="53" spans="1:36" s="11" customFormat="1" ht="14.1" customHeight="1" x14ac:dyDescent="0.2">
      <c r="A53" s="72" t="s">
        <v>388</v>
      </c>
    </row>
    <row r="54" spans="1:36" s="11" customFormat="1" ht="14.1" customHeight="1" x14ac:dyDescent="0.2">
      <c r="A54" s="35" t="s">
        <v>389</v>
      </c>
    </row>
    <row r="55" spans="1:36" s="11" customFormat="1" ht="14.1" customHeight="1" x14ac:dyDescent="0.2">
      <c r="A55" s="35" t="s">
        <v>390</v>
      </c>
    </row>
    <row r="56" spans="1:36" s="11" customFormat="1" ht="14.1" customHeight="1" x14ac:dyDescent="0.2">
      <c r="A56" s="35" t="s">
        <v>110</v>
      </c>
      <c r="AE56" s="35"/>
      <c r="AF56" s="35"/>
      <c r="AG56" s="35"/>
      <c r="AH56" s="35"/>
      <c r="AI56" s="35"/>
      <c r="AJ56" s="35"/>
    </row>
    <row r="57" spans="1:36" s="11" customFormat="1" ht="14.1" customHeight="1" x14ac:dyDescent="0.2">
      <c r="A57" s="35"/>
    </row>
    <row r="58" spans="1:36" s="11" customFormat="1" ht="14.1" customHeight="1" x14ac:dyDescent="0.2">
      <c r="A58" s="90" t="s">
        <v>342</v>
      </c>
    </row>
    <row r="59" spans="1:36" s="11" customFormat="1" ht="21" customHeight="1" x14ac:dyDescent="0.2">
      <c r="A59" s="91" t="s">
        <v>116</v>
      </c>
      <c r="B59" s="903" t="s">
        <v>284</v>
      </c>
      <c r="C59" s="983"/>
      <c r="D59" s="984"/>
      <c r="E59" s="903" t="s">
        <v>336</v>
      </c>
      <c r="F59" s="983"/>
      <c r="G59" s="984"/>
      <c r="H59" s="985" t="s">
        <v>394</v>
      </c>
      <c r="I59" s="986"/>
      <c r="J59" s="986"/>
      <c r="K59" s="986"/>
      <c r="L59" s="986"/>
      <c r="M59" s="986"/>
      <c r="N59" s="986"/>
      <c r="O59" s="986"/>
      <c r="P59" s="986"/>
      <c r="Q59" s="986"/>
      <c r="R59" s="986"/>
      <c r="S59" s="986"/>
      <c r="T59" s="986"/>
      <c r="U59" s="986"/>
      <c r="V59" s="986"/>
      <c r="W59" s="986"/>
      <c r="X59" s="986"/>
      <c r="Y59" s="986"/>
      <c r="Z59" s="987"/>
    </row>
    <row r="60" spans="1:36" s="11" customFormat="1" ht="14.1" customHeight="1" x14ac:dyDescent="0.2">
      <c r="A60" s="94" t="s">
        <v>362</v>
      </c>
      <c r="B60" s="947" t="s">
        <v>275</v>
      </c>
      <c r="C60" s="948"/>
      <c r="D60" s="949"/>
      <c r="E60" s="942"/>
      <c r="F60" s="943"/>
      <c r="G60" s="944"/>
      <c r="H60" s="83"/>
      <c r="I60" s="95" t="s">
        <v>291</v>
      </c>
      <c r="J60" s="96"/>
      <c r="K60" s="96"/>
      <c r="L60" s="96"/>
      <c r="M60" s="96"/>
      <c r="N60" s="96"/>
      <c r="O60" s="96"/>
      <c r="P60" s="92"/>
      <c r="Q60" s="92"/>
      <c r="R60" s="92"/>
      <c r="S60" s="92"/>
      <c r="T60" s="92"/>
      <c r="U60" s="92"/>
      <c r="V60" s="92"/>
      <c r="W60" s="92"/>
      <c r="X60" s="92"/>
      <c r="Y60" s="92"/>
      <c r="Z60" s="93"/>
    </row>
    <row r="61" spans="1:36" s="11" customFormat="1" ht="14.1" customHeight="1" x14ac:dyDescent="0.2">
      <c r="A61" s="94" t="s">
        <v>362</v>
      </c>
      <c r="B61" s="947" t="s">
        <v>395</v>
      </c>
      <c r="C61" s="948"/>
      <c r="D61" s="949"/>
      <c r="E61" s="937"/>
      <c r="F61" s="938"/>
      <c r="G61" s="939"/>
      <c r="H61" s="83"/>
      <c r="I61" s="97" t="s">
        <v>100</v>
      </c>
      <c r="J61" s="98"/>
      <c r="K61" s="98"/>
      <c r="L61" s="98"/>
      <c r="M61" s="98"/>
      <c r="N61" s="98"/>
      <c r="O61" s="98"/>
      <c r="P61" s="99"/>
      <c r="Q61" s="99"/>
      <c r="R61" s="99"/>
      <c r="S61" s="99"/>
      <c r="T61" s="99"/>
      <c r="U61" s="99"/>
      <c r="V61" s="99"/>
      <c r="W61" s="99"/>
      <c r="X61" s="99"/>
      <c r="Y61" s="99"/>
      <c r="Z61" s="100"/>
    </row>
    <row r="62" spans="1:36" s="11" customFormat="1" ht="14.1" customHeight="1" x14ac:dyDescent="0.2">
      <c r="A62" s="94" t="s">
        <v>393</v>
      </c>
      <c r="B62" s="947" t="s">
        <v>285</v>
      </c>
      <c r="C62" s="948"/>
      <c r="D62" s="949"/>
      <c r="E62" s="980" t="s">
        <v>443</v>
      </c>
      <c r="F62" s="981"/>
      <c r="G62" s="982"/>
      <c r="H62" s="83"/>
      <c r="I62" s="97" t="s">
        <v>101</v>
      </c>
      <c r="J62" s="97"/>
      <c r="K62" s="97"/>
      <c r="L62" s="97"/>
      <c r="M62" s="97"/>
      <c r="N62" s="97"/>
      <c r="O62" s="97"/>
      <c r="P62" s="84"/>
      <c r="Q62" s="84"/>
      <c r="R62" s="84"/>
      <c r="S62" s="84"/>
      <c r="T62" s="84"/>
      <c r="U62" s="84"/>
      <c r="V62" s="84"/>
      <c r="W62" s="84"/>
      <c r="X62" s="84"/>
      <c r="Y62" s="84"/>
      <c r="Z62" s="101"/>
    </row>
    <row r="63" spans="1:36" s="11" customFormat="1" ht="14.1" customHeight="1" x14ac:dyDescent="0.2">
      <c r="A63" s="94" t="s">
        <v>300</v>
      </c>
      <c r="B63" s="947" t="s">
        <v>427</v>
      </c>
      <c r="C63" s="948"/>
      <c r="D63" s="949"/>
      <c r="E63" s="980" t="s">
        <v>353</v>
      </c>
      <c r="F63" s="981"/>
      <c r="G63" s="982"/>
      <c r="H63" s="83"/>
      <c r="I63" s="97" t="s">
        <v>1314</v>
      </c>
      <c r="J63" s="97"/>
      <c r="K63" s="97"/>
      <c r="L63" s="97"/>
      <c r="M63" s="97"/>
      <c r="N63" s="97"/>
      <c r="O63" s="97"/>
      <c r="P63" s="84"/>
      <c r="Q63" s="84"/>
      <c r="R63" s="84"/>
      <c r="S63" s="84"/>
      <c r="T63" s="84"/>
      <c r="U63" s="84"/>
      <c r="V63" s="84"/>
      <c r="W63" s="84"/>
      <c r="X63" s="84"/>
      <c r="Y63" s="84"/>
      <c r="Z63" s="101"/>
    </row>
    <row r="64" spans="1:36" s="11" customFormat="1" ht="14.1" customHeight="1" x14ac:dyDescent="0.2">
      <c r="A64" s="94" t="s">
        <v>301</v>
      </c>
      <c r="B64" s="947" t="s">
        <v>85</v>
      </c>
      <c r="C64" s="948"/>
      <c r="D64" s="949"/>
      <c r="E64" s="980" t="s">
        <v>353</v>
      </c>
      <c r="F64" s="981"/>
      <c r="G64" s="982"/>
      <c r="H64" s="83"/>
      <c r="I64" s="97" t="s">
        <v>86</v>
      </c>
      <c r="J64" s="97"/>
      <c r="K64" s="97"/>
      <c r="L64" s="97"/>
      <c r="M64" s="97"/>
      <c r="N64" s="97"/>
      <c r="O64" s="97"/>
      <c r="P64" s="84"/>
      <c r="Q64" s="84"/>
      <c r="R64" s="84"/>
      <c r="S64" s="84"/>
      <c r="T64" s="84"/>
      <c r="U64" s="84"/>
      <c r="V64" s="84"/>
      <c r="W64" s="84"/>
      <c r="X64" s="84"/>
      <c r="Y64" s="84"/>
      <c r="Z64" s="101"/>
    </row>
    <row r="65" spans="1:26" s="11" customFormat="1" ht="14.1" customHeight="1" x14ac:dyDescent="0.2">
      <c r="A65" s="94" t="s">
        <v>428</v>
      </c>
      <c r="B65" s="947" t="s">
        <v>113</v>
      </c>
      <c r="C65" s="948"/>
      <c r="D65" s="949"/>
      <c r="E65" s="980" t="s">
        <v>353</v>
      </c>
      <c r="F65" s="981"/>
      <c r="G65" s="982"/>
      <c r="H65" s="83"/>
      <c r="I65" s="97" t="s">
        <v>89</v>
      </c>
      <c r="J65" s="97"/>
      <c r="K65" s="97"/>
      <c r="L65" s="97"/>
      <c r="M65" s="97"/>
      <c r="N65" s="97"/>
      <c r="O65" s="97"/>
      <c r="P65" s="84"/>
      <c r="Q65" s="84"/>
      <c r="R65" s="84"/>
      <c r="S65" s="84"/>
      <c r="T65" s="84"/>
      <c r="U65" s="84"/>
      <c r="V65" s="84"/>
      <c r="W65" s="84"/>
      <c r="X65" s="84"/>
      <c r="Y65" s="84"/>
      <c r="Z65" s="101"/>
    </row>
    <row r="66" spans="1:26" s="11" customFormat="1" ht="14.1" customHeight="1" x14ac:dyDescent="0.2">
      <c r="A66" s="94" t="s">
        <v>1184</v>
      </c>
      <c r="B66" s="947" t="s">
        <v>1185</v>
      </c>
      <c r="C66" s="948"/>
      <c r="D66" s="949"/>
      <c r="E66" s="977" t="s">
        <v>294</v>
      </c>
      <c r="F66" s="978"/>
      <c r="G66" s="979"/>
      <c r="H66" s="83"/>
      <c r="I66" s="97" t="s">
        <v>1822</v>
      </c>
      <c r="J66" s="97"/>
      <c r="K66" s="97"/>
      <c r="L66" s="97"/>
      <c r="M66" s="97"/>
      <c r="N66" s="97"/>
      <c r="O66" s="97"/>
      <c r="P66" s="84"/>
      <c r="Q66" s="84"/>
      <c r="R66" s="84"/>
      <c r="S66" s="84"/>
      <c r="T66" s="84"/>
      <c r="U66" s="84"/>
      <c r="V66" s="84"/>
      <c r="W66" s="84"/>
      <c r="X66" s="84"/>
      <c r="Y66" s="84"/>
      <c r="Z66" s="101"/>
    </row>
    <row r="67" spans="1:26" s="11" customFormat="1" ht="14.1" customHeight="1" x14ac:dyDescent="0.2">
      <c r="A67" s="94" t="s">
        <v>295</v>
      </c>
      <c r="B67" s="947" t="s">
        <v>129</v>
      </c>
      <c r="C67" s="948"/>
      <c r="D67" s="949"/>
      <c r="E67" s="927" t="s">
        <v>345</v>
      </c>
      <c r="F67" s="928"/>
      <c r="G67" s="929"/>
      <c r="H67" s="83"/>
      <c r="I67" s="97" t="s">
        <v>1306</v>
      </c>
      <c r="J67" s="97"/>
      <c r="K67" s="97"/>
      <c r="L67" s="97"/>
      <c r="M67" s="97"/>
      <c r="N67" s="97"/>
      <c r="O67" s="97"/>
      <c r="P67" s="84"/>
      <c r="Q67" s="84"/>
      <c r="R67" s="84"/>
      <c r="S67" s="84"/>
      <c r="T67" s="84"/>
      <c r="U67" s="84"/>
      <c r="V67" s="84"/>
      <c r="W67" s="84"/>
      <c r="X67" s="84"/>
      <c r="Y67" s="84"/>
      <c r="Z67" s="101"/>
    </row>
    <row r="68" spans="1:26" s="11" customFormat="1" ht="14.1" customHeight="1" x14ac:dyDescent="0.2">
      <c r="A68" s="94" t="s">
        <v>419</v>
      </c>
      <c r="B68" s="947" t="s">
        <v>99</v>
      </c>
      <c r="C68" s="948"/>
      <c r="D68" s="949"/>
      <c r="E68" s="927" t="s">
        <v>345</v>
      </c>
      <c r="F68" s="928"/>
      <c r="G68" s="929"/>
      <c r="H68" s="83"/>
      <c r="I68" s="97" t="s">
        <v>90</v>
      </c>
      <c r="J68" s="97"/>
      <c r="K68" s="97"/>
      <c r="L68" s="97"/>
      <c r="M68" s="97"/>
      <c r="N68" s="97"/>
      <c r="O68" s="97"/>
      <c r="P68" s="84"/>
      <c r="Q68" s="84"/>
      <c r="R68" s="84"/>
      <c r="S68" s="84"/>
      <c r="T68" s="84"/>
      <c r="U68" s="84"/>
      <c r="V68" s="84"/>
      <c r="W68" s="84"/>
      <c r="X68" s="84"/>
      <c r="Y68" s="84"/>
      <c r="Z68" s="101"/>
    </row>
    <row r="69" spans="1:26" s="11" customFormat="1" ht="14.1" customHeight="1" x14ac:dyDescent="0.2">
      <c r="A69" s="94" t="s">
        <v>1184</v>
      </c>
      <c r="B69" s="947" t="s">
        <v>1186</v>
      </c>
      <c r="C69" s="948"/>
      <c r="D69" s="949"/>
      <c r="E69" s="927" t="s">
        <v>345</v>
      </c>
      <c r="F69" s="928"/>
      <c r="G69" s="929"/>
      <c r="H69" s="83"/>
      <c r="I69" s="97" t="s">
        <v>1822</v>
      </c>
      <c r="J69" s="97"/>
      <c r="K69" s="97"/>
      <c r="L69" s="97"/>
      <c r="M69" s="97"/>
      <c r="N69" s="97"/>
      <c r="O69" s="97"/>
      <c r="P69" s="84"/>
      <c r="Q69" s="84"/>
      <c r="R69" s="84"/>
      <c r="S69" s="84"/>
      <c r="T69" s="84"/>
      <c r="U69" s="84"/>
      <c r="V69" s="84"/>
      <c r="W69" s="84"/>
      <c r="X69" s="84"/>
      <c r="Y69" s="84"/>
      <c r="Z69" s="101"/>
    </row>
    <row r="70" spans="1:26" s="11" customFormat="1" ht="12" hidden="1" customHeight="1" x14ac:dyDescent="0.2">
      <c r="A70" s="94" t="s">
        <v>302</v>
      </c>
      <c r="B70" s="947" t="s">
        <v>79</v>
      </c>
      <c r="C70" s="948"/>
      <c r="D70" s="949"/>
      <c r="E70" s="927" t="s">
        <v>345</v>
      </c>
      <c r="F70" s="928"/>
      <c r="G70" s="929"/>
      <c r="H70" s="83"/>
      <c r="I70" s="97" t="s">
        <v>76</v>
      </c>
      <c r="J70" s="97"/>
      <c r="K70" s="97"/>
      <c r="L70" s="97"/>
      <c r="M70" s="97"/>
      <c r="N70" s="97"/>
      <c r="O70" s="97"/>
      <c r="P70" s="84"/>
      <c r="Q70" s="84"/>
      <c r="R70" s="84"/>
      <c r="S70" s="84"/>
      <c r="T70" s="84"/>
      <c r="U70" s="84"/>
      <c r="V70" s="84"/>
      <c r="W70" s="84"/>
      <c r="X70" s="84"/>
      <c r="Y70" s="84"/>
      <c r="Z70" s="101"/>
    </row>
    <row r="71" spans="1:26" s="11" customFormat="1" ht="14.1" customHeight="1" x14ac:dyDescent="0.2">
      <c r="A71" s="94" t="s">
        <v>102</v>
      </c>
      <c r="B71" s="947" t="s">
        <v>122</v>
      </c>
      <c r="C71" s="948"/>
      <c r="D71" s="949"/>
      <c r="E71" s="927" t="s">
        <v>345</v>
      </c>
      <c r="F71" s="928"/>
      <c r="G71" s="929"/>
      <c r="H71" s="83"/>
      <c r="I71" s="102" t="s">
        <v>396</v>
      </c>
      <c r="J71" s="97"/>
      <c r="K71" s="97"/>
      <c r="L71" s="97"/>
      <c r="M71" s="97"/>
      <c r="N71" s="97"/>
      <c r="O71" s="260" t="s">
        <v>251</v>
      </c>
      <c r="P71" s="84"/>
      <c r="Q71" s="264">
        <f>B23</f>
        <v>2019</v>
      </c>
      <c r="R71" s="84"/>
      <c r="S71" s="102"/>
      <c r="T71" s="84"/>
      <c r="U71" s="84"/>
      <c r="V71" s="84"/>
      <c r="W71" s="84"/>
      <c r="X71" s="84"/>
      <c r="Y71" s="84"/>
      <c r="Z71" s="101"/>
    </row>
    <row r="72" spans="1:26" s="11" customFormat="1" ht="14.1" customHeight="1" x14ac:dyDescent="0.2">
      <c r="A72" s="94" t="s">
        <v>103</v>
      </c>
      <c r="B72" s="947" t="s">
        <v>122</v>
      </c>
      <c r="C72" s="948"/>
      <c r="D72" s="949"/>
      <c r="E72" s="927" t="s">
        <v>345</v>
      </c>
      <c r="F72" s="928"/>
      <c r="G72" s="929"/>
      <c r="H72" s="83"/>
      <c r="I72" s="102" t="s">
        <v>396</v>
      </c>
      <c r="J72" s="97"/>
      <c r="K72" s="97"/>
      <c r="L72" s="97"/>
      <c r="M72" s="97"/>
      <c r="N72" s="97"/>
      <c r="O72" s="260" t="s">
        <v>251</v>
      </c>
      <c r="P72" s="84"/>
      <c r="Q72" s="264">
        <f>B24</f>
        <v>2020</v>
      </c>
      <c r="R72" s="84"/>
      <c r="S72" s="102"/>
      <c r="T72" s="84"/>
      <c r="U72" s="84"/>
      <c r="V72" s="84"/>
      <c r="W72" s="84"/>
      <c r="X72" s="84"/>
      <c r="Y72" s="84"/>
      <c r="Z72" s="101"/>
    </row>
    <row r="73" spans="1:26" s="11" customFormat="1" ht="14.1" customHeight="1" x14ac:dyDescent="0.2">
      <c r="A73" s="94" t="s">
        <v>83</v>
      </c>
      <c r="B73" s="947" t="s">
        <v>121</v>
      </c>
      <c r="C73" s="948"/>
      <c r="D73" s="949"/>
      <c r="E73" s="927" t="s">
        <v>345</v>
      </c>
      <c r="F73" s="928"/>
      <c r="G73" s="929"/>
      <c r="H73" s="83"/>
      <c r="I73" s="102" t="s">
        <v>396</v>
      </c>
      <c r="J73" s="97"/>
      <c r="K73" s="97"/>
      <c r="L73" s="97"/>
      <c r="M73" s="97"/>
      <c r="N73" s="97"/>
      <c r="O73" s="260" t="s">
        <v>251</v>
      </c>
      <c r="P73" s="84"/>
      <c r="Q73" s="264">
        <f>B25</f>
        <v>2021</v>
      </c>
      <c r="R73" s="84"/>
      <c r="S73" s="102"/>
      <c r="T73" s="84"/>
      <c r="U73" s="84"/>
      <c r="V73" s="84"/>
      <c r="W73" s="84"/>
      <c r="X73" s="84"/>
      <c r="Y73" s="84"/>
      <c r="Z73" s="101"/>
    </row>
    <row r="74" spans="1:26" s="11" customFormat="1" ht="14.1" customHeight="1" x14ac:dyDescent="0.2">
      <c r="A74" s="94" t="s">
        <v>647</v>
      </c>
      <c r="B74" s="947" t="s">
        <v>123</v>
      </c>
      <c r="C74" s="948"/>
      <c r="D74" s="949"/>
      <c r="E74" s="927" t="s">
        <v>345</v>
      </c>
      <c r="F74" s="928"/>
      <c r="G74" s="929"/>
      <c r="H74" s="83"/>
      <c r="I74" s="102" t="s">
        <v>396</v>
      </c>
      <c r="J74" s="97"/>
      <c r="K74" s="97"/>
      <c r="L74" s="97"/>
      <c r="M74" s="97"/>
      <c r="N74" s="97"/>
      <c r="O74" s="260" t="s">
        <v>251</v>
      </c>
      <c r="P74" s="84"/>
      <c r="Q74" s="264">
        <f>B26</f>
        <v>2022</v>
      </c>
      <c r="R74" s="84"/>
      <c r="S74" s="102"/>
      <c r="T74" s="84"/>
      <c r="U74" s="84"/>
      <c r="V74" s="84"/>
      <c r="W74" s="84"/>
      <c r="X74" s="84"/>
      <c r="Y74" s="84"/>
      <c r="Z74" s="101"/>
    </row>
    <row r="75" spans="1:26" s="11" customFormat="1" ht="14.1" customHeight="1" x14ac:dyDescent="0.2">
      <c r="A75" s="94" t="s">
        <v>1187</v>
      </c>
      <c r="B75" s="947" t="s">
        <v>124</v>
      </c>
      <c r="C75" s="948"/>
      <c r="D75" s="949"/>
      <c r="E75" s="927" t="s">
        <v>345</v>
      </c>
      <c r="F75" s="928"/>
      <c r="G75" s="929"/>
      <c r="H75" s="83"/>
      <c r="I75" s="102" t="s">
        <v>396</v>
      </c>
      <c r="J75" s="97"/>
      <c r="K75" s="97"/>
      <c r="L75" s="97"/>
      <c r="M75" s="97"/>
      <c r="N75" s="97"/>
      <c r="O75" s="260" t="s">
        <v>251</v>
      </c>
      <c r="P75" s="84"/>
      <c r="Q75" s="264">
        <f>B27</f>
        <v>2023</v>
      </c>
      <c r="R75" s="84"/>
      <c r="S75" s="102"/>
      <c r="T75" s="84"/>
      <c r="U75" s="84"/>
      <c r="V75" s="84"/>
      <c r="W75" s="84"/>
      <c r="X75" s="84"/>
      <c r="Y75" s="84"/>
      <c r="Z75" s="101"/>
    </row>
    <row r="76" spans="1:26" s="11" customFormat="1" ht="14.1" customHeight="1" x14ac:dyDescent="0.2">
      <c r="A76" s="94" t="s">
        <v>104</v>
      </c>
      <c r="B76" s="947" t="s">
        <v>121</v>
      </c>
      <c r="C76" s="948"/>
      <c r="D76" s="949"/>
      <c r="E76" s="927" t="s">
        <v>345</v>
      </c>
      <c r="F76" s="928"/>
      <c r="G76" s="929"/>
      <c r="H76" s="83"/>
      <c r="I76" s="102" t="s">
        <v>397</v>
      </c>
      <c r="J76" s="97"/>
      <c r="K76" s="97"/>
      <c r="L76" s="97"/>
      <c r="M76" s="97"/>
      <c r="N76" s="97"/>
      <c r="O76" s="260" t="s">
        <v>251</v>
      </c>
      <c r="P76" s="84"/>
      <c r="Q76" s="264">
        <f>B23</f>
        <v>2019</v>
      </c>
      <c r="R76" s="84"/>
      <c r="S76" s="102"/>
      <c r="T76" s="84"/>
      <c r="U76" s="84"/>
      <c r="V76" s="84"/>
      <c r="W76" s="84"/>
      <c r="X76" s="84"/>
      <c r="Y76" s="84"/>
      <c r="Z76" s="101"/>
    </row>
    <row r="77" spans="1:26" s="11" customFormat="1" ht="14.1" customHeight="1" x14ac:dyDescent="0.2">
      <c r="A77" s="94" t="s">
        <v>105</v>
      </c>
      <c r="B77" s="947" t="s">
        <v>121</v>
      </c>
      <c r="C77" s="948"/>
      <c r="D77" s="949"/>
      <c r="E77" s="927" t="s">
        <v>345</v>
      </c>
      <c r="F77" s="928"/>
      <c r="G77" s="929"/>
      <c r="H77" s="83"/>
      <c r="I77" s="102" t="s">
        <v>397</v>
      </c>
      <c r="J77" s="97"/>
      <c r="K77" s="97"/>
      <c r="L77" s="97"/>
      <c r="M77" s="97"/>
      <c r="N77" s="97"/>
      <c r="O77" s="260" t="s">
        <v>251</v>
      </c>
      <c r="P77" s="84"/>
      <c r="Q77" s="264">
        <f>B24</f>
        <v>2020</v>
      </c>
      <c r="R77" s="84"/>
      <c r="S77" s="102"/>
      <c r="T77" s="84"/>
      <c r="U77" s="84"/>
      <c r="V77" s="84"/>
      <c r="W77" s="84"/>
      <c r="X77" s="84"/>
      <c r="Y77" s="84"/>
      <c r="Z77" s="101"/>
    </row>
    <row r="78" spans="1:26" s="11" customFormat="1" ht="14.1" customHeight="1" x14ac:dyDescent="0.2">
      <c r="A78" s="94" t="s">
        <v>84</v>
      </c>
      <c r="B78" s="947" t="s">
        <v>120</v>
      </c>
      <c r="C78" s="948"/>
      <c r="D78" s="949"/>
      <c r="E78" s="927" t="s">
        <v>345</v>
      </c>
      <c r="F78" s="928"/>
      <c r="G78" s="929"/>
      <c r="H78" s="83"/>
      <c r="I78" s="102" t="s">
        <v>397</v>
      </c>
      <c r="J78" s="97"/>
      <c r="K78" s="97"/>
      <c r="L78" s="97"/>
      <c r="M78" s="97"/>
      <c r="N78" s="97"/>
      <c r="O78" s="260" t="s">
        <v>251</v>
      </c>
      <c r="P78" s="84"/>
      <c r="Q78" s="264">
        <f>B25</f>
        <v>2021</v>
      </c>
      <c r="R78" s="84"/>
      <c r="S78" s="102"/>
      <c r="T78" s="84"/>
      <c r="U78" s="84"/>
      <c r="V78" s="84"/>
      <c r="W78" s="84"/>
      <c r="X78" s="84"/>
      <c r="Y78" s="84"/>
      <c r="Z78" s="101"/>
    </row>
    <row r="79" spans="1:26" s="11" customFormat="1" ht="14.1" customHeight="1" x14ac:dyDescent="0.2">
      <c r="A79" s="94" t="s">
        <v>648</v>
      </c>
      <c r="B79" s="947" t="s">
        <v>119</v>
      </c>
      <c r="C79" s="948"/>
      <c r="D79" s="949"/>
      <c r="E79" s="927" t="s">
        <v>345</v>
      </c>
      <c r="F79" s="928"/>
      <c r="G79" s="929"/>
      <c r="H79" s="83"/>
      <c r="I79" s="102" t="s">
        <v>397</v>
      </c>
      <c r="J79" s="97"/>
      <c r="K79" s="97"/>
      <c r="L79" s="97"/>
      <c r="M79" s="97"/>
      <c r="N79" s="97"/>
      <c r="O79" s="260" t="s">
        <v>251</v>
      </c>
      <c r="P79" s="84"/>
      <c r="Q79" s="264">
        <f>B26</f>
        <v>2022</v>
      </c>
      <c r="R79" s="84"/>
      <c r="S79" s="102"/>
      <c r="T79" s="84"/>
      <c r="U79" s="84"/>
      <c r="V79" s="84"/>
      <c r="W79" s="84"/>
      <c r="X79" s="84"/>
      <c r="Y79" s="84"/>
      <c r="Z79" s="101"/>
    </row>
    <row r="80" spans="1:26" s="11" customFormat="1" ht="11.25" x14ac:dyDescent="0.2">
      <c r="A80" s="94" t="s">
        <v>1188</v>
      </c>
      <c r="B80" s="947" t="s">
        <v>118</v>
      </c>
      <c r="C80" s="948"/>
      <c r="D80" s="949"/>
      <c r="E80" s="927" t="s">
        <v>345</v>
      </c>
      <c r="F80" s="928"/>
      <c r="G80" s="929"/>
      <c r="H80" s="83"/>
      <c r="I80" s="102" t="s">
        <v>397</v>
      </c>
      <c r="J80" s="97"/>
      <c r="K80" s="97"/>
      <c r="L80" s="97"/>
      <c r="M80" s="97"/>
      <c r="N80" s="97"/>
      <c r="O80" s="260" t="s">
        <v>251</v>
      </c>
      <c r="P80" s="84"/>
      <c r="Q80" s="264">
        <f>B27</f>
        <v>2023</v>
      </c>
      <c r="R80" s="84"/>
      <c r="S80" s="102"/>
      <c r="T80" s="84"/>
      <c r="U80" s="84"/>
      <c r="V80" s="84"/>
      <c r="W80" s="84"/>
      <c r="X80" s="84"/>
      <c r="Y80" s="84"/>
      <c r="Z80" s="101"/>
    </row>
    <row r="83" spans="1:26" ht="17.25" hidden="1" customHeight="1" x14ac:dyDescent="0.2">
      <c r="B83" s="42" t="str">
        <f>Berechnung4!B29</f>
        <v>Matrix</v>
      </c>
      <c r="C83" s="42"/>
      <c r="D83" s="42"/>
      <c r="E83" s="43"/>
      <c r="F83" s="43"/>
      <c r="G83" s="43"/>
      <c r="H83" s="43"/>
      <c r="I83" s="43"/>
      <c r="J83" s="43"/>
      <c r="K83" s="43"/>
      <c r="L83" s="43"/>
      <c r="M83" s="43"/>
      <c r="N83" s="43"/>
      <c r="O83" s="42"/>
      <c r="P83" s="42"/>
    </row>
    <row r="84" spans="1:26" hidden="1" x14ac:dyDescent="0.2">
      <c r="A84" s="42" t="str">
        <f>Berechnung4!B30</f>
        <v>ART</v>
      </c>
      <c r="C84" s="42">
        <f>Berechnung4!C30</f>
        <v>0</v>
      </c>
      <c r="D84" s="42">
        <f>Berechnung4!D30</f>
        <v>0</v>
      </c>
      <c r="E84" s="43">
        <f>Berechnung4!E30</f>
        <v>0</v>
      </c>
      <c r="F84" s="43" t="str">
        <f>Berechnung4!F30</f>
        <v>Werte</v>
      </c>
      <c r="G84" s="43">
        <f>Berechnung4!G30</f>
        <v>0</v>
      </c>
      <c r="H84" s="43">
        <f>Berechnung4!H30</f>
        <v>0</v>
      </c>
      <c r="I84" s="43">
        <f>Berechnung4!I30</f>
        <v>0</v>
      </c>
      <c r="J84" s="43">
        <f>Berechnung4!J30</f>
        <v>0</v>
      </c>
      <c r="K84" s="43">
        <f>Berechnung4!K30</f>
        <v>0</v>
      </c>
      <c r="L84" s="43" t="str">
        <f>Berechnung4!L30</f>
        <v>Texte Matrix Datenquali</v>
      </c>
      <c r="M84" s="43">
        <f>Berechnung4!M30</f>
        <v>0</v>
      </c>
      <c r="N84" s="43" t="str">
        <f>Berechnung4!N30</f>
        <v>Fehlermeldungen Matrix</v>
      </c>
      <c r="O84" s="42"/>
      <c r="P84" s="42"/>
    </row>
    <row r="85" spans="1:26" hidden="1" x14ac:dyDescent="0.2">
      <c r="A85" s="42">
        <f>Berechnung4!B31</f>
        <v>0</v>
      </c>
      <c r="C85" s="42">
        <f>Berechnung4!C31</f>
        <v>0</v>
      </c>
      <c r="D85" s="42">
        <f>Berechnung4!D31</f>
        <v>0</v>
      </c>
      <c r="E85" s="55">
        <f>Berechnung4!E31</f>
        <v>0</v>
      </c>
      <c r="F85" s="55">
        <f>Berechnung4!F31</f>
        <v>0</v>
      </c>
      <c r="G85" s="55">
        <f>Berechnung4!G31</f>
        <v>0</v>
      </c>
      <c r="H85" s="55">
        <f>Berechnung4!H31</f>
        <v>0</v>
      </c>
      <c r="I85" s="55">
        <f>Berechnung4!I31</f>
        <v>0</v>
      </c>
      <c r="J85" s="55">
        <f>Berechnung4!J31</f>
        <v>0</v>
      </c>
      <c r="K85" s="43">
        <f>Berechnung4!K31</f>
        <v>0</v>
      </c>
      <c r="L85" s="43">
        <f>Berechnung4!L31</f>
        <v>0</v>
      </c>
      <c r="M85" s="43">
        <f>Berechnung4!M31</f>
        <v>0</v>
      </c>
      <c r="N85" s="43" t="str">
        <f>Berechnung4!N31</f>
        <v>Ganze Zahl zwischen 0 und 5000 eingeben</v>
      </c>
      <c r="O85" s="42"/>
      <c r="P85" s="42"/>
    </row>
    <row r="86" spans="1:26" hidden="1" x14ac:dyDescent="0.2">
      <c r="A86" s="42" t="str">
        <f>Berechnung4!B32</f>
        <v>relevante Nachsorgejahre nicht/unvollständig bearbeitet</v>
      </c>
      <c r="C86" s="42">
        <f>Berechnung4!C32</f>
        <v>0</v>
      </c>
      <c r="D86" s="42" t="str">
        <f>Berechnung4!D32</f>
        <v>unvollständig</v>
      </c>
      <c r="E86" s="55">
        <f>Berechnung4!E32</f>
        <v>0</v>
      </c>
      <c r="F86" s="55">
        <f>Berechnung4!F32</f>
        <v>0</v>
      </c>
      <c r="G86" s="55">
        <f>Berechnung4!G32</f>
        <v>0</v>
      </c>
      <c r="H86" s="55">
        <f>Berechnung4!H32</f>
        <v>0</v>
      </c>
      <c r="I86" s="55">
        <f>Berechnung4!I32</f>
        <v>0</v>
      </c>
      <c r="J86" s="55">
        <f>Berechnung4!J32</f>
        <v>0</v>
      </c>
      <c r="K86" s="43">
        <f>Berechnung4!K32</f>
        <v>0</v>
      </c>
      <c r="L86" s="43" t="str">
        <f>Berechnung4!L32</f>
        <v>relevante Nachsorgejahre nicht/unvollständig bearbeitet</v>
      </c>
      <c r="M86" s="43">
        <f>Berechnung4!M32</f>
        <v>0</v>
      </c>
      <c r="N86" s="43">
        <f>Berechnung4!N32</f>
        <v>0</v>
      </c>
      <c r="O86" s="42"/>
      <c r="P86" s="42"/>
    </row>
    <row r="87" spans="1:26" ht="14.25" hidden="1" customHeight="1" x14ac:dyDescent="0.2">
      <c r="A87" s="42" t="str">
        <f>Berechnung4!B33</f>
        <v>Relative Quote tumorfrei</v>
      </c>
      <c r="C87" s="42">
        <f>Berechnung4!C33</f>
        <v>0</v>
      </c>
      <c r="D87" s="42" t="str">
        <f>Berechnung4!D33</f>
        <v>plausi</v>
      </c>
      <c r="E87" s="55" t="str">
        <f>Berechnung4!E33</f>
        <v>nicht geprüft</v>
      </c>
      <c r="F87" s="55">
        <f>Berechnung4!F33</f>
        <v>-1</v>
      </c>
      <c r="G87" s="55">
        <f>Berechnung4!G33</f>
        <v>-1</v>
      </c>
      <c r="H87" s="55">
        <f>Berechnung4!H33</f>
        <v>-1</v>
      </c>
      <c r="I87" s="55">
        <f>Berechnung4!I33</f>
        <v>-1</v>
      </c>
      <c r="J87" s="55">
        <f>Berechnung4!J33</f>
        <v>-1</v>
      </c>
      <c r="K87" s="43">
        <f>Berechnung4!K33</f>
        <v>0</v>
      </c>
      <c r="L87" s="43" t="str">
        <f>Berechnung4!L33</f>
        <v>auffällig niedrige Quote tumorfreier Patienten</v>
      </c>
      <c r="M87" s="43">
        <f>Berechnung4!M33</f>
        <v>0</v>
      </c>
      <c r="N87" s="43">
        <f>Berechnung4!N33</f>
        <v>0</v>
      </c>
      <c r="O87" s="42"/>
      <c r="P87" s="42"/>
      <c r="Z87" s="8"/>
    </row>
    <row r="88" spans="1:26" ht="14.25" hidden="1" customHeight="1" x14ac:dyDescent="0.2">
      <c r="A88" s="42" t="str">
        <f>Berechnung4!B34</f>
        <v xml:space="preserve">nur Prozentwerte können eingegeben werden </v>
      </c>
      <c r="C88" s="42">
        <f>Berechnung4!C34</f>
        <v>0</v>
      </c>
      <c r="D88" s="42" t="str">
        <f>Berechnung4!D34</f>
        <v>inkorrekt</v>
      </c>
      <c r="E88" s="55" t="str">
        <f>Berechnung4!E34</f>
        <v>&gt;</v>
      </c>
      <c r="F88" s="55">
        <f>Berechnung4!F34</f>
        <v>0</v>
      </c>
      <c r="G88" s="55">
        <f>Berechnung4!G34</f>
        <v>0</v>
      </c>
      <c r="H88" s="55">
        <f>Berechnung4!H34</f>
        <v>0</v>
      </c>
      <c r="I88" s="55">
        <f>Berechnung4!I34</f>
        <v>0</v>
      </c>
      <c r="J88" s="55">
        <f>Berechnung4!J34</f>
        <v>1</v>
      </c>
      <c r="K88" s="43">
        <f>Berechnung4!K34</f>
        <v>0</v>
      </c>
      <c r="L88" s="43">
        <f>Berechnung4!L34</f>
        <v>0</v>
      </c>
      <c r="M88" s="43">
        <f>Berechnung4!M34</f>
        <v>0</v>
      </c>
      <c r="N88" s="43">
        <f>Berechnung4!N34</f>
        <v>0</v>
      </c>
      <c r="O88" s="42"/>
      <c r="P88" s="42"/>
      <c r="Z88" s="8"/>
    </row>
    <row r="89" spans="1:26" ht="14.25" hidden="1" customHeight="1" x14ac:dyDescent="0.2">
      <c r="A89" s="42" t="str">
        <f>Berechnung4!B35</f>
        <v>zu geringe Anzahl der Primärfälle</v>
      </c>
      <c r="C89" s="42">
        <f>Berechnung4!C35</f>
        <v>0</v>
      </c>
      <c r="D89" s="42" t="str">
        <f>Berechnung4!D35</f>
        <v>plausi</v>
      </c>
      <c r="E89" s="43" t="str">
        <f>Berechnung4!E35</f>
        <v>&lt;</v>
      </c>
      <c r="F89" s="43">
        <f>Berechnung4!F35</f>
        <v>0</v>
      </c>
      <c r="G89" s="43">
        <f>Berechnung4!G35</f>
        <v>16</v>
      </c>
      <c r="H89" s="43">
        <f>Berechnung4!H35</f>
        <v>0</v>
      </c>
      <c r="I89" s="43">
        <f>Berechnung4!I35</f>
        <v>0</v>
      </c>
      <c r="J89" s="43">
        <f>Berechnung4!J35</f>
        <v>0</v>
      </c>
      <c r="K89" s="43">
        <f>Berechnung4!K35</f>
        <v>0</v>
      </c>
      <c r="L89" s="43" t="str">
        <f>Berechnung4!L35</f>
        <v>zu wenig Primärfälle angegeben</v>
      </c>
      <c r="M89" s="43">
        <f>Berechnung4!M35</f>
        <v>0</v>
      </c>
      <c r="N89" s="43">
        <f>Berechnung4!N35</f>
        <v>0</v>
      </c>
      <c r="O89" s="42"/>
      <c r="P89" s="42"/>
      <c r="Z89" s="8"/>
    </row>
    <row r="90" spans="1:26" ht="14.25" hidden="1" customHeight="1" x14ac:dyDescent="0.2">
      <c r="A90" s="42" t="str">
        <f>Berechnung4!B36</f>
        <v>zu viele Patientinnen im Follow-Up</v>
      </c>
      <c r="C90" s="42">
        <f>Berechnung4!C36</f>
        <v>0</v>
      </c>
      <c r="D90" s="42" t="str">
        <f>Berechnung4!D36</f>
        <v>inkorrekt</v>
      </c>
      <c r="E90" s="56">
        <f>Berechnung4!E36</f>
        <v>0</v>
      </c>
      <c r="F90" s="56">
        <f>Berechnung4!F36</f>
        <v>0</v>
      </c>
      <c r="G90" s="56">
        <f>Berechnung4!G36</f>
        <v>0</v>
      </c>
      <c r="H90" s="56">
        <f>Berechnung4!H36</f>
        <v>0</v>
      </c>
      <c r="I90" s="56">
        <f>Berechnung4!I36</f>
        <v>0</v>
      </c>
      <c r="J90" s="56">
        <f>Berechnung4!J36</f>
        <v>0</v>
      </c>
      <c r="K90" s="43">
        <f>Berechnung4!K36</f>
        <v>0</v>
      </c>
      <c r="L90" s="43" t="str">
        <f>Berechnung4!L36</f>
        <v>zu viele Pat im Follow-Up</v>
      </c>
      <c r="M90" s="43">
        <f>Berechnung4!M36</f>
        <v>0</v>
      </c>
      <c r="N90" s="43" t="str">
        <f>Berechnung4!N36</f>
        <v>Anzahl Pat. Im Follow-Up zu hoch</v>
      </c>
      <c r="O90" s="42"/>
      <c r="P90" s="42"/>
      <c r="Z90" s="8"/>
    </row>
    <row r="91" spans="1:26" ht="14.25" hidden="1" customHeight="1" x14ac:dyDescent="0.2">
      <c r="A91" s="42" t="str">
        <f>Berechnung4!B37</f>
        <v>geringe Follow-Up Quote</v>
      </c>
      <c r="C91" s="42">
        <f>Berechnung4!C37</f>
        <v>0</v>
      </c>
      <c r="D91" s="42" t="str">
        <f>Berechnung4!D37</f>
        <v>plausi</v>
      </c>
      <c r="E91" s="56" t="str">
        <f>Berechnung4!E37</f>
        <v>&lt;</v>
      </c>
      <c r="F91" s="56">
        <f>Berechnung4!F37</f>
        <v>0</v>
      </c>
      <c r="G91" s="56">
        <f>Berechnung4!G37</f>
        <v>0</v>
      </c>
      <c r="H91" s="56">
        <f>Berechnung4!H37</f>
        <v>0</v>
      </c>
      <c r="I91" s="56">
        <f>Berechnung4!I37</f>
        <v>0.69999</v>
      </c>
      <c r="J91" s="56">
        <f>Berechnung4!J37</f>
        <v>0.69999</v>
      </c>
      <c r="K91" s="43">
        <f>Berechnung4!K37</f>
        <v>0</v>
      </c>
      <c r="L91" s="43" t="str">
        <f>Berechnung4!L37</f>
        <v>geringe Follow-Up Quote der Nachsorgejahre</v>
      </c>
      <c r="M91" s="43">
        <f>Berechnung4!M37</f>
        <v>0</v>
      </c>
      <c r="N91" s="43">
        <f>Berechnung4!N37</f>
        <v>0</v>
      </c>
      <c r="O91" s="42"/>
      <c r="P91" s="42"/>
      <c r="Z91" s="8"/>
    </row>
    <row r="92" spans="1:26" ht="14.25" hidden="1" customHeight="1" x14ac:dyDescent="0.2">
      <c r="A92" s="42" t="str">
        <f>Berechnung4!B38</f>
        <v>geringe Follow-Up Quote der Jahre 2019-2021</v>
      </c>
      <c r="C92" s="42">
        <f>Berechnung4!C38</f>
        <v>0</v>
      </c>
      <c r="D92" s="42" t="str">
        <f>Berechnung4!D38</f>
        <v>sollvorgabe</v>
      </c>
      <c r="E92" s="56" t="str">
        <f>Berechnung4!E38</f>
        <v>&lt;</v>
      </c>
      <c r="F92" s="56">
        <f>Berechnung4!F38</f>
        <v>0</v>
      </c>
      <c r="G92" s="56">
        <f>Berechnung4!G38</f>
        <v>0</v>
      </c>
      <c r="H92" s="56">
        <f>Berechnung4!H38</f>
        <v>0</v>
      </c>
      <c r="I92" s="56">
        <f>Berechnung4!I38</f>
        <v>0.79998999999999998</v>
      </c>
      <c r="J92" s="56">
        <f>Berechnung4!J38</f>
        <v>0.79998999999999998</v>
      </c>
      <c r="K92" s="43">
        <f>Berechnung4!K38</f>
        <v>0</v>
      </c>
      <c r="L92" s="43" t="str">
        <f>Berechnung4!L38</f>
        <v>durchschnittliche Follow-Up Quote &lt; 80%</v>
      </c>
      <c r="M92" s="43">
        <f>Berechnung4!M38</f>
        <v>0</v>
      </c>
      <c r="N92" s="43">
        <f>Berechnung4!N38</f>
        <v>0</v>
      </c>
      <c r="O92" s="42"/>
      <c r="P92" s="42"/>
      <c r="Z92" s="8"/>
    </row>
    <row r="93" spans="1:26" ht="14.25" hidden="1" customHeight="1" x14ac:dyDescent="0.2">
      <c r="A93" s="42" t="str">
        <f>Berechnung4!B39</f>
        <v>zu hohe Follow-Up Quote der Jahre 2019-2021</v>
      </c>
      <c r="C93" s="42">
        <f>Berechnung4!C39</f>
        <v>0</v>
      </c>
      <c r="D93" s="42" t="str">
        <f>Berechnung4!D39</f>
        <v>plausi</v>
      </c>
      <c r="E93" s="56" t="str">
        <f>Berechnung4!E39</f>
        <v>&gt;</v>
      </c>
      <c r="F93" s="56">
        <f>Berechnung4!F39</f>
        <v>0</v>
      </c>
      <c r="G93" s="56">
        <f>Berechnung4!G39</f>
        <v>0</v>
      </c>
      <c r="H93" s="56">
        <f>Berechnung4!H39</f>
        <v>0.99000999999999995</v>
      </c>
      <c r="I93" s="56">
        <f>Berechnung4!I39</f>
        <v>1</v>
      </c>
      <c r="J93" s="56">
        <f>Berechnung4!J39</f>
        <v>0.99000999999999995</v>
      </c>
      <c r="K93" s="43">
        <f>Berechnung4!K39</f>
        <v>0</v>
      </c>
      <c r="L93" s="43" t="str">
        <f>Berechnung4!L39</f>
        <v>durchschnittliche Follow-Up Quote &gt; 99%</v>
      </c>
      <c r="M93" s="43">
        <f>Berechnung4!M39</f>
        <v>0</v>
      </c>
      <c r="N93" s="43">
        <f>Berechnung4!N39</f>
        <v>0</v>
      </c>
      <c r="O93" s="42"/>
      <c r="P93" s="42"/>
      <c r="Z93" s="8"/>
    </row>
    <row r="94" spans="1:26" ht="14.25" hidden="1" customHeight="1" x14ac:dyDescent="0.2">
      <c r="A94" s="42" t="str">
        <f>Berechnung4!B40</f>
        <v xml:space="preserve">Fehler bei Ereignisse </v>
      </c>
      <c r="C94" s="42">
        <f>Berechnung4!C40</f>
        <v>0</v>
      </c>
      <c r="D94" s="42" t="str">
        <f>Berechnung4!D40</f>
        <v>inkorrekt</v>
      </c>
      <c r="E94" s="56">
        <f>Berechnung4!E40</f>
        <v>0</v>
      </c>
      <c r="F94" s="56">
        <f>Berechnung4!F40</f>
        <v>0</v>
      </c>
      <c r="G94" s="56">
        <f>Berechnung4!G40</f>
        <v>0</v>
      </c>
      <c r="H94" s="56">
        <f>Berechnung4!H40</f>
        <v>0</v>
      </c>
      <c r="I94" s="56">
        <f>Berechnung4!I40</f>
        <v>0</v>
      </c>
      <c r="J94" s="56">
        <f>Berechnung4!J40</f>
        <v>0</v>
      </c>
      <c r="K94" s="43">
        <f>Berechnung4!K40</f>
        <v>0</v>
      </c>
      <c r="L94" s="43" t="str">
        <f>Berechnung4!L40</f>
        <v>Werte in Spalte R,S,T dürfen den Wert Spalte Q nicht übersteigen</v>
      </c>
      <c r="M94" s="43">
        <f>Berechnung4!M40</f>
        <v>0</v>
      </c>
      <c r="N94" s="43" t="str">
        <f>Berechnung4!N40</f>
        <v>Eingabe kann nicht größer sein als Ereignisse Spalte Q</v>
      </c>
      <c r="O94" s="42"/>
      <c r="P94" s="42"/>
      <c r="Z94" s="8"/>
    </row>
    <row r="95" spans="1:26" ht="14.25" hidden="1" customHeight="1" x14ac:dyDescent="0.2">
      <c r="A95" s="42">
        <f>Berechnung4!B41</f>
        <v>0</v>
      </c>
      <c r="C95" s="42">
        <f>Berechnung4!C41</f>
        <v>0</v>
      </c>
      <c r="D95" s="42">
        <f>Berechnung4!D41</f>
        <v>0</v>
      </c>
      <c r="E95" s="56">
        <f>Berechnung4!E41</f>
        <v>0</v>
      </c>
      <c r="F95" s="56">
        <f>Berechnung4!F41</f>
        <v>0</v>
      </c>
      <c r="G95" s="56">
        <f>Berechnung4!G41</f>
        <v>0</v>
      </c>
      <c r="H95" s="56">
        <f>Berechnung4!H41</f>
        <v>0</v>
      </c>
      <c r="I95" s="56">
        <f>Berechnung4!I41</f>
        <v>0</v>
      </c>
      <c r="J95" s="56">
        <f>Berechnung4!J41</f>
        <v>0</v>
      </c>
      <c r="K95" s="43">
        <f>Berechnung4!K41</f>
        <v>0</v>
      </c>
      <c r="L95" s="43">
        <f>Berechnung4!L41</f>
        <v>0</v>
      </c>
      <c r="M95" s="43">
        <f>Berechnung4!M41</f>
        <v>0</v>
      </c>
      <c r="N95" s="43">
        <f>Berechnung4!N41</f>
        <v>0</v>
      </c>
      <c r="O95" s="42"/>
      <c r="P95" s="42"/>
      <c r="Z95" s="8"/>
    </row>
    <row r="96" spans="1:26" ht="14.25" hidden="1" customHeight="1" x14ac:dyDescent="0.2">
      <c r="A96" s="42" t="str">
        <f>Berechnung4!B42</f>
        <v>wenn sich Minuswerte berechnen</v>
      </c>
      <c r="C96" s="42">
        <f>Berechnung4!C42</f>
        <v>0</v>
      </c>
      <c r="D96" s="42" t="str">
        <f>Berechnung4!D42</f>
        <v>inkorrekt</v>
      </c>
      <c r="E96" s="56" t="str">
        <f>Berechnung4!E42</f>
        <v>&lt;</v>
      </c>
      <c r="F96" s="56">
        <f>Berechnung4!F42</f>
        <v>0</v>
      </c>
      <c r="G96" s="56">
        <f>Berechnung4!G42</f>
        <v>0</v>
      </c>
      <c r="H96" s="56">
        <f>Berechnung4!H42</f>
        <v>0</v>
      </c>
      <c r="I96" s="56">
        <f>Berechnung4!I42</f>
        <v>0</v>
      </c>
      <c r="J96" s="56">
        <f>Berechnung4!J42</f>
        <v>0</v>
      </c>
      <c r="K96" s="43">
        <f>Berechnung4!K42</f>
        <v>0</v>
      </c>
      <c r="L96" s="43" t="str">
        <f>Berechnung4!L42</f>
        <v>Zahlen in Spalte O dürfen keine negativen Werte annehmen</v>
      </c>
      <c r="M96" s="43">
        <f>Berechnung4!M42</f>
        <v>0</v>
      </c>
      <c r="N96" s="43"/>
      <c r="O96" s="42"/>
      <c r="P96" s="42"/>
      <c r="Z96" s="8"/>
    </row>
    <row r="97" spans="1:26" ht="14.25" hidden="1" customHeight="1" x14ac:dyDescent="0.2">
      <c r="A97" s="42">
        <f>Berechnung4!B43</f>
        <v>0</v>
      </c>
      <c r="C97" s="42">
        <f>Berechnung4!C43</f>
        <v>0</v>
      </c>
      <c r="D97" s="42">
        <f>Berechnung4!D43</f>
        <v>0</v>
      </c>
      <c r="E97" s="56">
        <f>Berechnung4!E43</f>
        <v>0</v>
      </c>
      <c r="F97" s="56">
        <f>Berechnung4!F43</f>
        <v>0</v>
      </c>
      <c r="G97" s="56">
        <f>Berechnung4!G43</f>
        <v>0</v>
      </c>
      <c r="H97" s="56">
        <f>Berechnung4!H43</f>
        <v>0</v>
      </c>
      <c r="I97" s="56">
        <f>Berechnung4!I43</f>
        <v>0</v>
      </c>
      <c r="J97" s="56">
        <f>Berechnung4!J43</f>
        <v>0</v>
      </c>
      <c r="K97" s="43">
        <f>Berechnung4!K43</f>
        <v>0</v>
      </c>
      <c r="L97" s="43">
        <f>Berechnung4!L43</f>
        <v>0</v>
      </c>
      <c r="M97" s="43">
        <f>Berechnung4!M43</f>
        <v>0</v>
      </c>
      <c r="N97" s="43">
        <f>Berechnung4!N43</f>
        <v>0</v>
      </c>
      <c r="O97" s="42"/>
      <c r="P97" s="42"/>
      <c r="Z97" s="8"/>
    </row>
    <row r="98" spans="1:26" ht="14.25" hidden="1" customHeight="1" x14ac:dyDescent="0.2">
      <c r="A98" s="42" t="str">
        <f>Berechnung4!B46</f>
        <v>DFS</v>
      </c>
      <c r="C98" s="42">
        <f>Berechnung4!C46</f>
        <v>0</v>
      </c>
      <c r="D98" s="42">
        <f>Berechnung4!D46</f>
        <v>0</v>
      </c>
      <c r="E98" s="42" t="str">
        <f>Berechnung4!E46</f>
        <v>von</v>
      </c>
      <c r="F98" s="42">
        <f>Berechnung4!F46</f>
        <v>0</v>
      </c>
      <c r="G98" s="57" t="str">
        <f>Berechnung4!G46</f>
        <v>untere Grenze</v>
      </c>
      <c r="H98" s="57">
        <f>Berechnung4!H46</f>
        <v>0</v>
      </c>
      <c r="I98" s="42">
        <f>Berechnung4!I46</f>
        <v>0</v>
      </c>
      <c r="J98" s="57" t="str">
        <f>Berechnung4!J46</f>
        <v>obere Grenze</v>
      </c>
      <c r="K98" s="42">
        <f>Berechnung4!K46</f>
        <v>0</v>
      </c>
      <c r="L98" s="42">
        <f>Berechnung4!L46</f>
        <v>0</v>
      </c>
      <c r="M98" s="42"/>
      <c r="N98" s="42">
        <f>Berechnung4!M46</f>
        <v>0</v>
      </c>
      <c r="O98" s="42"/>
      <c r="P98" s="42"/>
      <c r="Z98" s="8"/>
    </row>
    <row r="99" spans="1:26" ht="14.25" hidden="1" customHeight="1" x14ac:dyDescent="0.2">
      <c r="A99" s="42"/>
      <c r="C99" s="42"/>
      <c r="D99" s="42"/>
      <c r="E99" s="42"/>
      <c r="F99" s="42"/>
      <c r="G99" s="57"/>
      <c r="H99" s="57"/>
      <c r="I99" s="42"/>
      <c r="J99" s="57"/>
      <c r="K99" s="42"/>
      <c r="L99" s="42"/>
      <c r="M99" s="42"/>
      <c r="N99" s="42">
        <f>Berechnung4!M45</f>
        <v>0</v>
      </c>
      <c r="O99" s="42"/>
      <c r="P99" s="42"/>
      <c r="Z99" s="8"/>
    </row>
    <row r="100" spans="1:26" ht="14.25" hidden="1" customHeight="1" x14ac:dyDescent="0.2">
      <c r="A100" s="42"/>
      <c r="C100" s="42"/>
      <c r="D100" s="42"/>
      <c r="E100" s="42"/>
      <c r="F100" s="42"/>
      <c r="G100" s="57"/>
      <c r="H100" s="57"/>
      <c r="I100" s="42"/>
      <c r="J100" s="57"/>
      <c r="K100" s="42"/>
      <c r="L100" s="42"/>
      <c r="M100" s="42"/>
      <c r="N100" s="42" t="e">
        <f>Berechnung4!#REF!</f>
        <v>#REF!</v>
      </c>
      <c r="O100" s="42"/>
      <c r="P100" s="42"/>
      <c r="Z100" s="8"/>
    </row>
    <row r="101" spans="1:26" ht="14.25" hidden="1" customHeight="1" x14ac:dyDescent="0.2">
      <c r="A101" s="42" t="str">
        <f>Berechnung4!B47</f>
        <v>2019,</v>
      </c>
      <c r="C101" s="42">
        <f>Berechnung4!C47</f>
        <v>0</v>
      </c>
      <c r="D101" s="42">
        <f>Berechnung4!D47</f>
        <v>0</v>
      </c>
      <c r="E101" s="42">
        <f>Berechnung4!E47</f>
        <v>0</v>
      </c>
      <c r="F101" s="42">
        <f>Berechnung4!F47</f>
        <v>0.44999</v>
      </c>
      <c r="G101" s="57">
        <f>Berechnung4!G47</f>
        <v>0.44999</v>
      </c>
      <c r="H101" s="57">
        <f>Berechnung4!H47</f>
        <v>0</v>
      </c>
      <c r="I101" s="42">
        <f>Berechnung4!I47</f>
        <v>0.75000999999999995</v>
      </c>
      <c r="J101" s="57">
        <f>Berechnung4!J47</f>
        <v>0.75000999999999995</v>
      </c>
      <c r="K101" s="42">
        <f>Berechnung4!K47</f>
        <v>0</v>
      </c>
      <c r="L101" s="42" t="str">
        <f>Berechnung4!L47</f>
        <v>DFS auffällig niedrig oder hoch</v>
      </c>
      <c r="M101" s="42"/>
      <c r="N101" s="42" t="str">
        <f>Berechnung4!M47</f>
        <v>DFS auffällig niedrig oder hoch</v>
      </c>
      <c r="O101" s="42"/>
      <c r="P101" s="42"/>
      <c r="Z101" s="8"/>
    </row>
    <row r="102" spans="1:26" ht="14.25" hidden="1" customHeight="1" x14ac:dyDescent="0.2">
      <c r="A102" s="42" t="str">
        <f>Berechnung4!B48</f>
        <v xml:space="preserve">2020, </v>
      </c>
      <c r="C102" s="42">
        <f>Berechnung4!C48</f>
        <v>0</v>
      </c>
      <c r="D102" s="42">
        <f>Berechnung4!D48</f>
        <v>0</v>
      </c>
      <c r="E102" s="42">
        <f>Berechnung4!E48</f>
        <v>0</v>
      </c>
      <c r="F102" s="42">
        <f>Berechnung4!F48</f>
        <v>0.44999</v>
      </c>
      <c r="G102" s="57">
        <f>Berechnung4!G48</f>
        <v>0.44999</v>
      </c>
      <c r="H102" s="57">
        <f>Berechnung4!H48</f>
        <v>0</v>
      </c>
      <c r="I102" s="42">
        <f>Berechnung4!I48</f>
        <v>0.75000999999999995</v>
      </c>
      <c r="J102" s="57">
        <f>Berechnung4!J48</f>
        <v>0.75000999999999995</v>
      </c>
      <c r="K102" s="42">
        <f>Berechnung4!K48</f>
        <v>0</v>
      </c>
      <c r="L102" s="42" t="str">
        <f>Berechnung4!L48</f>
        <v>DFS auffällig niedrig oder hoch</v>
      </c>
      <c r="M102" s="42"/>
      <c r="N102" s="42" t="str">
        <f>Berechnung4!M48</f>
        <v>DFS auffällig niedrig oder hoch</v>
      </c>
      <c r="O102" s="42"/>
      <c r="P102" s="42"/>
      <c r="Z102" s="8"/>
    </row>
    <row r="103" spans="1:26" ht="14.25" hidden="1" customHeight="1" x14ac:dyDescent="0.2">
      <c r="A103" s="42" t="str">
        <f>Berechnung4!B49</f>
        <v xml:space="preserve">2021, </v>
      </c>
      <c r="C103" s="42">
        <f>Berechnung4!C49</f>
        <v>0</v>
      </c>
      <c r="D103" s="42">
        <f>Berechnung4!D49</f>
        <v>0</v>
      </c>
      <c r="E103" s="42">
        <f>Berechnung4!E49</f>
        <v>0</v>
      </c>
      <c r="F103" s="42">
        <f>Berechnung4!F49</f>
        <v>0.49998999999999999</v>
      </c>
      <c r="G103" s="57">
        <f>Berechnung4!G49</f>
        <v>0.49998999999999999</v>
      </c>
      <c r="H103" s="57">
        <f>Berechnung4!H49</f>
        <v>0</v>
      </c>
      <c r="I103" s="42">
        <f>Berechnung4!I49</f>
        <v>0.80001</v>
      </c>
      <c r="J103" s="57">
        <f>Berechnung4!J49</f>
        <v>0.80001</v>
      </c>
      <c r="K103" s="42">
        <f>Berechnung4!K49</f>
        <v>0</v>
      </c>
      <c r="L103" s="42" t="str">
        <f>Berechnung4!L49</f>
        <v>DFS auffällig niedrig oder hoch</v>
      </c>
      <c r="M103" s="42"/>
      <c r="N103" s="42" t="str">
        <f>Berechnung4!M49</f>
        <v>DFS auffällig niedrig oder hoch</v>
      </c>
      <c r="O103" s="42"/>
      <c r="P103" s="42"/>
      <c r="Z103" s="8"/>
    </row>
    <row r="104" spans="1:26" ht="14.25" hidden="1" customHeight="1" x14ac:dyDescent="0.2">
      <c r="A104" s="42" t="str">
        <f>Berechnung4!B50</f>
        <v xml:space="preserve">2022, </v>
      </c>
      <c r="C104" s="42">
        <f>Berechnung4!C50</f>
        <v>0</v>
      </c>
      <c r="D104" s="42">
        <f>Berechnung4!D50</f>
        <v>0</v>
      </c>
      <c r="E104" s="42">
        <f>Berechnung4!E50</f>
        <v>0</v>
      </c>
      <c r="F104" s="42">
        <f>Berechnung4!F50</f>
        <v>0.54998999999999998</v>
      </c>
      <c r="G104" s="57">
        <f>Berechnung4!G50</f>
        <v>0.54998999999999998</v>
      </c>
      <c r="H104" s="57">
        <f>Berechnung4!H50</f>
        <v>0</v>
      </c>
      <c r="I104" s="42">
        <f>Berechnung4!I50</f>
        <v>0.85001000000000004</v>
      </c>
      <c r="J104" s="57">
        <f>Berechnung4!J50</f>
        <v>0.85001000000000004</v>
      </c>
      <c r="K104" s="42">
        <f>Berechnung4!K50</f>
        <v>0</v>
      </c>
      <c r="L104" s="42" t="str">
        <f>Berechnung4!L50</f>
        <v>DFS auffällig niedrig oder hoch</v>
      </c>
      <c r="M104" s="42"/>
      <c r="N104" s="42" t="str">
        <f>Berechnung4!M50</f>
        <v>DFS auffällig niedrig oder hoch</v>
      </c>
      <c r="O104" s="42"/>
      <c r="P104" s="42"/>
      <c r="Z104" s="8"/>
    </row>
    <row r="105" spans="1:26" ht="14.25" hidden="1" customHeight="1" x14ac:dyDescent="0.2">
      <c r="A105" s="42" t="str">
        <f>Berechnung4!B51</f>
        <v xml:space="preserve">2023, </v>
      </c>
      <c r="C105" s="42">
        <f>Berechnung4!C51</f>
        <v>0</v>
      </c>
      <c r="D105" s="42">
        <f>Berechnung4!D51</f>
        <v>0</v>
      </c>
      <c r="E105" s="42">
        <f>Berechnung4!E51</f>
        <v>0</v>
      </c>
      <c r="F105" s="42">
        <f>Berechnung4!F51</f>
        <v>0.59999000000000002</v>
      </c>
      <c r="G105" s="57">
        <f>Berechnung4!G51</f>
        <v>0.59999000000000002</v>
      </c>
      <c r="H105" s="57">
        <f>Berechnung4!H51</f>
        <v>0</v>
      </c>
      <c r="I105" s="42">
        <f>Berechnung4!I51</f>
        <v>0.85001000000000004</v>
      </c>
      <c r="J105" s="57">
        <f>Berechnung4!J51</f>
        <v>0.85001000000000004</v>
      </c>
      <c r="K105" s="42">
        <f>Berechnung4!K51</f>
        <v>0</v>
      </c>
      <c r="L105" s="42" t="str">
        <f>Berechnung4!L51</f>
        <v>DFS auffällig niedrig oder hoch</v>
      </c>
      <c r="M105" s="42"/>
      <c r="N105" s="42" t="str">
        <f>Berechnung4!M51</f>
        <v>DFS auffällig niedrig oder hoch</v>
      </c>
      <c r="O105" s="42"/>
      <c r="P105" s="42"/>
      <c r="Z105" s="8"/>
    </row>
    <row r="106" spans="1:26" ht="14.25" hidden="1" customHeight="1" x14ac:dyDescent="0.2">
      <c r="A106" s="42">
        <f>Berechnung4!B52</f>
        <v>0</v>
      </c>
      <c r="C106" s="42">
        <f>Berechnung4!D52</f>
        <v>0</v>
      </c>
      <c r="D106" s="42">
        <f>Berechnung4!E52</f>
        <v>0</v>
      </c>
      <c r="E106" s="42">
        <f>Berechnung4!E52</f>
        <v>0</v>
      </c>
      <c r="F106" s="42">
        <f>Berechnung4!F52</f>
        <v>0</v>
      </c>
      <c r="G106" s="42">
        <f>Berechnung4!G52</f>
        <v>0</v>
      </c>
      <c r="H106" s="42">
        <f>Berechnung4!H52</f>
        <v>0</v>
      </c>
      <c r="I106" s="42">
        <f>Berechnung4!I52</f>
        <v>0</v>
      </c>
      <c r="J106" s="57">
        <f>Berechnung4!J52</f>
        <v>0</v>
      </c>
      <c r="K106" s="42">
        <f>Berechnung4!K52</f>
        <v>0</v>
      </c>
      <c r="L106" s="42">
        <f>Berechnung4!L52</f>
        <v>0</v>
      </c>
      <c r="M106" s="42"/>
      <c r="N106" s="42">
        <f>Berechnung4!M52</f>
        <v>0</v>
      </c>
      <c r="O106" s="42"/>
      <c r="P106" s="42"/>
      <c r="Z106" s="8"/>
    </row>
    <row r="107" spans="1:26" ht="14.25" hidden="1" customHeight="1" x14ac:dyDescent="0.2">
      <c r="A107" s="42" t="str">
        <f>Berechnung4!B55</f>
        <v>OAS</v>
      </c>
      <c r="C107" s="42">
        <f>Berechnung4!D55</f>
        <v>0</v>
      </c>
      <c r="D107" s="42">
        <f>Berechnung4!E55</f>
        <v>0</v>
      </c>
      <c r="E107" s="42">
        <f>Berechnung4!E55</f>
        <v>0</v>
      </c>
      <c r="F107" s="42">
        <f>Berechnung4!F55</f>
        <v>0</v>
      </c>
      <c r="G107" s="57" t="str">
        <f>Berechnung4!G55</f>
        <v>untere Grenze</v>
      </c>
      <c r="H107" s="57">
        <f>Berechnung4!H55</f>
        <v>0</v>
      </c>
      <c r="I107" s="42">
        <f>Berechnung4!I55</f>
        <v>0</v>
      </c>
      <c r="J107" s="57" t="str">
        <f>Berechnung4!J55</f>
        <v>obere Grenze</v>
      </c>
      <c r="K107" s="42">
        <f>Berechnung4!K53</f>
        <v>0</v>
      </c>
      <c r="L107" s="42">
        <f>Berechnung4!L53</f>
        <v>0</v>
      </c>
      <c r="M107" s="42"/>
      <c r="N107" s="42">
        <f>Berechnung4!M53</f>
        <v>0</v>
      </c>
      <c r="O107" s="42"/>
      <c r="P107" s="42"/>
      <c r="Z107" s="8"/>
    </row>
    <row r="108" spans="1:26" ht="14.25" hidden="1" customHeight="1" x14ac:dyDescent="0.2">
      <c r="A108" s="42"/>
      <c r="C108" s="42"/>
      <c r="D108" s="42"/>
      <c r="E108" s="42"/>
      <c r="F108" s="42"/>
      <c r="G108" s="57"/>
      <c r="H108" s="57"/>
      <c r="I108" s="42"/>
      <c r="J108" s="57"/>
      <c r="K108" s="42"/>
      <c r="L108" s="42"/>
      <c r="M108" s="42"/>
      <c r="N108" s="42">
        <f>Berechnung4!M54</f>
        <v>0</v>
      </c>
      <c r="O108" s="42"/>
      <c r="P108" s="42"/>
      <c r="Z108" s="8"/>
    </row>
    <row r="109" spans="1:26" ht="14.25" hidden="1" customHeight="1" x14ac:dyDescent="0.2">
      <c r="A109" s="42"/>
      <c r="C109" s="42"/>
      <c r="D109" s="42"/>
      <c r="E109" s="42"/>
      <c r="F109" s="42"/>
      <c r="G109" s="57"/>
      <c r="H109" s="57"/>
      <c r="I109" s="42"/>
      <c r="J109" s="57"/>
      <c r="K109" s="42"/>
      <c r="L109" s="42"/>
      <c r="M109" s="42"/>
      <c r="N109" s="42">
        <f>Berechnung4!M55</f>
        <v>0</v>
      </c>
      <c r="O109" s="42"/>
      <c r="P109" s="42"/>
      <c r="Z109" s="8"/>
    </row>
    <row r="110" spans="1:26" ht="14.25" hidden="1" customHeight="1" x14ac:dyDescent="0.2">
      <c r="A110" s="42" t="str">
        <f>Berechnung4!B56</f>
        <v>2019,</v>
      </c>
      <c r="C110" s="42">
        <f>Berechnung4!C56</f>
        <v>0</v>
      </c>
      <c r="D110" s="42">
        <f>Berechnung4!D56</f>
        <v>0</v>
      </c>
      <c r="E110" s="42">
        <f>Berechnung4!E56</f>
        <v>0</v>
      </c>
      <c r="F110" s="42">
        <f>Berechnung4!F56</f>
        <v>0.49998999999999999</v>
      </c>
      <c r="G110" s="57">
        <f>Berechnung4!G56</f>
        <v>0.49998999999999999</v>
      </c>
      <c r="H110" s="57">
        <f>Berechnung4!H56</f>
        <v>0</v>
      </c>
      <c r="I110" s="42">
        <f>Berechnung4!I56</f>
        <v>0.80001</v>
      </c>
      <c r="J110" s="57">
        <f>Berechnung4!J56</f>
        <v>0.80001</v>
      </c>
      <c r="K110" s="42">
        <f>Berechnung4!K56</f>
        <v>0</v>
      </c>
      <c r="L110" s="42" t="str">
        <f>Berechnung4!L56</f>
        <v>OAS auffällig niedrig oder hoch</v>
      </c>
      <c r="M110" s="42"/>
      <c r="N110" s="42" t="str">
        <f>Berechnung4!M56</f>
        <v>OAS auffällig niedrig oder hoch</v>
      </c>
      <c r="O110" s="42"/>
      <c r="P110" s="42"/>
      <c r="Z110" s="8"/>
    </row>
    <row r="111" spans="1:26" ht="14.25" hidden="1" customHeight="1" x14ac:dyDescent="0.2">
      <c r="A111" s="42" t="str">
        <f>Berechnung4!B57</f>
        <v xml:space="preserve">2020, </v>
      </c>
      <c r="C111" s="42">
        <f>Berechnung4!C57</f>
        <v>0</v>
      </c>
      <c r="D111" s="42">
        <f>Berechnung4!D57</f>
        <v>0</v>
      </c>
      <c r="E111" s="42">
        <f>Berechnung4!E57</f>
        <v>0</v>
      </c>
      <c r="F111" s="42">
        <f>Berechnung4!F57</f>
        <v>0.49998999999999999</v>
      </c>
      <c r="G111" s="57">
        <f>Berechnung4!G57</f>
        <v>0.49998999999999999</v>
      </c>
      <c r="H111" s="57">
        <f>Berechnung4!H57</f>
        <v>0</v>
      </c>
      <c r="I111" s="42">
        <f>Berechnung4!I57</f>
        <v>0.80001</v>
      </c>
      <c r="J111" s="57">
        <f>Berechnung4!J57</f>
        <v>0.80001</v>
      </c>
      <c r="K111" s="42">
        <f>Berechnung4!K57</f>
        <v>0</v>
      </c>
      <c r="L111" s="42" t="str">
        <f>Berechnung4!L57</f>
        <v>OAS auffällig niedrig oder hoch</v>
      </c>
      <c r="M111" s="42"/>
      <c r="N111" s="42" t="str">
        <f>Berechnung4!M57</f>
        <v>OAS auffällig niedrig oder hoch</v>
      </c>
      <c r="O111" s="42"/>
      <c r="P111" s="42"/>
      <c r="Z111" s="8"/>
    </row>
    <row r="112" spans="1:26" ht="14.25" hidden="1" customHeight="1" x14ac:dyDescent="0.2">
      <c r="A112" s="42" t="str">
        <f>Berechnung4!B58</f>
        <v xml:space="preserve">2021, </v>
      </c>
      <c r="C112" s="42">
        <f>Berechnung4!C58</f>
        <v>0</v>
      </c>
      <c r="D112" s="42">
        <f>Berechnung4!D58</f>
        <v>0</v>
      </c>
      <c r="E112" s="42">
        <f>Berechnung4!E58</f>
        <v>0</v>
      </c>
      <c r="F112" s="42">
        <f>Berechnung4!F58</f>
        <v>0.54998999999999998</v>
      </c>
      <c r="G112" s="57">
        <f>Berechnung4!G58</f>
        <v>0.54998999999999998</v>
      </c>
      <c r="H112" s="57">
        <f>Berechnung4!H58</f>
        <v>0</v>
      </c>
      <c r="I112" s="42">
        <f>Berechnung4!I58</f>
        <v>0.90000999999999998</v>
      </c>
      <c r="J112" s="57">
        <f>Berechnung4!J58</f>
        <v>0.90000999999999998</v>
      </c>
      <c r="K112" s="42">
        <f>Berechnung4!K58</f>
        <v>0</v>
      </c>
      <c r="L112" s="42" t="str">
        <f>Berechnung4!L58</f>
        <v>OAS auffällig niedrig oder hoch</v>
      </c>
      <c r="M112" s="42"/>
      <c r="N112" s="42" t="str">
        <f>Berechnung4!M58</f>
        <v>OAS auffällig niedrig oder hoch</v>
      </c>
      <c r="O112" s="42"/>
      <c r="P112" s="42"/>
      <c r="Z112" s="8"/>
    </row>
    <row r="113" spans="1:26" ht="14.25" hidden="1" customHeight="1" x14ac:dyDescent="0.2">
      <c r="A113" s="42" t="str">
        <f>Berechnung4!B59</f>
        <v xml:space="preserve">2022, </v>
      </c>
      <c r="C113" s="42">
        <f>Berechnung4!C59</f>
        <v>0</v>
      </c>
      <c r="D113" s="42">
        <f>Berechnung4!D59</f>
        <v>0</v>
      </c>
      <c r="E113" s="42">
        <f>Berechnung4!E59</f>
        <v>0</v>
      </c>
      <c r="F113" s="42">
        <f>Berechnung4!F59</f>
        <v>0.59999000000000002</v>
      </c>
      <c r="G113" s="57">
        <f>Berechnung4!G59</f>
        <v>0.59999000000000002</v>
      </c>
      <c r="H113" s="57">
        <f>Berechnung4!H59</f>
        <v>0</v>
      </c>
      <c r="I113" s="42">
        <f>Berechnung4!I59</f>
        <v>0.90000999999999998</v>
      </c>
      <c r="J113" s="57">
        <f>Berechnung4!J59</f>
        <v>0.90000999999999998</v>
      </c>
      <c r="K113" s="42">
        <f>Berechnung4!K59</f>
        <v>0</v>
      </c>
      <c r="L113" s="42" t="str">
        <f>Berechnung4!L59</f>
        <v>OAS auffällig niedrig oder hoch</v>
      </c>
      <c r="M113" s="42"/>
      <c r="N113" s="42" t="str">
        <f>Berechnung4!M59</f>
        <v>OAS auffällig niedrig oder hoch</v>
      </c>
      <c r="O113" s="42"/>
      <c r="P113" s="42"/>
      <c r="Z113" s="8"/>
    </row>
    <row r="114" spans="1:26" ht="14.25" hidden="1" customHeight="1" x14ac:dyDescent="0.2">
      <c r="A114" s="42" t="str">
        <f>Berechnung4!B60</f>
        <v xml:space="preserve">2023, </v>
      </c>
      <c r="C114" s="42">
        <f>Berechnung4!C60</f>
        <v>0</v>
      </c>
      <c r="D114" s="42">
        <f>Berechnung4!D60</f>
        <v>0</v>
      </c>
      <c r="E114" s="42">
        <f>Berechnung4!E60</f>
        <v>0</v>
      </c>
      <c r="F114" s="42">
        <f>Berechnung4!F60</f>
        <v>0.64998999999999996</v>
      </c>
      <c r="G114" s="57">
        <f>Berechnung4!G60</f>
        <v>0.64998999999999996</v>
      </c>
      <c r="H114" s="57">
        <f>Berechnung4!H60</f>
        <v>0</v>
      </c>
      <c r="I114" s="42">
        <f>Berechnung4!I60</f>
        <v>0.95001000000000002</v>
      </c>
      <c r="J114" s="57">
        <f>Berechnung4!J60</f>
        <v>0.95001000000000002</v>
      </c>
      <c r="K114" s="42">
        <f>Berechnung4!K60</f>
        <v>0</v>
      </c>
      <c r="L114" s="42" t="str">
        <f>Berechnung4!L60</f>
        <v>OAS auffällig niedrig oder hoch</v>
      </c>
      <c r="M114" s="42"/>
      <c r="N114" s="42" t="str">
        <f>Berechnung4!M60</f>
        <v>OAS auffällig niedrig oder hoch</v>
      </c>
      <c r="O114" s="42"/>
      <c r="P114" s="42"/>
      <c r="Z114" s="8"/>
    </row>
    <row r="115" spans="1:26" ht="14.25" hidden="1" customHeight="1" x14ac:dyDescent="0.2">
      <c r="A115" s="42" t="str">
        <f>Berechnung4!B59</f>
        <v xml:space="preserve">2022, </v>
      </c>
      <c r="C115" s="42">
        <f>Berechnung4!C59</f>
        <v>0</v>
      </c>
      <c r="D115" s="42">
        <f>Berechnung4!D59</f>
        <v>0</v>
      </c>
      <c r="E115" s="42">
        <f>Berechnung4!E59</f>
        <v>0</v>
      </c>
      <c r="F115" s="42">
        <f>Berechnung4!F59</f>
        <v>0.59999000000000002</v>
      </c>
      <c r="G115" s="57">
        <f>Berechnung4!G59</f>
        <v>0.59999000000000002</v>
      </c>
      <c r="H115" s="57">
        <f>Berechnung4!H59</f>
        <v>0</v>
      </c>
      <c r="I115" s="42">
        <f>Berechnung4!I59</f>
        <v>0.90000999999999998</v>
      </c>
      <c r="J115" s="57">
        <f>Berechnung4!J59</f>
        <v>0.90000999999999998</v>
      </c>
      <c r="K115" s="42">
        <f>Berechnung4!K59</f>
        <v>0</v>
      </c>
      <c r="L115" s="42" t="str">
        <f>Berechnung4!L59</f>
        <v>OAS auffällig niedrig oder hoch</v>
      </c>
      <c r="M115" s="42"/>
      <c r="N115" s="42" t="str">
        <f>Berechnung4!M59</f>
        <v>OAS auffällig niedrig oder hoch</v>
      </c>
      <c r="O115" s="42"/>
      <c r="P115" s="42"/>
      <c r="Z115" s="8"/>
    </row>
    <row r="116" spans="1:26" ht="14.25" hidden="1" customHeight="1" x14ac:dyDescent="0.2">
      <c r="A116" s="42" t="str">
        <f>Berechnung4!B60</f>
        <v xml:space="preserve">2023, </v>
      </c>
      <c r="C116" s="42">
        <f>Berechnung4!C60</f>
        <v>0</v>
      </c>
      <c r="D116" s="42">
        <f>Berechnung4!D60</f>
        <v>0</v>
      </c>
      <c r="E116" s="42">
        <f>Berechnung4!E60</f>
        <v>0</v>
      </c>
      <c r="F116" s="42">
        <f>Berechnung4!F60</f>
        <v>0.64998999999999996</v>
      </c>
      <c r="G116" s="57">
        <f>Berechnung4!G60</f>
        <v>0.64998999999999996</v>
      </c>
      <c r="H116" s="57">
        <f>Berechnung4!H60</f>
        <v>0</v>
      </c>
      <c r="I116" s="42">
        <f>Berechnung4!I60</f>
        <v>0.95001000000000002</v>
      </c>
      <c r="J116" s="57">
        <f>Berechnung4!J60</f>
        <v>0.95001000000000002</v>
      </c>
      <c r="K116" s="42">
        <f>Berechnung4!K60</f>
        <v>0</v>
      </c>
      <c r="L116" s="42" t="str">
        <f>Berechnung4!L60</f>
        <v>OAS auffällig niedrig oder hoch</v>
      </c>
      <c r="M116" s="42"/>
      <c r="N116" s="42" t="str">
        <f>Berechnung4!M60</f>
        <v>OAS auffällig niedrig oder hoch</v>
      </c>
      <c r="O116" s="42"/>
      <c r="P116" s="42"/>
      <c r="Z116" s="8"/>
    </row>
    <row r="117" spans="1:26" ht="14.25" customHeight="1" x14ac:dyDescent="0.2">
      <c r="Z117" s="8"/>
    </row>
    <row r="118" spans="1:26" ht="14.25" customHeight="1" x14ac:dyDescent="0.2">
      <c r="Z118" s="8"/>
    </row>
    <row r="119" spans="1:26" ht="14.25" customHeight="1" x14ac:dyDescent="0.2">
      <c r="Z119" s="8"/>
    </row>
    <row r="120" spans="1:26" ht="14.25" customHeight="1" x14ac:dyDescent="0.2">
      <c r="Z120" s="8"/>
    </row>
  </sheetData>
  <sheetProtection algorithmName="SHA-512" hashValue="TR9Cvfr4g7VBJsyPz5x7X7t5lY4NOdRaqrWHqwmymHqpQP7VCzASVZZVcFSuVeD0WY8tjaS63qgBufl+0nSf6w==" saltValue="zM+IF+t1DSI1lLCxVVCIJA==" spinCount="100000" sheet="1" objects="1" scenarios="1" selectLockedCells="1"/>
  <dataConsolidate/>
  <mergeCells count="99">
    <mergeCell ref="B75:D75"/>
    <mergeCell ref="B71:D71"/>
    <mergeCell ref="B73:D73"/>
    <mergeCell ref="E72:G72"/>
    <mergeCell ref="B61:D61"/>
    <mergeCell ref="E61:G61"/>
    <mergeCell ref="B64:D64"/>
    <mergeCell ref="B66:D66"/>
    <mergeCell ref="E74:G74"/>
    <mergeCell ref="B65:D65"/>
    <mergeCell ref="B67:D67"/>
    <mergeCell ref="E73:G73"/>
    <mergeCell ref="B68:D68"/>
    <mergeCell ref="E68:G68"/>
    <mergeCell ref="E65:G65"/>
    <mergeCell ref="B70:D70"/>
    <mergeCell ref="A42:Z42"/>
    <mergeCell ref="A41:Z41"/>
    <mergeCell ref="E80:G80"/>
    <mergeCell ref="B80:D80"/>
    <mergeCell ref="B78:D78"/>
    <mergeCell ref="B76:D76"/>
    <mergeCell ref="B77:D77"/>
    <mergeCell ref="B79:D79"/>
    <mergeCell ref="E76:G76"/>
    <mergeCell ref="E79:G79"/>
    <mergeCell ref="E78:G78"/>
    <mergeCell ref="E77:G77"/>
    <mergeCell ref="H59:Z59"/>
    <mergeCell ref="E75:G75"/>
    <mergeCell ref="B74:D74"/>
    <mergeCell ref="B72:D72"/>
    <mergeCell ref="E70:G70"/>
    <mergeCell ref="E71:G71"/>
    <mergeCell ref="E67:G67"/>
    <mergeCell ref="E62:G62"/>
    <mergeCell ref="B63:D63"/>
    <mergeCell ref="B59:D59"/>
    <mergeCell ref="E59:G59"/>
    <mergeCell ref="B62:D62"/>
    <mergeCell ref="E63:G63"/>
    <mergeCell ref="E60:G60"/>
    <mergeCell ref="I28:M28"/>
    <mergeCell ref="O28:W28"/>
    <mergeCell ref="A40:Z40"/>
    <mergeCell ref="A33:Z33"/>
    <mergeCell ref="A34:Z34"/>
    <mergeCell ref="A37:Z37"/>
    <mergeCell ref="A38:Z38"/>
    <mergeCell ref="A39:Z39"/>
    <mergeCell ref="A35:Z35"/>
    <mergeCell ref="A36:Z36"/>
    <mergeCell ref="I29:M29"/>
    <mergeCell ref="O29:W29"/>
    <mergeCell ref="Y29:Z29"/>
    <mergeCell ref="F21:F22"/>
    <mergeCell ref="B69:D69"/>
    <mergeCell ref="W21:W22"/>
    <mergeCell ref="Y21:Y22"/>
    <mergeCell ref="I21:I22"/>
    <mergeCell ref="J21:J22"/>
    <mergeCell ref="K21:K22"/>
    <mergeCell ref="L21:L22"/>
    <mergeCell ref="O21:O22"/>
    <mergeCell ref="V21:V22"/>
    <mergeCell ref="E69:G69"/>
    <mergeCell ref="E66:G66"/>
    <mergeCell ref="Y28:Z28"/>
    <mergeCell ref="E64:G64"/>
    <mergeCell ref="B60:D60"/>
    <mergeCell ref="Q21:Q22"/>
    <mergeCell ref="Z21:Z22"/>
    <mergeCell ref="Y19:Z19"/>
    <mergeCell ref="W14:Z14"/>
    <mergeCell ref="I19:W19"/>
    <mergeCell ref="U21:U22"/>
    <mergeCell ref="P21:P22"/>
    <mergeCell ref="S14:V14"/>
    <mergeCell ref="L14:R14"/>
    <mergeCell ref="R22:T22"/>
    <mergeCell ref="G14:K14"/>
    <mergeCell ref="G21:G22"/>
    <mergeCell ref="M21:M22"/>
    <mergeCell ref="A21:A22"/>
    <mergeCell ref="B21:B22"/>
    <mergeCell ref="C21:C22"/>
    <mergeCell ref="D21:D22"/>
    <mergeCell ref="E21:E22"/>
    <mergeCell ref="F6:W6"/>
    <mergeCell ref="F8:J8"/>
    <mergeCell ref="T8:W8"/>
    <mergeCell ref="C19:G19"/>
    <mergeCell ref="B13:F13"/>
    <mergeCell ref="G13:K13"/>
    <mergeCell ref="L13:R13"/>
    <mergeCell ref="S13:V13"/>
    <mergeCell ref="W13:Z13"/>
    <mergeCell ref="B14:F14"/>
    <mergeCell ref="A11:Z11"/>
  </mergeCells>
  <phoneticPr fontId="81" type="noConversion"/>
  <conditionalFormatting sqref="B23:B29">
    <cfRule type="expression" dxfId="64" priority="227" stopIfTrue="1">
      <formula>OR(A23="nicht relevant",A23="EZ")</formula>
    </cfRule>
  </conditionalFormatting>
  <conditionalFormatting sqref="B13:F13">
    <cfRule type="expression" dxfId="63" priority="58" stopIfTrue="1">
      <formula>$B$13="Nicht in Ordnung"</formula>
    </cfRule>
  </conditionalFormatting>
  <conditionalFormatting sqref="B14:F14">
    <cfRule type="expression" dxfId="62" priority="57" stopIfTrue="1">
      <formula>$B$14="die inkorrekten und unvollständigen Einträge beheben"</formula>
    </cfRule>
  </conditionalFormatting>
  <conditionalFormatting sqref="C23:C29">
    <cfRule type="cellIs" dxfId="61" priority="552" stopIfTrue="1" operator="lessThan">
      <formula>$G$89</formula>
    </cfRule>
  </conditionalFormatting>
  <conditionalFormatting sqref="C23:G29">
    <cfRule type="expression" dxfId="60" priority="25" stopIfTrue="1">
      <formula>OR($A23="nicht relevant",$A23="EZ")</formula>
    </cfRule>
  </conditionalFormatting>
  <conditionalFormatting sqref="D23:G29">
    <cfRule type="expression" dxfId="59" priority="26" stopIfTrue="1">
      <formula>LEN(TRIM(D23))=0</formula>
    </cfRule>
  </conditionalFormatting>
  <conditionalFormatting sqref="H23:X27">
    <cfRule type="expression" dxfId="58" priority="7" stopIfTrue="1">
      <formula>OR($A23="nicht relevant",$A23="EZ")</formula>
    </cfRule>
  </conditionalFormatting>
  <conditionalFormatting sqref="I23:I27">
    <cfRule type="expression" dxfId="57" priority="232" stopIfTrue="1">
      <formula>LEN(TRIM(I23))=0</formula>
    </cfRule>
    <cfRule type="cellIs" dxfId="56" priority="233" stopIfTrue="1" operator="greaterThan">
      <formula>$C23-$G23</formula>
    </cfRule>
  </conditionalFormatting>
  <conditionalFormatting sqref="J23:L27">
    <cfRule type="expression" dxfId="55" priority="16" stopIfTrue="1">
      <formula>LEN(TRIM(J23))=0</formula>
    </cfRule>
  </conditionalFormatting>
  <conditionalFormatting sqref="M23:M27">
    <cfRule type="expression" dxfId="54" priority="547" stopIfTrue="1">
      <formula>LEN(TRIM(M23))=0</formula>
    </cfRule>
    <cfRule type="cellIs" dxfId="53" priority="548" stopIfTrue="1" operator="between">
      <formula>$G$91</formula>
      <formula>$I$91</formula>
    </cfRule>
  </conditionalFormatting>
  <conditionalFormatting sqref="M31">
    <cfRule type="cellIs" dxfId="52" priority="324" stopIfTrue="1" operator="between">
      <formula>$G$92</formula>
      <formula>$I$92</formula>
    </cfRule>
    <cfRule type="cellIs" dxfId="51" priority="325" stopIfTrue="1" operator="between">
      <formula>$H$93</formula>
      <formula>$I$93</formula>
    </cfRule>
    <cfRule type="cellIs" dxfId="50" priority="326" stopIfTrue="1" operator="equal">
      <formula>"---"</formula>
    </cfRule>
  </conditionalFormatting>
  <conditionalFormatting sqref="O23:O27">
    <cfRule type="cellIs" dxfId="49" priority="234" stopIfTrue="1" operator="lessThan">
      <formula>0</formula>
    </cfRule>
  </conditionalFormatting>
  <conditionalFormatting sqref="P23:P27">
    <cfRule type="cellIs" dxfId="48" priority="24" stopIfTrue="1" operator="between">
      <formula>$G$87</formula>
      <formula>$I$87</formula>
    </cfRule>
  </conditionalFormatting>
  <conditionalFormatting sqref="Q23:W27">
    <cfRule type="expression" dxfId="47" priority="8" stopIfTrue="1">
      <formula>LEN(TRIM(Q23))=0</formula>
    </cfRule>
  </conditionalFormatting>
  <conditionalFormatting sqref="R23:T27">
    <cfRule type="cellIs" dxfId="46" priority="11" stopIfTrue="1" operator="greaterThan">
      <formula>$Q23</formula>
    </cfRule>
  </conditionalFormatting>
  <conditionalFormatting sqref="Y23">
    <cfRule type="cellIs" dxfId="45" priority="28" stopIfTrue="1" operator="between">
      <formula>$D$101</formula>
      <formula>$F$101</formula>
    </cfRule>
    <cfRule type="cellIs" dxfId="44" priority="29" stopIfTrue="1" operator="greaterThan">
      <formula>$J101</formula>
    </cfRule>
  </conditionalFormatting>
  <conditionalFormatting sqref="Y24">
    <cfRule type="cellIs" dxfId="43" priority="31" stopIfTrue="1" operator="between">
      <formula>$D$102</formula>
      <formula>$F$102</formula>
    </cfRule>
    <cfRule type="cellIs" dxfId="42" priority="32" stopIfTrue="1" operator="greaterThan">
      <formula>$J$102</formula>
    </cfRule>
  </conditionalFormatting>
  <conditionalFormatting sqref="Y25">
    <cfRule type="cellIs" dxfId="41" priority="34" stopIfTrue="1" operator="between">
      <formula>$D$103</formula>
      <formula>$F$103</formula>
    </cfRule>
    <cfRule type="cellIs" dxfId="40" priority="35" stopIfTrue="1" operator="greaterThan">
      <formula>$J$103</formula>
    </cfRule>
  </conditionalFormatting>
  <conditionalFormatting sqref="Y26">
    <cfRule type="cellIs" dxfId="39" priority="38" stopIfTrue="1" operator="greaterThan">
      <formula>$J$104</formula>
    </cfRule>
    <cfRule type="cellIs" dxfId="38" priority="37" stopIfTrue="1" operator="between">
      <formula>$D$104</formula>
      <formula>$F$104</formula>
    </cfRule>
  </conditionalFormatting>
  <conditionalFormatting sqref="Y27">
    <cfRule type="cellIs" dxfId="37" priority="3" stopIfTrue="1" operator="greaterThan">
      <formula>$J$105</formula>
    </cfRule>
    <cfRule type="cellIs" dxfId="36" priority="2" stopIfTrue="1" operator="between">
      <formula>$D$105</formula>
      <formula>$F$105</formula>
    </cfRule>
  </conditionalFormatting>
  <conditionalFormatting sqref="Y23:Z27">
    <cfRule type="expression" dxfId="35" priority="1" stopIfTrue="1">
      <formula>LEN(TRIM(Y23))=0</formula>
    </cfRule>
  </conditionalFormatting>
  <conditionalFormatting sqref="Z23">
    <cfRule type="cellIs" dxfId="34" priority="43" stopIfTrue="1" operator="between">
      <formula>$D$110</formula>
      <formula>$F$110</formula>
    </cfRule>
    <cfRule type="cellIs" dxfId="33" priority="44" stopIfTrue="1" operator="greaterThan">
      <formula>$J$110</formula>
    </cfRule>
  </conditionalFormatting>
  <conditionalFormatting sqref="Z24">
    <cfRule type="cellIs" dxfId="32" priority="46" stopIfTrue="1" operator="between">
      <formula>$D$110</formula>
      <formula>$F$111</formula>
    </cfRule>
    <cfRule type="cellIs" dxfId="31" priority="47" stopIfTrue="1" operator="greaterThan">
      <formula>$J$111</formula>
    </cfRule>
  </conditionalFormatting>
  <conditionalFormatting sqref="Z25">
    <cfRule type="cellIs" dxfId="30" priority="49" stopIfTrue="1" operator="between">
      <formula>$D110</formula>
      <formula>$F112</formula>
    </cfRule>
  </conditionalFormatting>
  <conditionalFormatting sqref="Z25:Z26">
    <cfRule type="cellIs" dxfId="29" priority="50" stopIfTrue="1" operator="greaterThan">
      <formula>$J112</formula>
    </cfRule>
  </conditionalFormatting>
  <conditionalFormatting sqref="Z26:Z27">
    <cfRule type="cellIs" dxfId="28" priority="5" stopIfTrue="1" operator="between">
      <formula>$D110</formula>
      <formula>$F113</formula>
    </cfRule>
  </conditionalFormatting>
  <conditionalFormatting sqref="Z27">
    <cfRule type="cellIs" dxfId="27" priority="6" stopIfTrue="1" operator="greaterThan">
      <formula>$J114</formula>
    </cfRule>
  </conditionalFormatting>
  <dataValidations count="13">
    <dataValidation type="whole" showInputMessage="1" showErrorMessage="1" errorTitle="Eingabefehler" error="Anzahl Pat. im Follow-Up zu hoch." sqref="L23:L27" xr:uid="{00000000-0002-0000-1400-000000000000}">
      <formula1>0</formula1>
      <formula2>C23-G23-J23-K23</formula2>
    </dataValidation>
    <dataValidation type="whole" showInputMessage="1" showErrorMessage="1" errorTitle="Eingabefehler" error="Anzahl Pat. im Follow-Up zu hoch." sqref="K23:K27" xr:uid="{00000000-0002-0000-1400-000001000000}">
      <formula1>0</formula1>
      <formula2>C23-G23-J23-L23</formula2>
    </dataValidation>
    <dataValidation type="whole" showInputMessage="1" showErrorMessage="1" errorTitle="Eingabefehler" error="Anzahl Pat. im Follow-Up zu hoch." sqref="J23:J27" xr:uid="{00000000-0002-0000-1400-000002000000}">
      <formula1>0</formula1>
      <formula2>C23-G23-K23-L23</formula2>
    </dataValidation>
    <dataValidation type="whole" allowBlank="1" showInputMessage="1" showErrorMessage="1" errorTitle="Eingabefehler" error="Ganze Zahl zwischen 0 und 5000 eingeben." sqref="D23:G29" xr:uid="{00000000-0002-0000-1400-000003000000}">
      <formula1>0</formula1>
      <formula2>5000</formula2>
    </dataValidation>
    <dataValidation type="whole" operator="greaterThanOrEqual" allowBlank="1" showInputMessage="1" showErrorMessage="1" errorTitle="Error" error="Minuszahlen..." sqref="C23:C29" xr:uid="{00000000-0002-0000-1400-000004000000}">
      <formula1>0</formula1>
    </dataValidation>
    <dataValidation type="whole" errorStyle="information" allowBlank="1" showInputMessage="1" showErrorMessage="1" errorTitle="Ausfüllhinweis" error="Nur postive ganze Zahlen verwenden." sqref="H23:H29" xr:uid="{00000000-0002-0000-1400-000005000000}">
      <formula1>0</formula1>
      <formula2>5000</formula2>
    </dataValidation>
    <dataValidation type="whole" showInputMessage="1" showErrorMessage="1" errorTitle="Eingabefehler" error="Eingabe kann nicht größer sein als Ereignisse Spalte Q._x000a_" sqref="R23:R27" xr:uid="{00000000-0002-0000-1400-000006000000}">
      <formula1>0</formula1>
      <formula2>$Q23</formula2>
    </dataValidation>
    <dataValidation type="whole" showInputMessage="1" showErrorMessage="1" errorTitle="Eingabefehler" error="Eingabe kann nicht größer sein als Ereignisse Spalte Q." sqref="S23:T27" xr:uid="{00000000-0002-0000-1400-000007000000}">
      <formula1>0</formula1>
      <formula2>$Q23</formula2>
    </dataValidation>
    <dataValidation type="decimal" allowBlank="1" showInputMessage="1" showErrorMessage="1" errorTitle="Aufüllhinweis" error="Nur Prozentwerte zwischen 0% und 100% können verwendet werden." sqref="Y23:Z27" xr:uid="{00000000-0002-0000-1400-000008000000}">
      <formula1>0</formula1>
      <formula2>1</formula2>
    </dataValidation>
    <dataValidation type="whole" showInputMessage="1" showErrorMessage="1" errorTitle="Eingabefehler" error="Summe Spalten Q+U+V+W (Patienten mit Ereignisse) darf nicht größer als Summe Spalten J+K (Patientenrückmeldungen) sein." sqref="Q23:Q27" xr:uid="{00000000-0002-0000-1400-000009000000}">
      <formula1>0</formula1>
      <formula2>SUM($J23:$K23)-$U23-$V23-$W23</formula2>
    </dataValidation>
    <dataValidation type="whole" showInputMessage="1" showErrorMessage="1" errorTitle="Eingabefehler" error="Summe Spalten Q+U+V+W (Patienten mit Ereignisse) darf nicht größer als Summe Spalten J+K (Patientenrückmeldungen) sein." sqref="U23:U27" xr:uid="{00000000-0002-0000-1400-00000A000000}">
      <formula1>0</formula1>
      <formula2>SUM($J23:$K23)-$Q23-$V23-$W23</formula2>
    </dataValidation>
    <dataValidation type="whole" showInputMessage="1" showErrorMessage="1" errorTitle="Eingabefehler" error="Summe Spalten Q+U+V+W (Patienten mit Ereignisse) darf nicht größer als Summe Spalten J+K (Patientenrückmeldungen) sein." sqref="V23:V27" xr:uid="{00000000-0002-0000-1400-00000B000000}">
      <formula1>0</formula1>
      <formula2>SUM($J23:$K23)-$U23-$Q23-$W23</formula2>
    </dataValidation>
    <dataValidation type="whole" showInputMessage="1" showErrorMessage="1" errorTitle="Eingabefehler" error="Summe Spalten Q+U+V+W (Patienten mit Ereignisse) darf nicht größer als Summe Spalten J+K (Patientenrückmeldungen) sein." sqref="W23:W27" xr:uid="{00000000-0002-0000-1400-00000C000000}">
      <formula1>0</formula1>
      <formula2>SUM($J23:$K23)-$U23-$V23-$Q23</formula2>
    </dataValidation>
  </dataValidations>
  <pageMargins left="0.39370078740157483" right="3.937007874015748E-2" top="0.59055118110236227" bottom="0.39370078740157483" header="0.11811023622047245" footer="0.11811023622047245"/>
  <pageSetup paperSize="9" scale="95" orientation="landscape" r:id="rId1"/>
  <headerFooter>
    <oddFooter>&amp;L&amp;"Arial,Standard"&amp;7&amp;F&amp;C&amp;"Arial,Standard"&amp;7 © DKG  Alle Rechte vorbehalten&amp;R&amp;"Arial,Standard"&amp;7&amp;P</oddFooter>
  </headerFooter>
  <rowBreaks count="2" manualBreakCount="2">
    <brk id="32" max="16383" man="1"/>
    <brk id="56" max="16383" man="1"/>
  </rowBreaks>
  <drawing r:id="rId2"/>
  <legacyDrawing r:id="rId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Tabelle15"/>
  <dimension ref="A1:AH61"/>
  <sheetViews>
    <sheetView zoomScaleNormal="100" workbookViewId="0">
      <selection activeCell="B61" sqref="B61"/>
    </sheetView>
  </sheetViews>
  <sheetFormatPr defaultColWidth="9" defaultRowHeight="11.25" x14ac:dyDescent="0.25"/>
  <cols>
    <col min="1" max="1" width="20.7109375" style="35" customWidth="1"/>
    <col min="2" max="2" width="25.140625" style="35" customWidth="1"/>
    <col min="3" max="3" width="27.7109375" style="35" customWidth="1"/>
    <col min="4" max="4" width="23.28515625" style="35" customWidth="1"/>
    <col min="5" max="5" width="29.7109375" style="35" customWidth="1"/>
    <col min="6" max="6" width="31.42578125" style="35" customWidth="1"/>
    <col min="7" max="7" width="25.140625" style="169" customWidth="1"/>
    <col min="8" max="8" width="25.5703125" style="201" customWidth="1"/>
    <col min="9" max="9" width="30.7109375" style="164" customWidth="1"/>
    <col min="10" max="10" width="34.5703125" style="193" customWidth="1"/>
    <col min="11" max="11" width="29.85546875" style="35" customWidth="1"/>
    <col min="12" max="12" width="32.85546875" style="35" customWidth="1"/>
    <col min="13" max="13" width="30.28515625" style="35" customWidth="1"/>
    <col min="14" max="14" width="24.42578125" style="35" customWidth="1"/>
    <col min="15" max="15" width="14.7109375" style="35" customWidth="1"/>
    <col min="16" max="16" width="11.42578125" style="35" customWidth="1"/>
    <col min="17" max="17" width="27.5703125" style="35" customWidth="1"/>
    <col min="18" max="131" width="11.42578125" style="35" customWidth="1"/>
    <col min="132" max="16384" width="9" style="35"/>
  </cols>
  <sheetData>
    <row r="1" spans="1:34" x14ac:dyDescent="0.25">
      <c r="G1" s="35"/>
      <c r="H1" s="193"/>
      <c r="I1" s="35"/>
    </row>
    <row r="2" spans="1:34" ht="12.75" customHeight="1" x14ac:dyDescent="0.25">
      <c r="A2" s="90" t="s">
        <v>358</v>
      </c>
      <c r="G2" s="35"/>
      <c r="H2" s="193"/>
      <c r="I2" s="35"/>
      <c r="AG2" s="169"/>
    </row>
    <row r="3" spans="1:34" ht="14.25" customHeight="1" x14ac:dyDescent="0.25">
      <c r="AG3" s="169"/>
    </row>
    <row r="4" spans="1:34" x14ac:dyDescent="0.25">
      <c r="G4" s="35"/>
      <c r="H4" s="193"/>
      <c r="I4" s="35"/>
      <c r="AG4" s="169"/>
    </row>
    <row r="5" spans="1:34" ht="15" customHeight="1" x14ac:dyDescent="0.25">
      <c r="B5" s="160" t="s">
        <v>352</v>
      </c>
      <c r="C5" s="131" t="s">
        <v>345</v>
      </c>
      <c r="D5" s="161" t="s">
        <v>294</v>
      </c>
      <c r="E5" s="162" t="s">
        <v>353</v>
      </c>
      <c r="F5" s="163" t="s">
        <v>354</v>
      </c>
      <c r="G5" s="35"/>
      <c r="H5" s="193"/>
      <c r="I5" s="35"/>
      <c r="AF5" s="158"/>
    </row>
    <row r="6" spans="1:34" x14ac:dyDescent="0.25">
      <c r="B6" s="236" t="str">
        <f>IF(AND(E6=0,F6=0,Berechnung5!A7="relevant"),B8,IF(OR(Berechnung5!A7="nicht relevant",Berechnung5!A7="EZ"),"",B9))</f>
        <v/>
      </c>
      <c r="C6" s="165">
        <f>Berechnung5!J70</f>
        <v>0</v>
      </c>
      <c r="D6" s="166">
        <f>Berechnung5!J71</f>
        <v>0</v>
      </c>
      <c r="E6" s="167">
        <f>Berechnung5!J69</f>
        <v>0</v>
      </c>
      <c r="F6" s="168">
        <f>Berechnung5!J68</f>
        <v>0</v>
      </c>
      <c r="G6" s="35"/>
      <c r="H6" s="193"/>
      <c r="I6" s="35"/>
    </row>
    <row r="7" spans="1:34" x14ac:dyDescent="0.25">
      <c r="G7" s="35"/>
      <c r="H7" s="193"/>
      <c r="I7" s="35"/>
    </row>
    <row r="8" spans="1:34" x14ac:dyDescent="0.25">
      <c r="A8" s="90" t="s">
        <v>268</v>
      </c>
      <c r="B8" s="35" t="s">
        <v>405</v>
      </c>
      <c r="G8" s="35"/>
      <c r="H8" s="193"/>
      <c r="I8" s="35"/>
    </row>
    <row r="9" spans="1:34" x14ac:dyDescent="0.25">
      <c r="B9" s="35" t="s">
        <v>290</v>
      </c>
      <c r="G9" s="35"/>
      <c r="H9" s="193"/>
      <c r="I9" s="35"/>
    </row>
    <row r="10" spans="1:34" x14ac:dyDescent="0.25">
      <c r="G10" s="35"/>
      <c r="H10" s="193"/>
      <c r="I10" s="35"/>
    </row>
    <row r="11" spans="1:34" x14ac:dyDescent="0.25">
      <c r="A11" s="164"/>
      <c r="B11" s="90" t="s">
        <v>378</v>
      </c>
      <c r="G11" s="35"/>
      <c r="H11" s="193"/>
      <c r="I11" s="35"/>
    </row>
    <row r="12" spans="1:34" x14ac:dyDescent="0.25">
      <c r="A12" s="164"/>
      <c r="G12" s="35"/>
      <c r="H12" s="193"/>
      <c r="I12" s="35"/>
    </row>
    <row r="13" spans="1:34" x14ac:dyDescent="0.25">
      <c r="A13" s="164"/>
      <c r="B13" s="956" t="s">
        <v>364</v>
      </c>
      <c r="C13" s="958" t="s">
        <v>380</v>
      </c>
      <c r="D13" s="901" t="s">
        <v>363</v>
      </c>
      <c r="E13" s="960" t="s">
        <v>236</v>
      </c>
      <c r="G13" s="35"/>
      <c r="H13" s="193"/>
      <c r="I13" s="35"/>
    </row>
    <row r="14" spans="1:34" x14ac:dyDescent="0.25">
      <c r="A14" s="164"/>
      <c r="B14" s="957"/>
      <c r="C14" s="959"/>
      <c r="D14" s="901"/>
      <c r="E14" s="961"/>
      <c r="G14" s="35"/>
      <c r="H14" s="193"/>
      <c r="I14" s="122" t="s">
        <v>236</v>
      </c>
      <c r="J14" s="91" t="s">
        <v>237</v>
      </c>
    </row>
    <row r="15" spans="1:34" ht="38.1" customHeight="1" x14ac:dyDescent="0.25">
      <c r="A15" s="158" t="s">
        <v>377</v>
      </c>
      <c r="B15" s="34" t="str">
        <f>CONCATENATE(IF(Berechnung5!$H$2=Berechnung4!$L$32,Berechnung5!$B$2,""),IF(Berechnung5!$H$3=Berechnung4!$L$32,Berechnung5!$B$3,""),IF(Berechnung5!$H$4=Berechnung4!$L$32,Berechnung5!$B$4,""),IF(Berechnung5!$H$5=Berechnung4!$L$32,Berechnung5!$B$5,""),IF(Berechnung5!$H$6=Berechnung4!$L$32,Berechnung5!$B$6,""),IF(Berechnung5!$H$7=Berechnung4!$L$32,Berechnung5!$B$7,""),IF(Berechnung5!$H$8=Berechnung4!$L$32,Berechnung5!$B$8,""))</f>
        <v/>
      </c>
      <c r="C15" s="34">
        <f>IF(LEN(B15)&gt;0,"X",0)</f>
        <v>0</v>
      </c>
      <c r="D15" s="34" t="str">
        <f>IF(COUNTIF(Berechnung5!$H$2:$H$8,Berechnung4!$L$32)&gt;0,CONCATENATE(Berechnung4!$F$5,"                                     ",Berechnung4!$L$32),"")</f>
        <v/>
      </c>
      <c r="E15" s="34" t="str">
        <f>IF(COUNTIF(Berechnung5!$H$2:$H$8,Berechnung4!$L$32)&gt;0,"a","")</f>
        <v/>
      </c>
      <c r="G15" s="127" t="e">
        <f t="array" ref="G15">INDEX(B:B,SMALL(IF($C$15:$C$25="X",ROW($15:$25)),1))</f>
        <v>#NUM!</v>
      </c>
      <c r="H15" s="230" t="e">
        <f t="array" ref="H15">INDEX(D:D,SMALL(IF($C$15:$C$25="X",ROW($15:$25)),1))</f>
        <v>#NUM!</v>
      </c>
      <c r="I15" s="94" t="e">
        <f t="array" ref="I15">INDEX(E:E,SMALL(IF($C$15:$C$25="X",ROW($15:$25)),1))</f>
        <v>#NUM!</v>
      </c>
      <c r="J15" s="34" t="e">
        <f>IF(AND('Datendefizite_Matrix-Rektum'!C19="",I15&lt;&gt;""),"Anmerkung OnkoZert : Keine Erläuterung vorhanden",'Datendefizite_Matrix-Rektum'!C19)</f>
        <v>#NUM!</v>
      </c>
    </row>
    <row r="16" spans="1:34" ht="38.1" customHeight="1" x14ac:dyDescent="0.25">
      <c r="A16" s="158" t="s">
        <v>382</v>
      </c>
      <c r="B16" s="156" t="str">
        <f>CONCATENATE(IF(Berechnung5!$H$9=Berechnung4!$L$36,Berechnung5!$B$2,""),IF(Berechnung5!$H$10=Berechnung4!$L$36,Berechnung5!$B$3,""),IF(Berechnung5!$H$11=Berechnung4!$L$36,Berechnung5!$B$4,""),IF(Berechnung5!$H$12=Berechnung4!$L$36,Berechnung5!$B$5,""),IF(Berechnung5!$H$13=Berechnung4!$L$36,Berechnung5!$B$6,""),IF(Berechnung5!$H$14=Berechnung4!$L$36,Berechnung5!$B$7,""))</f>
        <v/>
      </c>
      <c r="C16" s="34">
        <f>IF(LEN(B16)&gt;0,"X",0)</f>
        <v>0</v>
      </c>
      <c r="D16" s="34" t="str">
        <f>IF(COUNTIF(Berechnung5!$H$9:$H$14,Berechnung4!$L$36)&gt;0,CONCATENATE(Berechnung4!$E$5,"                                     ",Berechnung4!$L$36),"")</f>
        <v/>
      </c>
      <c r="E16" s="34" t="str">
        <f>IF(COUNTIF(Berechnung5!$H$9:$H$13,Berechnung4!$L$36)&gt;0,"b","")</f>
        <v/>
      </c>
      <c r="G16" s="127" t="e">
        <f t="array" ref="G16">INDEX(B:B,SMALL(IF($C$15:$C$25="X",ROW($15:$25)),2))</f>
        <v>#NUM!</v>
      </c>
      <c r="H16" s="230" t="e">
        <f t="array" ref="H16">INDEX(D:D,SMALL(IF($C$15:$C$25="X",ROW($15:$25)),2))</f>
        <v>#NUM!</v>
      </c>
      <c r="I16" s="94" t="e">
        <f t="array" ref="I16">INDEX(E:E,SMALL(IF($C$15:$C$25="X",ROW($15:$25)),2))</f>
        <v>#NUM!</v>
      </c>
      <c r="J16" s="34" t="e">
        <f>IF(AND('Datendefizite_Matrix-Rektum'!C20="",I16&lt;&gt;""),"Anmerkung OnkoZert : Keine Erläuterung vorhanden",'Datendefizite_Matrix-Rektum'!C20)</f>
        <v>#NUM!</v>
      </c>
      <c r="AH16" s="170"/>
    </row>
    <row r="17" spans="1:34" ht="38.1" customHeight="1" x14ac:dyDescent="0.25">
      <c r="A17" s="158" t="s">
        <v>383</v>
      </c>
      <c r="B17" s="156" t="str">
        <f>CONCATENATE(IF(Berechnung5!$H$16=Berechnung4!$L$42,Berechnung5!$B$2,""),IF(Berechnung5!$H$17=Berechnung4!$L$42,Berechnung5!$B$3,""),IF(Berechnung5!$H$18=Berechnung4!$L$42,Berechnung5!$B$4,""),IF(Berechnung5!$H$19=Berechnung4!$L$42,Berechnung5!$B$5,""),IF(Berechnung5!$H$20=Berechnung4!$L$42,Berechnung5!$B$6,""),IF(Berechnung5!$H$21=Berechnung4!$L$42,Berechnung5!$B$7,""))</f>
        <v/>
      </c>
      <c r="C17" s="34">
        <f>IF(LEN(B17)&gt;0,"X",0)</f>
        <v>0</v>
      </c>
      <c r="D17" s="34" t="str">
        <f>IF(COUNTIF(Berechnung5!$H$16:$H$21,Berechnung4!$L$42)&gt;0,CONCATENATE(Berechnung4!$E$5,"                                     ",Berechnung4!$L$42),"")</f>
        <v/>
      </c>
      <c r="E17" s="34" t="str">
        <f>IF(COUNTIF(Berechnung5!$H$16:$H$20,Berechnung4!$L$42)&gt;0,"c","")</f>
        <v/>
      </c>
      <c r="G17" s="127" t="e">
        <f t="array" ref="G17">INDEX(B:B,SMALL(IF($C$15:$C$25="X",ROW($15:$25)),3))</f>
        <v>#NUM!</v>
      </c>
      <c r="H17" s="230" t="e">
        <f t="array" ref="H17">INDEX(D:D,SMALL(IF($C$15:$C$25="X",ROW($15:$25)),3))</f>
        <v>#NUM!</v>
      </c>
      <c r="I17" s="94" t="e">
        <f t="array" ref="I17">INDEX(E:E,SMALL(IF($C$15:$C$25="X",ROW($15:$25)),3))</f>
        <v>#NUM!</v>
      </c>
      <c r="J17" s="34" t="e">
        <f>IF(AND('Datendefizite_Matrix-Rektum'!C21="",I17&lt;&gt;""),"Anmerkung OnkoZert : Keine Erläuterung vorhanden",'Datendefizite_Matrix-Rektum'!C21)</f>
        <v>#NUM!</v>
      </c>
    </row>
    <row r="18" spans="1:34" ht="38.1" customHeight="1" x14ac:dyDescent="0.25">
      <c r="A18" s="158" t="s">
        <v>381</v>
      </c>
      <c r="B18" s="156" t="str">
        <f>CONCATENATE(IF(Berechnung5!$H$23=Berechnung4!$L$40,Berechnung5!$B$2,""),IF(Berechnung5!$H$24=Berechnung4!$L$40,Berechnung5!$B$3,""),IF(Berechnung5!$H$25=Berechnung4!$L$40,Berechnung5!$B$4,""),IF(Berechnung5!$H$26=Berechnung4!$L$40,Berechnung5!$B$5,""),IF(Berechnung5!$H$27=Berechnung4!$L$40,Berechnung5!$B$6,""),IF(Berechnung5!$H$28=Berechnung4!$L$40,Berechnung5!$B$7,""))</f>
        <v/>
      </c>
      <c r="C18" s="34">
        <f>IF(LEN(B18)&gt;0,"X",0)</f>
        <v>0</v>
      </c>
      <c r="D18" s="34" t="str">
        <f>IF(COUNTIF(Berechnung5!$H$23:$H$28,Berechnung4!$L$40)&gt;0,CONCATENATE(Berechnung4!$E$5,"                                     ",Berechnung4!$L$40),"")</f>
        <v/>
      </c>
      <c r="E18" s="34" t="str">
        <f>IF(COUNTIF(Berechnung5!$H$23:$H$27,Berechnung4!$L$40)&gt;0,"d","")</f>
        <v/>
      </c>
      <c r="G18" s="127" t="e">
        <f t="array" ref="G18">INDEX(B:B,SMALL(IF($C$15:$C$25="X",ROW($15:$25)),4))</f>
        <v>#NUM!</v>
      </c>
      <c r="H18" s="230" t="e">
        <f t="array" ref="H18">INDEX(D:D,SMALL(IF($C$15:$C$25="X",ROW($15:$25)),4))</f>
        <v>#NUM!</v>
      </c>
      <c r="I18" s="94" t="e">
        <f t="array" ref="I18">INDEX(E:E,SMALL(IF($C$15:$C$25="X",ROW($15:$25)),4))</f>
        <v>#NUM!</v>
      </c>
      <c r="J18" s="34" t="e">
        <f>IF(AND('Datendefizite_Matrix-Rektum'!C22="",I18&lt;&gt;""),"Anmerkung OnkoZert : Keine Erläuterung vorhanden",'Datendefizite_Matrix-Rektum'!C22)</f>
        <v>#NUM!</v>
      </c>
      <c r="AH18" s="169"/>
    </row>
    <row r="19" spans="1:34" ht="38.1" customHeight="1" x14ac:dyDescent="0.25">
      <c r="A19" s="158" t="s">
        <v>292</v>
      </c>
      <c r="B19" s="34" t="s">
        <v>1823</v>
      </c>
      <c r="C19" s="34">
        <f>IF(LEN(D19)&gt;0,"X",0)</f>
        <v>0</v>
      </c>
      <c r="D19" s="34" t="str">
        <f>IF(COUNTIF(Berechnung5!$H$30,Berechnung4!$L$38)&gt;0,CONCATENATE(Berechnung4!$D$5,"                                     ",Berechnung4!$L$38),"")</f>
        <v/>
      </c>
      <c r="E19" s="34" t="str">
        <f>IF(COUNTIF(Berechnung5!$H$30,Berechnung4!$L$38)&gt;0,"e","")</f>
        <v/>
      </c>
      <c r="G19" s="127" t="e">
        <f t="array" ref="G19">INDEX(B:B,SMALL(IF($C$15:$C$25="X",ROW($15:$25)),5))</f>
        <v>#NUM!</v>
      </c>
      <c r="H19" s="230" t="e">
        <f t="array" ref="H19">INDEX(D:D,SMALL(IF($C$15:$C$25="X",ROW($15:$25)),5))</f>
        <v>#NUM!</v>
      </c>
      <c r="I19" s="94" t="e">
        <f t="array" ref="I19">INDEX(E:E,SMALL(IF($C$15:$C$25="X",ROW($15:$25)),5))</f>
        <v>#NUM!</v>
      </c>
      <c r="J19" s="34" t="e">
        <f>IF(AND('Datendefizite_Matrix-Rektum'!C23="",I19&lt;&gt;""),"Anmerkung OnkoZert : Keine Erläuterung vorhanden",'Datendefizite_Matrix-Rektum'!C23)</f>
        <v>#NUM!</v>
      </c>
    </row>
    <row r="20" spans="1:34" ht="38.1" customHeight="1" x14ac:dyDescent="0.25">
      <c r="A20" s="158" t="s">
        <v>384</v>
      </c>
      <c r="B20" s="34" t="str">
        <f>CONCATENATE(IF(Berechnung5!$H$31=Berechnung4!$L$35,Berechnung5!$B$2,""),IF(Berechnung5!$H$32=Berechnung4!$L$35,Berechnung5!$B$3,""),IF(Berechnung5!$H$33=Berechnung4!$L$35,Berechnung5!$B$4,""),IF(Berechnung5!$H$34=Berechnung4!$L$35,Berechnung5!$B$5,""),IF(Berechnung5!$H$35=Berechnung4!$L$35,Berechnung5!$B$6,""),IF(Berechnung5!$H$36=Berechnung4!$L$35,Berechnung5!$B$7,""),IF(Berechnung5!$H$37=Berechnung4!$L$35,Berechnung5!$B$8,""))</f>
        <v/>
      </c>
      <c r="C20" s="34">
        <f>IF(LEN(B20)&gt;0,"X",0)</f>
        <v>0</v>
      </c>
      <c r="D20" s="34" t="str">
        <f>IF(COUNTIF(Berechnung5!$H$31:$H$37,Berechnung4!$L$35)&gt;0,CONCATENATE(Berechnung4!$C$5,"                                     ",Berechnung4!$L$35),"")</f>
        <v/>
      </c>
      <c r="E20" s="34" t="str">
        <f>IF(COUNTIF(Berechnung5!$H$31:$H$37,Berechnung4!$L$35)&gt;0,"f","")</f>
        <v/>
      </c>
      <c r="G20" s="127" t="e">
        <f t="array" ref="G20">INDEX(B:B,SMALL(IF($C$15:$C$25="X",ROW($15:$25)),6))</f>
        <v>#NUM!</v>
      </c>
      <c r="H20" s="230" t="e">
        <f t="array" ref="H20">INDEX(D:D,SMALL(IF($C$15:$C$25="X",ROW($15:$25)),6))</f>
        <v>#NUM!</v>
      </c>
      <c r="I20" s="94" t="e">
        <f t="array" ref="I20">INDEX(E:E,SMALL(IF($C$15:$C$25="X",ROW($15:$25)),6))</f>
        <v>#NUM!</v>
      </c>
      <c r="J20" s="34" t="e">
        <f>IF(AND('Datendefizite_Matrix-Rektum'!C24="",I20&lt;&gt;""),"Anmerkung OnkoZert : Keine Erläuterung vorhanden",'Datendefizite_Matrix-Rektum'!C24)</f>
        <v>#NUM!</v>
      </c>
    </row>
    <row r="21" spans="1:34" ht="38.1" customHeight="1" x14ac:dyDescent="0.25">
      <c r="A21" s="158"/>
      <c r="B21" s="34" t="s">
        <v>1823</v>
      </c>
      <c r="C21" s="34">
        <f>IF(LEN(D21)&gt;0,"X",0)</f>
        <v>0</v>
      </c>
      <c r="D21" s="34" t="str">
        <f>IF(COUNTIF(Berechnung5!$H$38,Berechnung4!$L$39),CONCATENATE(Berechnung4!$C$5,"                                     ",Berechnung4!$L$39),"")</f>
        <v/>
      </c>
      <c r="E21" s="34" t="str">
        <f>IF(COUNTIF(Berechnung5!$H$38,Berechnung4!$L$39)&gt;0,"g","")</f>
        <v/>
      </c>
      <c r="G21" s="127" t="e">
        <f t="array" ref="G21">INDEX(B:B,SMALL(IF($C$15:$C$25="X",ROW($15:$25)),7))</f>
        <v>#NUM!</v>
      </c>
      <c r="H21" s="230" t="e">
        <f t="array" ref="H21">INDEX(D:D,SMALL(IF($C$15:$C$25="X",ROW($15:$25)),7))</f>
        <v>#NUM!</v>
      </c>
      <c r="I21" s="94" t="e">
        <f t="array" ref="I21">INDEX(E:E,SMALL(IF($C$15:$C$25="X",ROW($15:$25)),7))</f>
        <v>#NUM!</v>
      </c>
      <c r="J21" s="34" t="e">
        <f>IF(AND('Datendefizite_Matrix-Rektum'!C25="",I21&lt;&gt;""),"Anmerkung OnkoZert : Keine Erläuterung vorhanden",'Datendefizite_Matrix-Rektum'!C25)</f>
        <v>#NUM!</v>
      </c>
    </row>
    <row r="22" spans="1:34" ht="38.1" customHeight="1" x14ac:dyDescent="0.25">
      <c r="A22" s="158" t="s">
        <v>385</v>
      </c>
      <c r="B22" s="34" t="str">
        <f>CONCATENATE(IF(Berechnung5!$H$39=Berechnung4!$L$37,Berechnung5!$B$2,""),IF(Berechnung5!$H$40=Berechnung4!$L$37,Berechnung5!$B$3,""),IF(Berechnung5!$H$41=Berechnung4!$L$37,Berechnung5!$B$4,""),IF(Berechnung5!$H$42=Berechnung4!$L$37,Berechnung5!$B$5,""),IF(Berechnung5!$H$43=Berechnung4!$L$37,Berechnung5!$B$6,""),IF(Berechnung5!$H$44=Berechnung4!$L$37,Berechnung5!$B$7,""),IF(Berechnung5!$H$45=Berechnung4!$L$37,Berechnung5!$B$8,""))</f>
        <v/>
      </c>
      <c r="C22" s="34">
        <f>IF(LEN(B22)&gt;0,"X",0)</f>
        <v>0</v>
      </c>
      <c r="D22" s="34" t="str">
        <f>IF(COUNTIF(Berechnung5!H39:H44,Berechnung4!$L$37)&gt;0,CONCATENATE(Berechnung4!$C$5,"                                     ",Berechnung4!$L$37),"")</f>
        <v/>
      </c>
      <c r="E22" s="34" t="str">
        <f>IF(COUNTIF(Berechnung5!H39:H43,Berechnung4!$L$37)&gt;0,"h","")</f>
        <v/>
      </c>
      <c r="G22" s="127" t="e">
        <f t="array" ref="G22">INDEX(B:B,SMALL(IF($C$15:$C$25="X",ROW($15:$25)),8))</f>
        <v>#NUM!</v>
      </c>
      <c r="H22" s="230" t="e">
        <f t="array" ref="H22">INDEX(D:D,SMALL(IF($C$15:$C$25="X",ROW($15:$25)),8))</f>
        <v>#NUM!</v>
      </c>
      <c r="I22" s="94" t="e">
        <f t="array" ref="I22">INDEX(E:E,SMALL(IF($C$15:$C$25="X",ROW($15:$25)),8))</f>
        <v>#NUM!</v>
      </c>
      <c r="J22" s="34" t="e">
        <f>IF(AND('Datendefizite_Matrix-Rektum'!C26="",I22&lt;&gt;""),"Anmerkung OnkoZert : Keine Erläuterung vorhanden",'Datendefizite_Matrix-Rektum'!C26)</f>
        <v>#NUM!</v>
      </c>
    </row>
    <row r="23" spans="1:34" ht="38.1" customHeight="1" x14ac:dyDescent="0.25">
      <c r="A23" s="158" t="s">
        <v>386</v>
      </c>
      <c r="B23" s="34" t="str">
        <f>CONCATENATE(IF(Berechnung5!$H$46=Berechnung4!$L$33,Berechnung5!$B$2,""),IF(Berechnung5!$H$47=Berechnung4!$L$33,Berechnung5!$B$3,""),IF(Berechnung5!$H$48=Berechnung4!$L$33,Berechnung5!$B$4,""),IF(Berechnung5!$H$49=Berechnung4!$L$33,Berechnung5!$B$5,""),IF(Berechnung5!$H$50=Berechnung4!$L$33,Berechnung5!$B$6,""),IF(Berechnung5!$H$51=Berechnung4!$L$33,Berechnung5!$B$7,""))</f>
        <v/>
      </c>
      <c r="C23" s="34">
        <f>IF(LEN(B23)&gt;0,"X",0)</f>
        <v>0</v>
      </c>
      <c r="D23" s="34" t="str">
        <f>IF(COUNTIF(Berechnung5!$H$46:$H$51,Berechnung4!$L$33)&gt;0,CONCATENATE(Berechnung4!$C$5,"                                     ",Berechnung4!$L$33),"")</f>
        <v/>
      </c>
      <c r="E23" s="34" t="str">
        <f>IF(COUNTIF(Berechnung5!$H$46:$H$50,Berechnung4!$L$33)&gt;0,"i","")</f>
        <v/>
      </c>
      <c r="G23" s="127" t="e">
        <f t="array" ref="G23">INDEX(B:B,SMALL(IF($C$15:$C$25="X",ROW($15:$25)),9))</f>
        <v>#NUM!</v>
      </c>
      <c r="H23" s="230" t="e">
        <f t="array" ref="H23">INDEX(D:D,SMALL(IF($C$15:$C$25="X",ROW($15:$25)),9))</f>
        <v>#NUM!</v>
      </c>
      <c r="I23" s="94" t="e">
        <f t="array" ref="I23">INDEX(E:E,SMALL(IF($C$15:$C$25="X",ROW($15:$25)),9))</f>
        <v>#NUM!</v>
      </c>
      <c r="J23" s="34" t="e">
        <f>IF(AND('Datendefizite_Matrix-Rektum'!C27="",I23&lt;&gt;""),"Anmerkung OnkoZert : Keine Erläuterung vorhanden",'Datendefizite_Matrix-Rektum'!C27)</f>
        <v>#NUM!</v>
      </c>
    </row>
    <row r="24" spans="1:34" ht="38.1" customHeight="1" x14ac:dyDescent="0.25">
      <c r="A24" s="158" t="s">
        <v>355</v>
      </c>
      <c r="B24" s="34" t="str">
        <f>CONCATENATE(IF(Berechnung5!$H$53=Berechnung4!$L$47,Berechnung5!$B$2,""),IF(Berechnung5!$H$54=Berechnung4!$L$47,Berechnung5!$B$3,""),IF(Berechnung5!$H$55=Berechnung4!$L$47,Berechnung5!$B$4,""),IF(Berechnung5!$H$56=Berechnung4!$L$47,Berechnung5!$B$5,""),IF(Berechnung5!$H$57=Berechnung4!$L$47,Berechnung5!$B$6,""),IF(Berechnung5!$H$58=Berechnung4!$L$47,Berechnung5!$B$7,""))</f>
        <v/>
      </c>
      <c r="C24" s="34">
        <f>IF(LEN(B24)&gt;0,"X",0)</f>
        <v>0</v>
      </c>
      <c r="D24" s="34" t="str">
        <f>IF(COUNTIF(Berechnung5!$H$53:$H$58,Berechnung4!$L$47)&gt;0,CONCATENATE(Berechnung4!$C$5,"                  ",Berechnung4!$L$47),"")</f>
        <v/>
      </c>
      <c r="E24" s="34" t="str">
        <f>IF(COUNTIF(Berechnung5!$H$53:$H$57,Berechnung4!$L$47)&gt;0,"j","")</f>
        <v/>
      </c>
      <c r="G24" s="127" t="e">
        <f t="array" ref="G24">INDEX(B:B,SMALL(IF($C$15:$C$25="X",ROW($15:$25)),10))</f>
        <v>#NUM!</v>
      </c>
      <c r="H24" s="230" t="e">
        <f t="array" ref="H24">INDEX(D:D,SMALL(IF($C$15:$C$25="X",ROW($15:$25)),10))</f>
        <v>#NUM!</v>
      </c>
      <c r="I24" s="94" t="e">
        <f t="array" ref="I24">INDEX(E:E,SMALL(IF($C$15:$C$25="X",ROW($15:$25)),10))</f>
        <v>#NUM!</v>
      </c>
      <c r="J24" s="34" t="e">
        <f>IF(AND('Datendefizite_Matrix-Rektum'!C28="",I24&lt;&gt;""),"Anmerkung OnkoZert : Keine Erläuterung vorhanden",'Datendefizite_Matrix-Rektum'!C28)</f>
        <v>#NUM!</v>
      </c>
    </row>
    <row r="25" spans="1:34" ht="38.1" customHeight="1" x14ac:dyDescent="0.25">
      <c r="A25" s="158" t="s">
        <v>335</v>
      </c>
      <c r="B25" s="34" t="str">
        <f>CONCATENATE(IF(Berechnung5!H60=Berechnung4!$L$56,Berechnung5!$B$2,""),IF(Berechnung5!$H$61=Berechnung4!$L$56,Berechnung5!$B$3,""),IF(Berechnung5!$H$62=Berechnung4!$L$56,Berechnung5!$B$4,""),IF(Berechnung5!$H$63=Berechnung4!$L$56,Berechnung5!$B$5,""),IF(Berechnung5!$H$64=Berechnung4!$L$56,Berechnung5!$B$6,""),IF(Berechnung5!$H$65=Berechnung4!$L$56,Berechnung5!$B$7,""))</f>
        <v/>
      </c>
      <c r="C25" s="34">
        <f>IF(LEN(B25)&gt;0,"X",0)</f>
        <v>0</v>
      </c>
      <c r="D25" s="34" t="str">
        <f>IF(COUNTIF(Berechnung5!$H$60:$H$65,Berechnung4!$L$56)&gt;0,CONCATENATE(Berechnung4!$C$5,"                 ",Berechnung4!$L$56),"")</f>
        <v/>
      </c>
      <c r="E25" s="34" t="str">
        <f>IF(COUNTIF(Berechnung5!$H$60:$H$64,Berechnung4!$L$56)&gt;0,"k","")</f>
        <v/>
      </c>
      <c r="G25" s="127" t="e">
        <f t="array" ref="G25">INDEX(B:B,SMALL(IF($C$15:$C$25="X",ROW($15:$25)),11))</f>
        <v>#NUM!</v>
      </c>
      <c r="H25" s="230" t="e">
        <f t="array" ref="H25">INDEX(D:D,SMALL(IF($C$15:$C$25="X",ROW($15:$25)),11))</f>
        <v>#NUM!</v>
      </c>
      <c r="I25" s="94" t="e">
        <f t="array" ref="I25">INDEX(E:E,SMALL(IF($C$15:$C$25="X",ROW($15:$25)),11))</f>
        <v>#NUM!</v>
      </c>
      <c r="J25" s="34" t="e">
        <f>IF(AND('Datendefizite_Matrix-Rektum'!C29="",I25&lt;&gt;""),"Anmerkung OnkoZert : Keine Erläuterung vorhanden",'Datendefizite_Matrix-Rektum'!C29)</f>
        <v>#NUM!</v>
      </c>
    </row>
    <row r="26" spans="1:34" x14ac:dyDescent="0.25">
      <c r="A26" s="164"/>
      <c r="F26" s="126"/>
      <c r="G26" s="126"/>
      <c r="H26" s="193"/>
      <c r="I26" s="35"/>
    </row>
    <row r="27" spans="1:34" x14ac:dyDescent="0.25">
      <c r="G27" s="35"/>
      <c r="H27" s="193"/>
    </row>
    <row r="29" spans="1:34" s="136" customFormat="1" x14ac:dyDescent="0.25">
      <c r="B29" s="90" t="s">
        <v>362</v>
      </c>
      <c r="H29" s="194"/>
      <c r="J29" s="194"/>
    </row>
    <row r="30" spans="1:34" x14ac:dyDescent="0.25">
      <c r="A30" s="136"/>
      <c r="B30" s="143" t="s">
        <v>374</v>
      </c>
      <c r="C30" s="142"/>
      <c r="D30" s="142"/>
      <c r="E30" s="103"/>
      <c r="F30" s="128" t="s">
        <v>372</v>
      </c>
      <c r="G30" s="122"/>
      <c r="H30" s="91"/>
      <c r="I30" s="122"/>
      <c r="J30" s="195"/>
      <c r="K30" s="141"/>
      <c r="L30" s="143" t="s">
        <v>273</v>
      </c>
      <c r="M30" s="142"/>
      <c r="N30" s="143" t="s">
        <v>274</v>
      </c>
      <c r="O30" s="141"/>
      <c r="P30" s="136"/>
    </row>
    <row r="31" spans="1:34" x14ac:dyDescent="0.25">
      <c r="A31" s="136"/>
      <c r="B31" s="143"/>
      <c r="C31" s="142"/>
      <c r="D31" s="142"/>
      <c r="E31" s="103"/>
      <c r="F31" s="128"/>
      <c r="G31" s="122"/>
      <c r="H31" s="91"/>
      <c r="I31" s="122"/>
      <c r="J31" s="195"/>
      <c r="K31" s="141"/>
      <c r="M31" s="142"/>
      <c r="N31" s="140" t="s">
        <v>95</v>
      </c>
      <c r="O31" s="141"/>
      <c r="P31" s="136"/>
    </row>
    <row r="32" spans="1:34" x14ac:dyDescent="0.25">
      <c r="B32" s="139" t="s">
        <v>96</v>
      </c>
      <c r="C32" s="138"/>
      <c r="D32" s="232" t="s">
        <v>377</v>
      </c>
      <c r="E32" s="111"/>
      <c r="F32" s="129"/>
      <c r="G32" s="215"/>
      <c r="H32" s="199"/>
      <c r="I32" s="215"/>
      <c r="J32" s="196"/>
      <c r="K32" s="111"/>
      <c r="L32" s="97" t="s">
        <v>96</v>
      </c>
      <c r="M32" s="97"/>
      <c r="N32" s="140"/>
      <c r="O32" s="135"/>
      <c r="P32" s="136"/>
    </row>
    <row r="33" spans="1:16" x14ac:dyDescent="0.25">
      <c r="B33" s="309" t="s">
        <v>361</v>
      </c>
      <c r="C33" s="310"/>
      <c r="D33" s="272" t="s">
        <v>375</v>
      </c>
      <c r="E33" s="306" t="s">
        <v>98</v>
      </c>
      <c r="F33" s="109">
        <v>-1</v>
      </c>
      <c r="G33" s="112">
        <v>-1</v>
      </c>
      <c r="H33" s="206">
        <v>-1</v>
      </c>
      <c r="I33" s="307">
        <v>-1</v>
      </c>
      <c r="J33" s="197">
        <v>-1</v>
      </c>
      <c r="K33" s="306"/>
      <c r="L33" s="97" t="s">
        <v>391</v>
      </c>
      <c r="M33" s="97"/>
      <c r="N33" s="140"/>
      <c r="O33" s="135"/>
      <c r="P33" s="136"/>
    </row>
    <row r="34" spans="1:16" x14ac:dyDescent="0.25">
      <c r="B34" s="139" t="s">
        <v>365</v>
      </c>
      <c r="C34" s="138"/>
      <c r="D34" s="232" t="s">
        <v>356</v>
      </c>
      <c r="E34" s="111" t="s">
        <v>359</v>
      </c>
      <c r="F34" s="129">
        <v>0</v>
      </c>
      <c r="G34" s="113">
        <v>0</v>
      </c>
      <c r="H34" s="207"/>
      <c r="I34" s="215"/>
      <c r="J34" s="196">
        <v>1</v>
      </c>
      <c r="K34" s="111"/>
      <c r="L34" s="97"/>
      <c r="M34" s="97"/>
      <c r="N34" s="140"/>
      <c r="O34" s="135"/>
      <c r="P34" s="136"/>
    </row>
    <row r="35" spans="1:16" x14ac:dyDescent="0.25">
      <c r="B35" s="139" t="s">
        <v>366</v>
      </c>
      <c r="C35" s="138"/>
      <c r="D35" s="232" t="s">
        <v>375</v>
      </c>
      <c r="E35" s="111" t="s">
        <v>360</v>
      </c>
      <c r="F35" s="215"/>
      <c r="G35" s="215">
        <v>16</v>
      </c>
      <c r="H35" s="199"/>
      <c r="I35" s="215"/>
      <c r="J35" s="196"/>
      <c r="K35" s="111"/>
      <c r="L35" s="97" t="s">
        <v>392</v>
      </c>
      <c r="M35" s="97"/>
      <c r="N35" s="140"/>
      <c r="O35" s="135"/>
      <c r="P35" s="136"/>
    </row>
    <row r="36" spans="1:16" x14ac:dyDescent="0.25">
      <c r="B36" s="139" t="s">
        <v>367</v>
      </c>
      <c r="C36" s="138"/>
      <c r="D36" s="232" t="s">
        <v>356</v>
      </c>
      <c r="E36" s="111"/>
      <c r="F36" s="215"/>
      <c r="G36" s="215"/>
      <c r="H36" s="199"/>
      <c r="I36" s="215"/>
      <c r="J36" s="196"/>
      <c r="K36" s="111"/>
      <c r="L36" s="97" t="s">
        <v>432</v>
      </c>
      <c r="M36" s="97"/>
      <c r="N36" s="140" t="s">
        <v>94</v>
      </c>
      <c r="O36" s="135"/>
      <c r="P36" s="136"/>
    </row>
    <row r="37" spans="1:16" x14ac:dyDescent="0.25">
      <c r="B37" s="139" t="s">
        <v>106</v>
      </c>
      <c r="C37" s="138"/>
      <c r="D37" s="232" t="s">
        <v>375</v>
      </c>
      <c r="E37" s="111" t="s">
        <v>360</v>
      </c>
      <c r="F37" s="129">
        <v>0</v>
      </c>
      <c r="G37" s="113">
        <v>0</v>
      </c>
      <c r="H37" s="207"/>
      <c r="I37" s="305">
        <v>0.69999</v>
      </c>
      <c r="J37" s="196">
        <v>0.69999</v>
      </c>
      <c r="K37" s="111"/>
      <c r="L37" s="97" t="s">
        <v>92</v>
      </c>
      <c r="M37" s="97"/>
      <c r="N37" s="140"/>
      <c r="O37" s="135"/>
      <c r="P37" s="136"/>
    </row>
    <row r="38" spans="1:16" x14ac:dyDescent="0.25">
      <c r="B38" s="140" t="s">
        <v>1431</v>
      </c>
      <c r="C38" s="138"/>
      <c r="D38" s="232" t="s">
        <v>376</v>
      </c>
      <c r="E38" s="111" t="s">
        <v>360</v>
      </c>
      <c r="F38" s="129">
        <v>0</v>
      </c>
      <c r="G38" s="113">
        <v>0</v>
      </c>
      <c r="H38" s="207"/>
      <c r="I38" s="305">
        <v>0.79998999999999998</v>
      </c>
      <c r="J38" s="198">
        <v>0.79998999999999998</v>
      </c>
      <c r="K38" s="111"/>
      <c r="L38" s="97" t="s">
        <v>107</v>
      </c>
      <c r="M38" s="97"/>
      <c r="N38" s="140"/>
      <c r="O38" s="135"/>
      <c r="P38" s="136"/>
    </row>
    <row r="39" spans="1:16" x14ac:dyDescent="0.25">
      <c r="B39" s="140" t="s">
        <v>1432</v>
      </c>
      <c r="C39" s="138"/>
      <c r="D39" s="232" t="s">
        <v>375</v>
      </c>
      <c r="E39" s="111" t="s">
        <v>359</v>
      </c>
      <c r="F39" s="215"/>
      <c r="G39" s="113">
        <v>0</v>
      </c>
      <c r="H39" s="364">
        <v>0.99000999999999995</v>
      </c>
      <c r="I39" s="159">
        <v>1</v>
      </c>
      <c r="J39" s="196">
        <v>0.99000999999999995</v>
      </c>
      <c r="K39" s="111"/>
      <c r="L39" s="97" t="s">
        <v>108</v>
      </c>
      <c r="M39" s="97"/>
      <c r="N39" s="140"/>
      <c r="O39" s="135"/>
      <c r="P39" s="136"/>
    </row>
    <row r="40" spans="1:16" x14ac:dyDescent="0.25">
      <c r="B40" s="139" t="s">
        <v>368</v>
      </c>
      <c r="C40" s="138"/>
      <c r="D40" s="232" t="s">
        <v>356</v>
      </c>
      <c r="E40" s="111"/>
      <c r="F40" s="215"/>
      <c r="G40" s="215"/>
      <c r="H40" s="199"/>
      <c r="I40" s="215"/>
      <c r="J40" s="196"/>
      <c r="K40" s="111"/>
      <c r="L40" s="97" t="s">
        <v>433</v>
      </c>
      <c r="M40" s="97"/>
      <c r="N40" s="140" t="s">
        <v>93</v>
      </c>
      <c r="O40" s="135"/>
      <c r="P40" s="136"/>
    </row>
    <row r="41" spans="1:16" x14ac:dyDescent="0.25">
      <c r="B41" s="139"/>
      <c r="C41" s="138"/>
      <c r="D41" s="232"/>
      <c r="E41" s="111"/>
      <c r="F41" s="215"/>
      <c r="G41" s="215"/>
      <c r="H41" s="199"/>
      <c r="I41" s="215"/>
      <c r="J41" s="196"/>
      <c r="K41" s="111"/>
      <c r="L41" s="97"/>
      <c r="M41" s="97"/>
      <c r="N41" s="140"/>
      <c r="O41" s="135"/>
      <c r="P41" s="136"/>
    </row>
    <row r="42" spans="1:16" x14ac:dyDescent="0.25">
      <c r="B42" s="139" t="s">
        <v>369</v>
      </c>
      <c r="C42" s="138"/>
      <c r="D42" s="232" t="s">
        <v>356</v>
      </c>
      <c r="E42" s="111" t="s">
        <v>360</v>
      </c>
      <c r="F42" s="215"/>
      <c r="G42" s="293">
        <v>0</v>
      </c>
      <c r="H42" s="199"/>
      <c r="I42" s="215"/>
      <c r="J42" s="196"/>
      <c r="K42" s="111"/>
      <c r="L42" s="97" t="s">
        <v>97</v>
      </c>
      <c r="M42" s="97"/>
      <c r="N42" s="140" t="s">
        <v>114</v>
      </c>
      <c r="O42" s="135"/>
      <c r="P42" s="136"/>
    </row>
    <row r="43" spans="1:16" x14ac:dyDescent="0.25">
      <c r="A43" s="136"/>
      <c r="B43" s="137"/>
      <c r="C43" s="136"/>
      <c r="D43" s="136"/>
      <c r="E43" s="114"/>
      <c r="F43" s="114"/>
      <c r="G43" s="114"/>
      <c r="H43" s="205"/>
      <c r="I43" s="114"/>
      <c r="J43" s="205"/>
      <c r="K43" s="136"/>
      <c r="N43" s="140"/>
      <c r="O43" s="135"/>
      <c r="P43" s="136"/>
    </row>
    <row r="44" spans="1:16" x14ac:dyDescent="0.25">
      <c r="A44" s="136"/>
      <c r="B44" s="139"/>
      <c r="C44" s="138"/>
      <c r="D44" s="135"/>
      <c r="E44" s="215"/>
      <c r="F44" s="215"/>
      <c r="G44" s="215"/>
      <c r="H44" s="199"/>
      <c r="I44" s="215"/>
      <c r="J44" s="199"/>
      <c r="K44" s="135"/>
      <c r="L44" s="97"/>
      <c r="M44" s="97"/>
      <c r="N44" s="140" t="s">
        <v>115</v>
      </c>
      <c r="O44" s="141"/>
      <c r="P44" s="136"/>
    </row>
    <row r="45" spans="1:16" x14ac:dyDescent="0.25">
      <c r="A45" s="136"/>
      <c r="B45" s="139"/>
      <c r="C45" s="113"/>
      <c r="D45" s="130"/>
      <c r="E45" s="130"/>
      <c r="F45" s="305"/>
      <c r="G45" s="159"/>
      <c r="H45" s="204"/>
      <c r="I45" s="305"/>
      <c r="J45" s="200"/>
      <c r="K45" s="135"/>
      <c r="L45" s="97"/>
      <c r="M45" s="97"/>
      <c r="N45" s="140"/>
      <c r="O45" s="135"/>
      <c r="P45" s="136"/>
    </row>
    <row r="46" spans="1:16" x14ac:dyDescent="0.25">
      <c r="A46" s="136"/>
      <c r="B46" s="139" t="s">
        <v>355</v>
      </c>
      <c r="C46" s="113"/>
      <c r="D46" s="130"/>
      <c r="E46" s="130" t="s">
        <v>373</v>
      </c>
      <c r="F46" s="305"/>
      <c r="G46" s="159" t="s">
        <v>370</v>
      </c>
      <c r="H46" s="204"/>
      <c r="I46" s="305"/>
      <c r="J46" s="200" t="s">
        <v>371</v>
      </c>
      <c r="K46" s="135"/>
      <c r="L46" s="97"/>
      <c r="M46" s="97"/>
      <c r="N46" s="140"/>
      <c r="O46" s="135"/>
      <c r="P46" s="136"/>
    </row>
    <row r="47" spans="1:16" x14ac:dyDescent="0.25">
      <c r="A47" s="136"/>
      <c r="B47" s="147" t="s">
        <v>1825</v>
      </c>
      <c r="C47" s="113"/>
      <c r="D47" s="130"/>
      <c r="E47" s="130">
        <v>0</v>
      </c>
      <c r="F47" s="305">
        <v>0.44999</v>
      </c>
      <c r="G47" s="305">
        <v>0.44999</v>
      </c>
      <c r="H47" s="204"/>
      <c r="I47" s="305">
        <v>0.75000999999999995</v>
      </c>
      <c r="J47" s="305">
        <v>0.75000999999999995</v>
      </c>
      <c r="K47" s="135"/>
      <c r="L47" s="97" t="s">
        <v>396</v>
      </c>
      <c r="M47" s="97" t="s">
        <v>396</v>
      </c>
      <c r="N47" s="140"/>
      <c r="O47" s="135"/>
      <c r="P47" s="136"/>
    </row>
    <row r="48" spans="1:16" x14ac:dyDescent="0.25">
      <c r="A48" s="136"/>
      <c r="B48" s="147" t="s">
        <v>1247</v>
      </c>
      <c r="C48" s="113"/>
      <c r="D48" s="130"/>
      <c r="E48" s="130">
        <v>0</v>
      </c>
      <c r="F48" s="305">
        <v>0.44999</v>
      </c>
      <c r="G48" s="305">
        <v>0.44999</v>
      </c>
      <c r="H48" s="204"/>
      <c r="I48" s="305">
        <v>0.75000999999999995</v>
      </c>
      <c r="J48" s="305">
        <v>0.75000999999999995</v>
      </c>
      <c r="K48" s="135"/>
      <c r="L48" s="97" t="s">
        <v>396</v>
      </c>
      <c r="M48" s="97" t="s">
        <v>396</v>
      </c>
      <c r="N48" s="140"/>
      <c r="O48" s="135"/>
      <c r="P48" s="136"/>
    </row>
    <row r="49" spans="1:16" x14ac:dyDescent="0.25">
      <c r="A49" s="136"/>
      <c r="B49" s="147" t="s">
        <v>1271</v>
      </c>
      <c r="C49" s="113"/>
      <c r="D49" s="130"/>
      <c r="E49" s="130">
        <v>0</v>
      </c>
      <c r="F49" s="305">
        <v>0.49998999999999999</v>
      </c>
      <c r="G49" s="305">
        <v>0.49998999999999999</v>
      </c>
      <c r="H49" s="204"/>
      <c r="I49" s="305">
        <v>0.80001</v>
      </c>
      <c r="J49" s="305">
        <v>0.80001</v>
      </c>
      <c r="K49" s="135"/>
      <c r="L49" s="97" t="s">
        <v>396</v>
      </c>
      <c r="M49" s="97" t="s">
        <v>396</v>
      </c>
      <c r="N49" s="140"/>
      <c r="O49" s="135"/>
      <c r="P49" s="136"/>
    </row>
    <row r="50" spans="1:16" x14ac:dyDescent="0.25">
      <c r="A50" s="136"/>
      <c r="B50" s="147" t="s">
        <v>1388</v>
      </c>
      <c r="C50" s="113"/>
      <c r="D50" s="130"/>
      <c r="E50" s="130">
        <v>0</v>
      </c>
      <c r="F50" s="305">
        <v>0.54998999999999998</v>
      </c>
      <c r="G50" s="305">
        <v>0.54998999999999998</v>
      </c>
      <c r="H50" s="204"/>
      <c r="I50" s="305">
        <v>0.85001000000000004</v>
      </c>
      <c r="J50" s="305">
        <v>0.85001000000000004</v>
      </c>
      <c r="K50" s="135"/>
      <c r="L50" s="97" t="s">
        <v>396</v>
      </c>
      <c r="M50" s="97" t="s">
        <v>396</v>
      </c>
      <c r="N50" s="140"/>
      <c r="O50" s="135"/>
      <c r="P50" s="136"/>
    </row>
    <row r="51" spans="1:16" x14ac:dyDescent="0.25">
      <c r="A51" s="136"/>
      <c r="B51" s="147" t="s">
        <v>1433</v>
      </c>
      <c r="C51" s="113"/>
      <c r="D51" s="130"/>
      <c r="E51" s="130">
        <v>0</v>
      </c>
      <c r="F51" s="305">
        <v>0.59999000000000002</v>
      </c>
      <c r="G51" s="305">
        <v>0.59999000000000002</v>
      </c>
      <c r="H51" s="204"/>
      <c r="I51" s="305">
        <v>0.85001000000000004</v>
      </c>
      <c r="J51" s="305">
        <v>0.85001000000000004</v>
      </c>
      <c r="K51" s="135"/>
      <c r="L51" s="97" t="s">
        <v>396</v>
      </c>
      <c r="M51" s="97" t="s">
        <v>396</v>
      </c>
      <c r="N51" s="140"/>
      <c r="O51" s="135"/>
      <c r="P51" s="136"/>
    </row>
    <row r="52" spans="1:16" x14ac:dyDescent="0.25">
      <c r="A52" s="136"/>
      <c r="B52" s="137"/>
      <c r="C52" s="136"/>
      <c r="D52" s="114"/>
      <c r="E52" s="114"/>
      <c r="F52" s="114"/>
      <c r="G52" s="367"/>
      <c r="H52" s="205"/>
      <c r="I52" s="114"/>
      <c r="J52" s="368"/>
      <c r="K52" s="136"/>
      <c r="N52" s="140"/>
      <c r="O52" s="135"/>
      <c r="P52" s="136"/>
    </row>
    <row r="53" spans="1:16" x14ac:dyDescent="0.25">
      <c r="A53" s="136"/>
      <c r="B53" s="139"/>
      <c r="C53" s="138"/>
      <c r="D53" s="215"/>
      <c r="E53" s="215"/>
      <c r="F53" s="215"/>
      <c r="G53" s="305"/>
      <c r="H53" s="199"/>
      <c r="I53" s="215"/>
      <c r="J53" s="196"/>
      <c r="K53" s="135"/>
      <c r="L53" s="97"/>
      <c r="M53" s="97"/>
      <c r="N53" s="140"/>
      <c r="O53" s="135"/>
      <c r="P53" s="136"/>
    </row>
    <row r="54" spans="1:16" x14ac:dyDescent="0.25">
      <c r="A54" s="136"/>
      <c r="B54" s="139"/>
      <c r="C54" s="113"/>
      <c r="D54" s="130"/>
      <c r="E54" s="130"/>
      <c r="F54" s="305"/>
      <c r="G54" s="305"/>
      <c r="H54" s="204"/>
      <c r="I54" s="305"/>
      <c r="J54" s="365"/>
      <c r="K54" s="135"/>
      <c r="L54" s="97"/>
      <c r="M54" s="97"/>
      <c r="N54" s="140"/>
      <c r="O54" s="135"/>
      <c r="P54" s="136"/>
    </row>
    <row r="55" spans="1:16" x14ac:dyDescent="0.25">
      <c r="A55" s="136"/>
      <c r="B55" s="139" t="s">
        <v>335</v>
      </c>
      <c r="C55" s="113"/>
      <c r="D55" s="130"/>
      <c r="E55" s="130"/>
      <c r="F55" s="305"/>
      <c r="G55" s="305" t="s">
        <v>370</v>
      </c>
      <c r="H55" s="204"/>
      <c r="I55" s="305"/>
      <c r="J55" s="365" t="s">
        <v>371</v>
      </c>
      <c r="K55" s="135"/>
      <c r="L55" s="97"/>
      <c r="M55" s="97"/>
      <c r="N55" s="140"/>
      <c r="O55" s="135"/>
      <c r="P55" s="136"/>
    </row>
    <row r="56" spans="1:16" x14ac:dyDescent="0.25">
      <c r="A56" s="136"/>
      <c r="B56" s="147" t="s">
        <v>1825</v>
      </c>
      <c r="C56" s="113"/>
      <c r="D56" s="130"/>
      <c r="E56" s="130">
        <v>0</v>
      </c>
      <c r="F56" s="305">
        <v>0.49998999999999999</v>
      </c>
      <c r="G56" s="305">
        <v>0.49998999999999999</v>
      </c>
      <c r="H56" s="204"/>
      <c r="I56" s="305">
        <v>0.80001</v>
      </c>
      <c r="J56" s="305">
        <v>0.80001</v>
      </c>
      <c r="K56" s="135"/>
      <c r="L56" s="97" t="s">
        <v>397</v>
      </c>
      <c r="M56" s="97" t="s">
        <v>397</v>
      </c>
      <c r="N56" s="140"/>
      <c r="O56" s="135"/>
      <c r="P56" s="136"/>
    </row>
    <row r="57" spans="1:16" x14ac:dyDescent="0.25">
      <c r="A57" s="136"/>
      <c r="B57" s="147" t="s">
        <v>1247</v>
      </c>
      <c r="C57" s="113"/>
      <c r="D57" s="130"/>
      <c r="E57" s="130">
        <v>0</v>
      </c>
      <c r="F57" s="305">
        <v>0.49998999999999999</v>
      </c>
      <c r="G57" s="305">
        <v>0.49998999999999999</v>
      </c>
      <c r="H57" s="204"/>
      <c r="I57" s="305">
        <v>0.80001</v>
      </c>
      <c r="J57" s="305">
        <v>0.80001</v>
      </c>
      <c r="K57" s="135"/>
      <c r="L57" s="97" t="s">
        <v>397</v>
      </c>
      <c r="M57" s="97" t="s">
        <v>397</v>
      </c>
      <c r="N57" s="140"/>
      <c r="O57" s="135"/>
      <c r="P57" s="136"/>
    </row>
    <row r="58" spans="1:16" x14ac:dyDescent="0.25">
      <c r="A58" s="136"/>
      <c r="B58" s="147" t="s">
        <v>1271</v>
      </c>
      <c r="C58" s="113"/>
      <c r="D58" s="130"/>
      <c r="E58" s="130">
        <v>0</v>
      </c>
      <c r="F58" s="305">
        <v>0.54998999999999998</v>
      </c>
      <c r="G58" s="305">
        <v>0.54998999999999998</v>
      </c>
      <c r="H58" s="204"/>
      <c r="I58" s="305">
        <v>0.90000999999999998</v>
      </c>
      <c r="J58" s="305">
        <v>0.90000999999999998</v>
      </c>
      <c r="K58" s="135"/>
      <c r="L58" s="97" t="s">
        <v>397</v>
      </c>
      <c r="M58" s="97" t="s">
        <v>397</v>
      </c>
      <c r="N58" s="140"/>
      <c r="O58" s="135"/>
      <c r="P58" s="136"/>
    </row>
    <row r="59" spans="1:16" x14ac:dyDescent="0.25">
      <c r="A59" s="136"/>
      <c r="B59" s="147" t="s">
        <v>1388</v>
      </c>
      <c r="C59" s="113"/>
      <c r="D59" s="130"/>
      <c r="E59" s="130">
        <v>0</v>
      </c>
      <c r="F59" s="305">
        <v>0.59999000000000002</v>
      </c>
      <c r="G59" s="305">
        <v>0.59999000000000002</v>
      </c>
      <c r="H59" s="204"/>
      <c r="I59" s="305">
        <v>0.90000999999999998</v>
      </c>
      <c r="J59" s="305">
        <v>0.90000999999999998</v>
      </c>
      <c r="K59" s="135"/>
      <c r="L59" s="97" t="s">
        <v>397</v>
      </c>
      <c r="M59" s="97" t="s">
        <v>397</v>
      </c>
      <c r="N59" s="140"/>
      <c r="O59" s="135"/>
      <c r="P59" s="136"/>
    </row>
    <row r="60" spans="1:16" x14ac:dyDescent="0.25">
      <c r="A60" s="136"/>
      <c r="B60" s="147" t="s">
        <v>1433</v>
      </c>
      <c r="C60" s="113"/>
      <c r="D60" s="130"/>
      <c r="E60" s="130">
        <v>0</v>
      </c>
      <c r="F60" s="305">
        <v>0.64998999999999996</v>
      </c>
      <c r="G60" s="305">
        <v>0.64998999999999996</v>
      </c>
      <c r="H60" s="204"/>
      <c r="I60" s="305">
        <v>0.95001000000000002</v>
      </c>
      <c r="J60" s="305">
        <v>0.95001000000000002</v>
      </c>
      <c r="K60" s="135"/>
      <c r="L60" s="97" t="s">
        <v>397</v>
      </c>
      <c r="M60" s="97" t="s">
        <v>397</v>
      </c>
      <c r="N60" s="140"/>
      <c r="O60" s="135"/>
      <c r="P60" s="136"/>
    </row>
    <row r="61" spans="1:16" x14ac:dyDescent="0.25">
      <c r="F61" s="169"/>
      <c r="G61" s="164"/>
      <c r="I61" s="35"/>
    </row>
  </sheetData>
  <mergeCells count="4">
    <mergeCell ref="B13:B14"/>
    <mergeCell ref="C13:C14"/>
    <mergeCell ref="D13:D14"/>
    <mergeCell ref="E13:E14"/>
  </mergeCells>
  <phoneticPr fontId="81" type="noConversion"/>
  <pageMargins left="0.31496062992125984" right="0.11811023622047245" top="0.39370078740157483" bottom="0.39370078740157483" header="0.31496062992125984" footer="0.31496062992125984"/>
  <pageSetup paperSize="9"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Tabelle12"/>
  <dimension ref="A1:R71"/>
  <sheetViews>
    <sheetView zoomScaleNormal="100" workbookViewId="0">
      <selection activeCell="E66" sqref="E66"/>
    </sheetView>
  </sheetViews>
  <sheetFormatPr defaultColWidth="9.140625" defaultRowHeight="15" x14ac:dyDescent="0.25"/>
  <cols>
    <col min="1" max="3" width="9.140625" style="181" customWidth="1"/>
    <col min="4" max="4" width="28.5703125" style="181" customWidth="1"/>
    <col min="5" max="5" width="10.140625" style="181" customWidth="1"/>
    <col min="6" max="6" width="8.85546875" style="181" customWidth="1"/>
    <col min="7" max="7" width="9" style="181" customWidth="1"/>
    <col min="8" max="8" width="24" style="181" customWidth="1"/>
    <col min="9" max="9" width="20.28515625" style="181" customWidth="1"/>
    <col min="10" max="10" width="8" style="76" customWidth="1"/>
    <col min="11" max="11" width="20.28515625" style="181" customWidth="1"/>
    <col min="12" max="12" width="15.85546875" style="181" customWidth="1"/>
    <col min="13" max="13" width="12.85546875" style="181" customWidth="1"/>
    <col min="14" max="14" width="19" style="181" customWidth="1"/>
    <col min="15" max="15" width="54.5703125" style="181" customWidth="1"/>
    <col min="16" max="16" width="55.28515625" style="181" customWidth="1"/>
    <col min="17" max="16384" width="9.140625" style="181"/>
  </cols>
  <sheetData>
    <row r="1" spans="1:18" s="35" customFormat="1" ht="23.25" thickBot="1" x14ac:dyDescent="0.3">
      <c r="A1" s="136"/>
      <c r="B1" s="136"/>
      <c r="C1" s="186"/>
      <c r="D1" s="231"/>
      <c r="E1" s="136"/>
      <c r="F1" s="136"/>
      <c r="G1" s="136"/>
      <c r="J1" s="158"/>
      <c r="L1" s="220" t="s">
        <v>379</v>
      </c>
      <c r="M1" s="220" t="s">
        <v>236</v>
      </c>
      <c r="N1" s="220" t="s">
        <v>238</v>
      </c>
      <c r="O1" s="220" t="s">
        <v>336</v>
      </c>
      <c r="P1" s="220" t="s">
        <v>117</v>
      </c>
    </row>
    <row r="2" spans="1:18" s="35" customFormat="1" ht="11.25" x14ac:dyDescent="0.25">
      <c r="A2" s="171" t="str">
        <f>IF(Datenquelle!$F$3&gt;6,IF(Datenquelle!$F$3=7,"EZ",IF(Datenquelle!$F$3&gt;7,"relevant","?")),"nicht relevant")</f>
        <v>nicht relevant</v>
      </c>
      <c r="B2" s="147" t="s">
        <v>1189</v>
      </c>
      <c r="C2" s="146"/>
      <c r="D2" s="145" t="s">
        <v>354</v>
      </c>
      <c r="E2" s="155" t="str">
        <f>IF(H2="","","2019")</f>
        <v/>
      </c>
      <c r="F2" s="155" t="str">
        <f t="shared" ref="F2:F7" si="0">IF(H2="","","a")</f>
        <v/>
      </c>
      <c r="G2" s="155" t="str">
        <f>IF(H2="","","1")</f>
        <v/>
      </c>
      <c r="H2" s="184" t="str">
        <f>IF(A2="relevant",IF(COUNTIF('Matrix-Rektum'!C23:W23,"")&gt;2,Berechnung4!$L$32,""),"")</f>
        <v/>
      </c>
      <c r="I2" s="235" t="str">
        <f>IF(H2="","",VLOOKUP(F2,Berechnung4!$I$15:$J$25,2,FALSE))</f>
        <v/>
      </c>
      <c r="J2" s="234" t="str">
        <f>IF(H2&lt;&gt;"",1,"")</f>
        <v/>
      </c>
      <c r="L2" s="94" t="str">
        <f t="array" aca="1" ref="L2" ca="1">IF(ROW()-ROW($F$2:$F$65)+1&gt;ROWS($E$2:$E$65)-COUNTBLANK($E$2:$E$65),"",INDIRECT(ADDRESS(SMALL((IF($E$2:$E$65&gt;"",ROW($E$2:$E$65),ROW()+ROWS($E$2:$E$65))),ROW()-ROW($F$2:$F$65)+1),COLUMN($E$2:$E$65),4)))</f>
        <v/>
      </c>
      <c r="M2" s="94" t="str">
        <f t="array" aca="1" ref="M2" ca="1">IF(ROW()-ROW($G$2:$G$65)+1&gt;ROWS($F$2:$F$65)-COUNTBLANK($F$2:$F$65),"",INDIRECT(ADDRESS(SMALL((IF($F$2:$F$65&lt;&gt;"",ROW($F$2:$F$65),ROW()+ROWS($F$2:$F$65))),ROW()-ROW($G$2:$G$65)+1),COLUMN($F$2:$F$65),4)))</f>
        <v/>
      </c>
      <c r="N2" s="94" t="str">
        <f t="array" aca="1" ref="N2" ca="1">IF(ROW()-ROW($H$2:$H$65)+1&gt;ROWS($G$2:$G$65)-COUNTBLANK($G$2:$G$65),"",INDIRECT(ADDRESS(SMALL((IF($G$2:$G$65&lt;&gt;"",ROW($G$2:$G$65),ROW()+ROWS($G$2:$G$65))),ROW()-ROW($H$2:$H$65)+1),COLUMN($G$2:$G$65),4)))</f>
        <v/>
      </c>
      <c r="O2" s="183" t="str">
        <f t="array" aca="1" ref="O2" ca="1">IF(ROW()-ROW($I$2:$I$65)+1&gt;ROWS($H$2:$H$65)-COUNTBLANK($H$2:$H$65),"",INDIRECT(ADDRESS(SMALL((IF($H$2:$H$65&lt;&gt;"",ROW($H$2:$H$65),ROW()+ROWS($H$2:$H$65))),ROW()-ROW($I$2:$I$65)+1),COLUMN($H$2:$H$65),4)))</f>
        <v/>
      </c>
      <c r="P2" s="183" t="str">
        <f t="array" aca="1" ref="P2" ca="1">IF(ROW()-ROW($J$2:$J$65)+1&gt;ROWS($I$2:$I$65)-COUNTBLANK($I$2:$I$65),"",INDIRECT(ADDRESS(SMALL((IF($I$2:$I$65&lt;&gt;"",ROW($I$2:$I$65),ROW()+ROWS($I$2:$I$65))),ROW()-ROW($J$2:$J$65)+1),COLUMN($I$2:$I$65),4)))</f>
        <v/>
      </c>
    </row>
    <row r="3" spans="1:18" s="35" customFormat="1" ht="11.25" x14ac:dyDescent="0.25">
      <c r="A3" s="171" t="str">
        <f>IF(Datenquelle!$F$3&gt;5,IF(Datenquelle!$F$3=6,"EZ",IF(Datenquelle!$F$3&gt;6,"relevant","?")),"nicht relevant")</f>
        <v>nicht relevant</v>
      </c>
      <c r="B3" s="147" t="s">
        <v>1247</v>
      </c>
      <c r="C3" s="146"/>
      <c r="D3" s="963" t="s">
        <v>96</v>
      </c>
      <c r="E3" s="34" t="str">
        <f>IF(H3="","","2020")</f>
        <v/>
      </c>
      <c r="F3" s="34" t="str">
        <f t="shared" si="0"/>
        <v/>
      </c>
      <c r="G3" s="34" t="str">
        <f t="shared" ref="G3:G27" si="1">IF(H3="","","1")</f>
        <v/>
      </c>
      <c r="H3" s="172" t="str">
        <f>IF(A3="relevant",IF(COUNTIF('Matrix-Rektum'!C24:W24,"")&gt;2,Berechnung4!$L$32,""),"")</f>
        <v/>
      </c>
      <c r="I3" s="171" t="str">
        <f>IF(H3="","",VLOOKUP(F3,Berechnung4!$I$15:$J$25,2,FALSE))</f>
        <v/>
      </c>
      <c r="J3" s="233" t="str">
        <f t="shared" ref="J3:J64" si="2">IF(H3&lt;&gt;"",1,"")</f>
        <v/>
      </c>
      <c r="L3" s="94" t="str">
        <f t="array" aca="1" ref="L3" ca="1">IF(ROW()-ROW($F$2:$F$65)+1&gt;ROWS($E$2:$E$65)-COUNTBLANK($E$2:$E$65),"",INDIRECT(ADDRESS(SMALL((IF($E$2:$E$65&gt;"",ROW($E$2:$E$65),ROW()+ROWS($E$2:$E$65))),ROW()-ROW($F$2:$F$65)+1),COLUMN($E$2:$E$65),4)))</f>
        <v/>
      </c>
      <c r="M3" s="94" t="str">
        <f t="array" aca="1" ref="M3" ca="1">IF(ROW()-ROW($G$2:$G$65)+1&gt;ROWS($F$2:$F$65)-COUNTBLANK($F$2:$F$65),"",INDIRECT(ADDRESS(SMALL((IF($F$2:$F$65&lt;&gt;"",ROW($F$2:$F$65),ROW()+ROWS($F$2:$F$65))),ROW()-ROW($G$2:$G$65)+1),COLUMN($F$2:$F$65),4)))</f>
        <v/>
      </c>
      <c r="N3" s="94" t="str">
        <f t="array" aca="1" ref="N3" ca="1">IF(ROW()-ROW($H$2:$H$65)+1&gt;ROWS($G$2:$G$65)-COUNTBLANK($G$2:$G$65),"",INDIRECT(ADDRESS(SMALL((IF($G$2:$G$65&lt;&gt;"",ROW($G$2:$G$65),ROW()+ROWS($G$2:$G$65))),ROW()-ROW($H$2:$H$65)+1),COLUMN($G$2:$G$65),4)))</f>
        <v/>
      </c>
      <c r="O3" s="183" t="str">
        <f t="array" aca="1" ref="O3" ca="1">IF(ROW()-ROW($I$2:$I$65)+1&gt;ROWS($H$2:$H$65)-COUNTBLANK($H$2:$H$65),"",INDIRECT(ADDRESS(SMALL((IF($H$2:$H$65&lt;&gt;"",ROW($H$2:$H$65),ROW()+ROWS($H$2:$H$65))),ROW()-ROW($I$2:$I$65)+1),COLUMN($H$2:$H$65),4)))</f>
        <v/>
      </c>
      <c r="P3" s="183" t="str">
        <f t="array" aca="1" ref="P3" ca="1">IF(ROW()-ROW($J$2:$J$65)+1&gt;ROWS($I$2:$I$65)-COUNTBLANK($I$2:$I$65),"",INDIRECT(ADDRESS(SMALL((IF($I$2:$I$65&lt;&gt;"",ROW($I$2:$I$65),ROW()+ROWS($I$2:$I$65))),ROW()-ROW($J$2:$J$65)+1),COLUMN($I$2:$I$65),4)))</f>
        <v/>
      </c>
    </row>
    <row r="4" spans="1:18" s="35" customFormat="1" ht="11.25" x14ac:dyDescent="0.25">
      <c r="A4" s="171" t="str">
        <f>IF(Datenquelle!$F$3&gt;4,IF(Datenquelle!$F$3=5,"EZ",IF(Datenquelle!$F$3&gt;5,"relevant","?")),"nicht relevant")</f>
        <v>nicht relevant</v>
      </c>
      <c r="B4" s="147" t="s">
        <v>1271</v>
      </c>
      <c r="C4" s="146"/>
      <c r="D4" s="963"/>
      <c r="E4" s="34" t="str">
        <f>IF(H4="","","2021")</f>
        <v/>
      </c>
      <c r="F4" s="34" t="str">
        <f t="shared" si="0"/>
        <v/>
      </c>
      <c r="G4" s="34" t="str">
        <f t="shared" si="1"/>
        <v/>
      </c>
      <c r="H4" s="172" t="str">
        <f>IF(A4="relevant",IF(COUNTIF('Matrix-Rektum'!C25:W25,"")&gt;2,Berechnung4!$L$32,""),"")</f>
        <v/>
      </c>
      <c r="I4" s="171" t="str">
        <f>IF(H4="","",VLOOKUP(F4,Berechnung4!$I$15:$J$25,2,FALSE))</f>
        <v/>
      </c>
      <c r="J4" s="233" t="str">
        <f t="shared" si="2"/>
        <v/>
      </c>
      <c r="L4" s="94" t="str">
        <f t="array" aca="1" ref="L4" ca="1">IF(ROW()-ROW($F$2:$F$65)+1&gt;ROWS($E$2:$E$65)-COUNTBLANK($E$2:$E$65),"",INDIRECT(ADDRESS(SMALL((IF($E$2:$E$65&gt;"",ROW($E$2:$E$65),ROW()+ROWS($E$2:$E$65))),ROW()-ROW($F$2:$F$65)+1),COLUMN($E$2:$E$65),4)))</f>
        <v/>
      </c>
      <c r="M4" s="94" t="str">
        <f t="array" aca="1" ref="M4" ca="1">IF(ROW()-ROW($G$2:$G$65)+1&gt;ROWS($F$2:$F$65)-COUNTBLANK($F$2:$F$65),"",INDIRECT(ADDRESS(SMALL((IF($F$2:$F$65&lt;&gt;"",ROW($F$2:$F$65),ROW()+ROWS($F$2:$F$65))),ROW()-ROW($G$2:$G$65)+1),COLUMN($F$2:$F$65),4)))</f>
        <v/>
      </c>
      <c r="N4" s="94" t="str">
        <f t="array" aca="1" ref="N4" ca="1">IF(ROW()-ROW($H$2:$H$65)+1&gt;ROWS($G$2:$G$65)-COUNTBLANK($G$2:$G$65),"",INDIRECT(ADDRESS(SMALL((IF($G$2:$G$65&lt;&gt;"",ROW($G$2:$G$65),ROW()+ROWS($G$2:$G$65))),ROW()-ROW($H$2:$H$65)+1),COLUMN($G$2:$G$65),4)))</f>
        <v/>
      </c>
      <c r="O4" s="183" t="str">
        <f t="array" aca="1" ref="O4" ca="1">IF(ROW()-ROW($I$2:$I$65)+1&gt;ROWS($H$2:$H$65)-COUNTBLANK($H$2:$H$65),"",INDIRECT(ADDRESS(SMALL((IF($H$2:$H$65&lt;&gt;"",ROW($H$2:$H$65),ROW()+ROWS($H$2:$H$65))),ROW()-ROW($I$2:$I$65)+1),COLUMN($H$2:$H$65),4)))</f>
        <v/>
      </c>
      <c r="P4" s="183" t="str">
        <f t="array" aca="1" ref="P4" ca="1">IF(ROW()-ROW($J$2:$J$65)+1&gt;ROWS($I$2:$I$65)-COUNTBLANK($I$2:$I$65),"",INDIRECT(ADDRESS(SMALL((IF($I$2:$I$65&lt;&gt;"",ROW($I$2:$I$65),ROW()+ROWS($I$2:$I$65))),ROW()-ROW($J$2:$J$65)+1),COLUMN($I$2:$I$65),4)))</f>
        <v/>
      </c>
    </row>
    <row r="5" spans="1:18" s="35" customFormat="1" ht="11.25" x14ac:dyDescent="0.25">
      <c r="A5" s="171" t="str">
        <f>IF(Datenquelle!$F$3&gt;3,IF(Datenquelle!$F$3=4,"EZ",IF(Datenquelle!$F$3&gt;4,"relevant","?")),"nicht relevant")</f>
        <v>nicht relevant</v>
      </c>
      <c r="B5" s="147" t="s">
        <v>1388</v>
      </c>
      <c r="C5" s="146"/>
      <c r="D5" s="963"/>
      <c r="E5" s="34" t="str">
        <f>IF(H5="","","2022")</f>
        <v/>
      </c>
      <c r="F5" s="34" t="str">
        <f t="shared" si="0"/>
        <v/>
      </c>
      <c r="G5" s="34" t="str">
        <f t="shared" si="1"/>
        <v/>
      </c>
      <c r="H5" s="172" t="str">
        <f>IF(A5="relevant",IF(COUNTIF('Matrix-Rektum'!C26:W26,"")&gt;2,Berechnung4!$L$32,""),"")</f>
        <v/>
      </c>
      <c r="I5" s="171" t="str">
        <f>IF(H5="","",VLOOKUP(F5,Berechnung4!$I$15:$J$25,2,FALSE))</f>
        <v/>
      </c>
      <c r="J5" s="233" t="str">
        <f t="shared" si="2"/>
        <v/>
      </c>
      <c r="L5" s="94" t="str">
        <f t="array" aca="1" ref="L5" ca="1">IF(ROW()-ROW($F$2:$F$65)+1&gt;ROWS($E$2:$E$65)-COUNTBLANK($E$2:$E$65),"",INDIRECT(ADDRESS(SMALL((IF($E$2:$E$65&gt;"",ROW($E$2:$E$65),ROW()+ROWS($E$2:$E$65))),ROW()-ROW($F$2:$F$65)+1),COLUMN($E$2:$E$65),4)))</f>
        <v/>
      </c>
      <c r="M5" s="94" t="str">
        <f t="array" aca="1" ref="M5" ca="1">IF(ROW()-ROW($G$2:$G$65)+1&gt;ROWS($F$2:$F$65)-COUNTBLANK($F$2:$F$65),"",INDIRECT(ADDRESS(SMALL((IF($F$2:$F$65&lt;&gt;"",ROW($F$2:$F$65),ROW()+ROWS($F$2:$F$65))),ROW()-ROW($G$2:$G$65)+1),COLUMN($F$2:$F$65),4)))</f>
        <v/>
      </c>
      <c r="N5" s="94" t="str">
        <f t="array" aca="1" ref="N5" ca="1">IF(ROW()-ROW($H$2:$H$65)+1&gt;ROWS($G$2:$G$65)-COUNTBLANK($G$2:$G$65),"",INDIRECT(ADDRESS(SMALL((IF($G$2:$G$65&lt;&gt;"",ROW($G$2:$G$65),ROW()+ROWS($G$2:$G$65))),ROW()-ROW($H$2:$H$65)+1),COLUMN($G$2:$G$65),4)))</f>
        <v/>
      </c>
      <c r="O5" s="183" t="str">
        <f t="array" aca="1" ref="O5" ca="1">IF(ROW()-ROW($I$2:$I$65)+1&gt;ROWS($H$2:$H$65)-COUNTBLANK($H$2:$H$65),"",INDIRECT(ADDRESS(SMALL((IF($H$2:$H$65&lt;&gt;"",ROW($H$2:$H$65),ROW()+ROWS($H$2:$H$65))),ROW()-ROW($I$2:$I$65)+1),COLUMN($H$2:$H$65),4)))</f>
        <v/>
      </c>
      <c r="P5" s="183" t="str">
        <f t="array" aca="1" ref="P5" ca="1">IF(ROW()-ROW($J$2:$J$65)+1&gt;ROWS($I$2:$I$65)-COUNTBLANK($I$2:$I$65),"",INDIRECT(ADDRESS(SMALL((IF($I$2:$I$65&lt;&gt;"",ROW($I$2:$I$65),ROW()+ROWS($I$2:$I$65))),ROW()-ROW($J$2:$J$65)+1),COLUMN($I$2:$I$65),4)))</f>
        <v/>
      </c>
    </row>
    <row r="6" spans="1:18" s="35" customFormat="1" ht="11.25" x14ac:dyDescent="0.25">
      <c r="A6" s="171" t="str">
        <f>IF(Datenquelle!$F$3&gt;2,IF(Datenquelle!$F$3=3,"EZ",IF(Datenquelle!$F$3&gt;3,"relevant","?")),"nicht relevant")</f>
        <v>nicht relevant</v>
      </c>
      <c r="B6" s="147" t="s">
        <v>1433</v>
      </c>
      <c r="C6" s="146"/>
      <c r="D6" s="963"/>
      <c r="E6" s="34" t="str">
        <f>IF(H6="","","2023")</f>
        <v/>
      </c>
      <c r="F6" s="34" t="str">
        <f t="shared" si="0"/>
        <v/>
      </c>
      <c r="G6" s="34" t="str">
        <f t="shared" si="1"/>
        <v/>
      </c>
      <c r="H6" s="172" t="str">
        <f>IF(A6="relevant",IF(COUNTIF('Matrix-Rektum'!C27:W27,"")&gt;2,Berechnung4!$L$32,""),"")</f>
        <v/>
      </c>
      <c r="I6" s="171" t="str">
        <f>IF(H6="","",VLOOKUP(F6,Berechnung4!$I$15:$J$25,2,FALSE))</f>
        <v/>
      </c>
      <c r="J6" s="233" t="str">
        <f t="shared" si="2"/>
        <v/>
      </c>
      <c r="L6" s="94" t="str">
        <f t="array" aca="1" ref="L6" ca="1">IF(ROW()-ROW($F$2:$F$65)+1&gt;ROWS($E$2:$E$65)-COUNTBLANK($E$2:$E$65),"",INDIRECT(ADDRESS(SMALL((IF($E$2:$E$65&gt;"",ROW($E$2:$E$65),ROW()+ROWS($E$2:$E$65))),ROW()-ROW($F$2:$F$65)+1),COLUMN($E$2:$E$65),4)))</f>
        <v/>
      </c>
      <c r="M6" s="94" t="str">
        <f t="array" aca="1" ref="M6" ca="1">IF(ROW()-ROW($G$2:$G$65)+1&gt;ROWS($F$2:$F$65)-COUNTBLANK($F$2:$F$65),"",INDIRECT(ADDRESS(SMALL((IF($F$2:$F$65&lt;&gt;"",ROW($F$2:$F$65),ROW()+ROWS($F$2:$F$65))),ROW()-ROW($G$2:$G$65)+1),COLUMN($F$2:$F$65),4)))</f>
        <v/>
      </c>
      <c r="N6" s="94" t="str">
        <f t="array" aca="1" ref="N6" ca="1">IF(ROW()-ROW($H$2:$H$65)+1&gt;ROWS($G$2:$G$65)-COUNTBLANK($G$2:$G$65),"",INDIRECT(ADDRESS(SMALL((IF($G$2:$G$65&lt;&gt;"",ROW($G$2:$G$65),ROW()+ROWS($G$2:$G$65))),ROW()-ROW($H$2:$H$65)+1),COLUMN($G$2:$G$65),4)))</f>
        <v/>
      </c>
      <c r="O6" s="183" t="str">
        <f t="array" aca="1" ref="O6" ca="1">IF(ROW()-ROW($I$2:$I$65)+1&gt;ROWS($H$2:$H$65)-COUNTBLANK($H$2:$H$65),"",INDIRECT(ADDRESS(SMALL((IF($H$2:$H$65&lt;&gt;"",ROW($H$2:$H$65),ROW()+ROWS($H$2:$H$65))),ROW()-ROW($I$2:$I$65)+1),COLUMN($H$2:$H$65),4)))</f>
        <v/>
      </c>
      <c r="P6" s="183" t="str">
        <f t="array" aca="1" ref="P6" ca="1">IF(ROW()-ROW($J$2:$J$65)+1&gt;ROWS($I$2:$I$65)-COUNTBLANK($I$2:$I$65),"",INDIRECT(ADDRESS(SMALL((IF($I$2:$I$65&lt;&gt;"",ROW($I$2:$I$65),ROW()+ROWS($I$2:$I$65))),ROW()-ROW($J$2:$J$65)+1),COLUMN($I$2:$I$65),4)))</f>
        <v/>
      </c>
    </row>
    <row r="7" spans="1:18" s="35" customFormat="1" ht="11.25" x14ac:dyDescent="0.25">
      <c r="A7" s="171" t="str">
        <f>IF(Datenquelle!$F$3&gt;1,IF(Datenquelle!$F$3=2,"EZ",IF(Datenquelle!$F$3&gt;2,"relevant","?")),"nicht relevant")</f>
        <v>nicht relevant</v>
      </c>
      <c r="B7" s="147" t="s">
        <v>1492</v>
      </c>
      <c r="C7" s="146"/>
      <c r="D7" s="173" t="s">
        <v>225</v>
      </c>
      <c r="E7" s="240" t="str">
        <f>IF(H7="","","2024")</f>
        <v/>
      </c>
      <c r="F7" s="240" t="str">
        <f t="shared" si="0"/>
        <v/>
      </c>
      <c r="G7" s="240" t="str">
        <f t="shared" si="1"/>
        <v/>
      </c>
      <c r="H7" s="460" t="str">
        <f>IF(A7="relevant",IF(COUNTIF('Matrix-Rektum'!C28:G28,"")&gt;0,Berechnung4!$L$32,""),"")</f>
        <v/>
      </c>
      <c r="I7" s="241" t="str">
        <f>IF(H7="","",VLOOKUP(F7,Berechnung4!$I$15:$J$25,2,FALSE))</f>
        <v/>
      </c>
      <c r="J7" s="242" t="str">
        <f t="shared" si="2"/>
        <v/>
      </c>
      <c r="L7" s="94" t="str">
        <f t="array" aca="1" ref="L7" ca="1">IF(ROW()-ROW($F$2:$F$65)+1&gt;ROWS($E$2:$E$65)-COUNTBLANK($E$2:$E$65),"",INDIRECT(ADDRESS(SMALL((IF($E$2:$E$65&gt;"",ROW($E$2:$E$65),ROW()+ROWS($E$2:$E$65))),ROW()-ROW($F$2:$F$65)+1),COLUMN($E$2:$E$65),4)))</f>
        <v/>
      </c>
      <c r="M7" s="94" t="str">
        <f t="array" aca="1" ref="M7" ca="1">IF(ROW()-ROW($G$2:$G$65)+1&gt;ROWS($F$2:$F$65)-COUNTBLANK($F$2:$F$65),"",INDIRECT(ADDRESS(SMALL((IF($F$2:$F$65&lt;&gt;"",ROW($F$2:$F$65),ROW()+ROWS($F$2:$F$65))),ROW()-ROW($G$2:$G$65)+1),COLUMN($F$2:$F$65),4)))</f>
        <v/>
      </c>
      <c r="N7" s="94" t="str">
        <f t="array" aca="1" ref="N7" ca="1">IF(ROW()-ROW($H$2:$H$65)+1&gt;ROWS($G$2:$G$65)-COUNTBLANK($G$2:$G$65),"",INDIRECT(ADDRESS(SMALL((IF($G$2:$G$65&lt;&gt;"",ROW($G$2:$G$65),ROW()+ROWS($G$2:$G$65))),ROW()-ROW($H$2:$H$65)+1),COLUMN($G$2:$G$65),4)))</f>
        <v/>
      </c>
      <c r="O7" s="183" t="str">
        <f t="array" aca="1" ref="O7" ca="1">IF(ROW()-ROW($I$2:$I$65)+1&gt;ROWS($H$2:$H$65)-COUNTBLANK($H$2:$H$65),"",INDIRECT(ADDRESS(SMALL((IF($H$2:$H$65&lt;&gt;"",ROW($H$2:$H$65),ROW()+ROWS($H$2:$H$65))),ROW()-ROW($I$2:$I$65)+1),COLUMN($H$2:$H$65),4)))</f>
        <v/>
      </c>
      <c r="P7" s="183" t="str">
        <f t="array" aca="1" ref="P7" ca="1">IF(ROW()-ROW($J$2:$J$65)+1&gt;ROWS($I$2:$I$65)-COUNTBLANK($I$2:$I$65),"",INDIRECT(ADDRESS(SMALL((IF($I$2:$I$65&lt;&gt;"",ROW($I$2:$I$65),ROW()+ROWS($I$2:$I$65))),ROW()-ROW($J$2:$J$65)+1),COLUMN($I$2:$I$65),4)))</f>
        <v/>
      </c>
      <c r="Q7" s="136"/>
      <c r="R7" s="136"/>
    </row>
    <row r="8" spans="1:18" s="35" customFormat="1" ht="12" thickBot="1" x14ac:dyDescent="0.3">
      <c r="A8" s="171" t="str">
        <f>IF(Datenquelle!$F$3&gt;0,IF(Datenquelle!$F$3=1,"EZ",IF(Datenquelle!$F$3&gt;1,"relevant","?")),"nicht relevant")</f>
        <v>nicht relevant</v>
      </c>
      <c r="B8" s="147" t="s">
        <v>1824</v>
      </c>
      <c r="D8" s="461"/>
      <c r="E8" s="240" t="str">
        <f>IF(H8="","","2025")</f>
        <v/>
      </c>
      <c r="F8" s="240" t="str">
        <f t="shared" ref="F8" si="3">IF(H8="","","a")</f>
        <v/>
      </c>
      <c r="G8" s="240" t="str">
        <f t="shared" ref="G8" si="4">IF(H8="","","1")</f>
        <v/>
      </c>
      <c r="H8" s="460" t="str">
        <f>IF(A8="relevant",IF(COUNTIF('Matrix-Rektum'!C29:G29,"")&gt;0,Berechnung4!$L$32,""),"")</f>
        <v/>
      </c>
      <c r="I8" s="241" t="str">
        <f>IF(H8="","",VLOOKUP(F8,Berechnung4!$I$15:$J$25,2,FALSE))</f>
        <v/>
      </c>
      <c r="J8" s="242" t="str">
        <f t="shared" ref="J8" si="5">IF(H8&lt;&gt;"",1,"")</f>
        <v/>
      </c>
      <c r="L8" s="94" t="str">
        <f t="array" aca="1" ref="L8" ca="1">IF(ROW()-ROW($F$2:$F$65)+1&gt;ROWS($E$2:$E$65)-COUNTBLANK($E$2:$E$65),"",INDIRECT(ADDRESS(SMALL((IF($E$2:$E$65&gt;"",ROW($E$2:$E$65),ROW()+ROWS($E$2:$E$65))),ROW()-ROW($F$2:$F$65)+1),COLUMN($E$2:$E$65),4)))</f>
        <v/>
      </c>
      <c r="M8" s="94" t="str">
        <f t="array" aca="1" ref="M8" ca="1">IF(ROW()-ROW($G$2:$G$65)+1&gt;ROWS($F$2:$F$65)-COUNTBLANK($F$2:$F$65),"",INDIRECT(ADDRESS(SMALL((IF($F$2:$F$65&lt;&gt;"",ROW($F$2:$F$65),ROW()+ROWS($F$2:$F$65))),ROW()-ROW($G$2:$G$65)+1),COLUMN($F$2:$F$65),4)))</f>
        <v/>
      </c>
      <c r="N8" s="94" t="str">
        <f t="array" aca="1" ref="N8" ca="1">IF(ROW()-ROW($H$2:$H$65)+1&gt;ROWS($G$2:$G$65)-COUNTBLANK($G$2:$G$65),"",INDIRECT(ADDRESS(SMALL((IF($G$2:$G$65&lt;&gt;"",ROW($G$2:$G$65),ROW()+ROWS($G$2:$G$65))),ROW()-ROW($H$2:$H$65)+1),COLUMN($G$2:$G$65),4)))</f>
        <v/>
      </c>
      <c r="O8" s="183" t="str">
        <f t="array" aca="1" ref="O8" ca="1">IF(ROW()-ROW($I$2:$I$65)+1&gt;ROWS($H$2:$H$65)-COUNTBLANK($H$2:$H$65),"",INDIRECT(ADDRESS(SMALL((IF($H$2:$H$65&lt;&gt;"",ROW($H$2:$H$65),ROW()+ROWS($H$2:$H$65))),ROW()-ROW($I$2:$I$65)+1),COLUMN($H$2:$H$65),4)))</f>
        <v/>
      </c>
      <c r="P8" s="183" t="str">
        <f t="array" aca="1" ref="P8" ca="1">IF(ROW()-ROW($J$2:$J$65)+1&gt;ROWS($I$2:$I$65)-COUNTBLANK($I$2:$I$65),"",INDIRECT(ADDRESS(SMALL((IF($I$2:$I$65&lt;&gt;"",ROW($I$2:$I$65),ROW()+ROWS($I$2:$I$65))),ROW()-ROW($J$2:$J$65)+1),COLUMN($I$2:$I$65),4)))</f>
        <v/>
      </c>
    </row>
    <row r="9" spans="1:18" s="35" customFormat="1" ht="11.25" x14ac:dyDescent="0.25">
      <c r="D9" s="145" t="s">
        <v>353</v>
      </c>
      <c r="E9" s="155" t="str">
        <f>IF(H9="","","2019")</f>
        <v/>
      </c>
      <c r="F9" s="155" t="str">
        <f t="shared" ref="F9:F13" si="6">IF(H9="","","b")</f>
        <v/>
      </c>
      <c r="G9" s="155" t="str">
        <f t="shared" si="1"/>
        <v/>
      </c>
      <c r="H9" s="184" t="str">
        <f>IF(A2="relevant",IF('Matrix-Rektum'!I23="","",IF('Matrix-Rektum'!I23&gt;('Matrix-Rektum'!C23-'Matrix-Rektum'!G23),Berechnung4!$L$36,"")),"")</f>
        <v/>
      </c>
      <c r="I9" s="235" t="str">
        <f>IF(H9="","",VLOOKUP(F9,Berechnung4!$I$15:$J$25,2,FALSE))</f>
        <v/>
      </c>
      <c r="J9" s="234" t="str">
        <f t="shared" si="2"/>
        <v/>
      </c>
      <c r="L9" s="94" t="str">
        <f t="array" aca="1" ref="L9" ca="1">IF(ROW()-ROW($F$2:$F$65)+1&gt;ROWS($E$2:$E$65)-COUNTBLANK($E$2:$E$65),"",INDIRECT(ADDRESS(SMALL((IF($E$2:$E$65&gt;"",ROW($E$2:$E$65),ROW()+ROWS($E$2:$E$65))),ROW()-ROW($F$2:$F$65)+1),COLUMN($E$2:$E$65),4)))</f>
        <v/>
      </c>
      <c r="M9" s="94" t="str">
        <f t="array" aca="1" ref="M9" ca="1">IF(ROW()-ROW($G$2:$G$65)+1&gt;ROWS($F$2:$F$65)-COUNTBLANK($F$2:$F$65),"",INDIRECT(ADDRESS(SMALL((IF($F$2:$F$65&lt;&gt;"",ROW($F$2:$F$65),ROW()+ROWS($F$2:$F$65))),ROW()-ROW($G$2:$G$65)+1),COLUMN($F$2:$F$65),4)))</f>
        <v/>
      </c>
      <c r="N9" s="94" t="str">
        <f t="array" aca="1" ref="N9" ca="1">IF(ROW()-ROW($H$2:$H$65)+1&gt;ROWS($G$2:$G$65)-COUNTBLANK($G$2:$G$65),"",INDIRECT(ADDRESS(SMALL((IF($G$2:$G$65&lt;&gt;"",ROW($G$2:$G$65),ROW()+ROWS($G$2:$G$65))),ROW()-ROW($H$2:$H$65)+1),COLUMN($G$2:$G$65),4)))</f>
        <v/>
      </c>
      <c r="O9" s="183" t="str">
        <f t="array" aca="1" ref="O9" ca="1">IF(ROW()-ROW($I$2:$I$65)+1&gt;ROWS($H$2:$H$65)-COUNTBLANK($H$2:$H$65),"",INDIRECT(ADDRESS(SMALL((IF($H$2:$H$65&lt;&gt;"",ROW($H$2:$H$65),ROW()+ROWS($H$2:$H$65))),ROW()-ROW($I$2:$I$65)+1),COLUMN($H$2:$H$65),4)))</f>
        <v/>
      </c>
      <c r="P9" s="183" t="str">
        <f t="array" aca="1" ref="P9" ca="1">IF(ROW()-ROW($J$2:$J$65)+1&gt;ROWS($I$2:$I$65)-COUNTBLANK($I$2:$I$65),"",INDIRECT(ADDRESS(SMALL((IF($I$2:$I$65&lt;&gt;"",ROW($I$2:$I$65),ROW()+ROWS($I$2:$I$65))),ROW()-ROW($J$2:$J$65)+1),COLUMN($I$2:$I$65),4)))</f>
        <v/>
      </c>
    </row>
    <row r="10" spans="1:18" s="35" customFormat="1" ht="11.25" x14ac:dyDescent="0.25">
      <c r="D10" s="963" t="s">
        <v>432</v>
      </c>
      <c r="E10" s="34" t="str">
        <f>IF(H10="","","2020")</f>
        <v/>
      </c>
      <c r="F10" s="34" t="str">
        <f t="shared" si="6"/>
        <v/>
      </c>
      <c r="G10" s="34" t="str">
        <f t="shared" si="1"/>
        <v/>
      </c>
      <c r="H10" s="172" t="str">
        <f>IF(A3="relevant",IF('Matrix-Rektum'!I24="","",IF('Matrix-Rektum'!I24&gt;('Matrix-Rektum'!C24-'Matrix-Rektum'!G24),Berechnung4!$L$36,"")),"")</f>
        <v/>
      </c>
      <c r="I10" s="171" t="str">
        <f>IF(H10="","",VLOOKUP(F10,Berechnung4!$I$15:$J$25,2,FALSE))</f>
        <v/>
      </c>
      <c r="J10" s="233" t="str">
        <f t="shared" si="2"/>
        <v/>
      </c>
      <c r="L10" s="94" t="str">
        <f t="array" aca="1" ref="L10" ca="1">IF(ROW()-ROW($F$2:$F$65)+1&gt;ROWS($E$2:$E$65)-COUNTBLANK($E$2:$E$65),"",INDIRECT(ADDRESS(SMALL((IF($E$2:$E$65&gt;"",ROW($E$2:$E$65),ROW()+ROWS($E$2:$E$65))),ROW()-ROW($F$2:$F$65)+1),COLUMN($E$2:$E$65),4)))</f>
        <v/>
      </c>
      <c r="M10" s="94" t="str">
        <f t="array" aca="1" ref="M10" ca="1">IF(ROW()-ROW($G$2:$G$65)+1&gt;ROWS($F$2:$F$65)-COUNTBLANK($F$2:$F$65),"",INDIRECT(ADDRESS(SMALL((IF($F$2:$F$65&lt;&gt;"",ROW($F$2:$F$65),ROW()+ROWS($F$2:$F$65))),ROW()-ROW($G$2:$G$65)+1),COLUMN($F$2:$F$65),4)))</f>
        <v/>
      </c>
      <c r="N10" s="94" t="str">
        <f t="array" aca="1" ref="N10" ca="1">IF(ROW()-ROW($H$2:$H$65)+1&gt;ROWS($G$2:$G$65)-COUNTBLANK($G$2:$G$65),"",INDIRECT(ADDRESS(SMALL((IF($G$2:$G$65&lt;&gt;"",ROW($G$2:$G$65),ROW()+ROWS($G$2:$G$65))),ROW()-ROW($H$2:$H$65)+1),COLUMN($G$2:$G$65),4)))</f>
        <v/>
      </c>
      <c r="O10" s="183" t="str">
        <f t="array" aca="1" ref="O10" ca="1">IF(ROW()-ROW($I$2:$I$65)+1&gt;ROWS($H$2:$H$65)-COUNTBLANK($H$2:$H$65),"",INDIRECT(ADDRESS(SMALL((IF($H$2:$H$65&lt;&gt;"",ROW($H$2:$H$65),ROW()+ROWS($H$2:$H$65))),ROW()-ROW($I$2:$I$65)+1),COLUMN($H$2:$H$65),4)))</f>
        <v/>
      </c>
      <c r="P10" s="183" t="str">
        <f t="array" aca="1" ref="P10" ca="1">IF(ROW()-ROW($J$2:$J$65)+1&gt;ROWS($I$2:$I$65)-COUNTBLANK($I$2:$I$65),"",INDIRECT(ADDRESS(SMALL((IF($I$2:$I$65&lt;&gt;"",ROW($I$2:$I$65),ROW()+ROWS($I$2:$I$65))),ROW()-ROW($J$2:$J$65)+1),COLUMN($I$2:$I$65),4)))</f>
        <v/>
      </c>
    </row>
    <row r="11" spans="1:18" s="35" customFormat="1" ht="11.25" x14ac:dyDescent="0.25">
      <c r="D11" s="963"/>
      <c r="E11" s="34" t="str">
        <f>IF(H11="","","2021")</f>
        <v/>
      </c>
      <c r="F11" s="34" t="str">
        <f t="shared" si="6"/>
        <v/>
      </c>
      <c r="G11" s="34" t="str">
        <f t="shared" si="1"/>
        <v/>
      </c>
      <c r="H11" s="172" t="str">
        <f>IF(A4="relevant",IF('Matrix-Rektum'!I25="","",IF('Matrix-Rektum'!I25&gt;('Matrix-Rektum'!C25-'Matrix-Rektum'!G25),Berechnung4!$L$36,"")),"")</f>
        <v/>
      </c>
      <c r="I11" s="171" t="str">
        <f>IF(H11="","",VLOOKUP(F11,Berechnung4!$I$15:$J$25,2,FALSE))</f>
        <v/>
      </c>
      <c r="J11" s="233" t="str">
        <f t="shared" si="2"/>
        <v/>
      </c>
      <c r="L11" s="94" t="str">
        <f t="array" aca="1" ref="L11" ca="1">IF(ROW()-ROW($F$2:$F$65)+1&gt;ROWS($E$2:$E$65)-COUNTBLANK($E$2:$E$65),"",INDIRECT(ADDRESS(SMALL((IF($E$2:$E$65&gt;"",ROW($E$2:$E$65),ROW()+ROWS($E$2:$E$65))),ROW()-ROW($F$2:$F$65)+1),COLUMN($E$2:$E$65),4)))</f>
        <v/>
      </c>
      <c r="M11" s="94" t="str">
        <f t="array" aca="1" ref="M11" ca="1">IF(ROW()-ROW($G$2:$G$65)+1&gt;ROWS($F$2:$F$65)-COUNTBLANK($F$2:$F$65),"",INDIRECT(ADDRESS(SMALL((IF($F$2:$F$65&lt;&gt;"",ROW($F$2:$F$65),ROW()+ROWS($F$2:$F$65))),ROW()-ROW($G$2:$G$65)+1),COLUMN($F$2:$F$65),4)))</f>
        <v/>
      </c>
      <c r="N11" s="94" t="str">
        <f t="array" aca="1" ref="N11" ca="1">IF(ROW()-ROW($H$2:$H$65)+1&gt;ROWS($G$2:$G$65)-COUNTBLANK($G$2:$G$65),"",INDIRECT(ADDRESS(SMALL((IF($G$2:$G$65&lt;&gt;"",ROW($G$2:$G$65),ROW()+ROWS($G$2:$G$65))),ROW()-ROW($H$2:$H$65)+1),COLUMN($G$2:$G$65),4)))</f>
        <v/>
      </c>
      <c r="O11" s="183" t="str">
        <f t="array" aca="1" ref="O11" ca="1">IF(ROW()-ROW($I$2:$I$65)+1&gt;ROWS($H$2:$H$65)-COUNTBLANK($H$2:$H$65),"",INDIRECT(ADDRESS(SMALL((IF($H$2:$H$65&lt;&gt;"",ROW($H$2:$H$65),ROW()+ROWS($H$2:$H$65))),ROW()-ROW($I$2:$I$65)+1),COLUMN($H$2:$H$65),4)))</f>
        <v/>
      </c>
      <c r="P11" s="183" t="str">
        <f t="array" aca="1" ref="P11" ca="1">IF(ROW()-ROW($J$2:$J$65)+1&gt;ROWS($I$2:$I$65)-COUNTBLANK($I$2:$I$65),"",INDIRECT(ADDRESS(SMALL((IF($I$2:$I$65&lt;&gt;"",ROW($I$2:$I$65),ROW()+ROWS($I$2:$I$65))),ROW()-ROW($J$2:$J$65)+1),COLUMN($I$2:$I$65),4)))</f>
        <v/>
      </c>
    </row>
    <row r="12" spans="1:18" s="35" customFormat="1" ht="11.25" x14ac:dyDescent="0.25">
      <c r="D12" s="963"/>
      <c r="E12" s="34" t="str">
        <f>IF(H12="","","2022")</f>
        <v/>
      </c>
      <c r="F12" s="34" t="str">
        <f t="shared" si="6"/>
        <v/>
      </c>
      <c r="G12" s="34" t="str">
        <f t="shared" si="1"/>
        <v/>
      </c>
      <c r="H12" s="172" t="str">
        <f>IF(A5="relevant",IF('Matrix-Rektum'!I26="","",IF('Matrix-Rektum'!I26&gt;('Matrix-Rektum'!C26-'Matrix-Rektum'!G26),Berechnung4!$L$36,"")),"")</f>
        <v/>
      </c>
      <c r="I12" s="171" t="str">
        <f>IF(H12="","",VLOOKUP(F12,Berechnung4!$I$15:$J$25,2,FALSE))</f>
        <v/>
      </c>
      <c r="J12" s="233" t="str">
        <f t="shared" si="2"/>
        <v/>
      </c>
      <c r="L12" s="94" t="str">
        <f t="array" aca="1" ref="L12" ca="1">IF(ROW()-ROW($F$2:$F$65)+1&gt;ROWS($E$2:$E$65)-COUNTBLANK($E$2:$E$65),"",INDIRECT(ADDRESS(SMALL((IF($E$2:$E$65&gt;"",ROW($E$2:$E$65),ROW()+ROWS($E$2:$E$65))),ROW()-ROW($F$2:$F$65)+1),COLUMN($E$2:$E$65),4)))</f>
        <v/>
      </c>
      <c r="M12" s="94" t="str">
        <f t="array" aca="1" ref="M12" ca="1">IF(ROW()-ROW($G$2:$G$65)+1&gt;ROWS($F$2:$F$65)-COUNTBLANK($F$2:$F$65),"",INDIRECT(ADDRESS(SMALL((IF($F$2:$F$65&lt;&gt;"",ROW($F$2:$F$65),ROW()+ROWS($F$2:$F$65))),ROW()-ROW($G$2:$G$65)+1),COLUMN($F$2:$F$65),4)))</f>
        <v/>
      </c>
      <c r="N12" s="94" t="str">
        <f t="array" aca="1" ref="N12" ca="1">IF(ROW()-ROW($H$2:$H$65)+1&gt;ROWS($G$2:$G$65)-COUNTBLANK($G$2:$G$65),"",INDIRECT(ADDRESS(SMALL((IF($G$2:$G$65&lt;&gt;"",ROW($G$2:$G$65),ROW()+ROWS($G$2:$G$65))),ROW()-ROW($H$2:$H$65)+1),COLUMN($G$2:$G$65),4)))</f>
        <v/>
      </c>
      <c r="O12" s="183" t="str">
        <f t="array" aca="1" ref="O12" ca="1">IF(ROW()-ROW($I$2:$I$65)+1&gt;ROWS($H$2:$H$65)-COUNTBLANK($H$2:$H$65),"",INDIRECT(ADDRESS(SMALL((IF($H$2:$H$65&lt;&gt;"",ROW($H$2:$H$65),ROW()+ROWS($H$2:$H$65))),ROW()-ROW($I$2:$I$65)+1),COLUMN($H$2:$H$65),4)))</f>
        <v/>
      </c>
      <c r="P12" s="183" t="str">
        <f t="array" aca="1" ref="P12" ca="1">IF(ROW()-ROW($J$2:$J$65)+1&gt;ROWS($I$2:$I$65)-COUNTBLANK($I$2:$I$65),"",INDIRECT(ADDRESS(SMALL((IF($I$2:$I$65&lt;&gt;"",ROW($I$2:$I$65),ROW()+ROWS($I$2:$I$65))),ROW()-ROW($J$2:$J$65)+1),COLUMN($I$2:$I$65),4)))</f>
        <v/>
      </c>
    </row>
    <row r="13" spans="1:18" s="35" customFormat="1" ht="11.25" x14ac:dyDescent="0.25">
      <c r="D13" s="963"/>
      <c r="E13" s="34" t="str">
        <f>IF(H13="","","2023")</f>
        <v/>
      </c>
      <c r="F13" s="34" t="str">
        <f t="shared" si="6"/>
        <v/>
      </c>
      <c r="G13" s="34" t="str">
        <f t="shared" si="1"/>
        <v/>
      </c>
      <c r="H13" s="172" t="str">
        <f>IF(A6="relevant",IF('Matrix-Rektum'!I27="","",IF('Matrix-Rektum'!I27&gt;('Matrix-Rektum'!C27-'Matrix-Rektum'!G27),Berechnung4!$L$36,"")),"")</f>
        <v/>
      </c>
      <c r="I13" s="171" t="str">
        <f>IF(H13="","",VLOOKUP(F13,Berechnung4!$I$15:$J$25,2,FALSE))</f>
        <v/>
      </c>
      <c r="J13" s="233" t="str">
        <f t="shared" si="2"/>
        <v/>
      </c>
      <c r="L13" s="94" t="str">
        <f t="array" aca="1" ref="L13" ca="1">IF(ROW()-ROW($F$2:$F$65)+1&gt;ROWS($E$2:$E$65)-COUNTBLANK($E$2:$E$65),"",INDIRECT(ADDRESS(SMALL((IF($E$2:$E$65&gt;"",ROW($E$2:$E$65),ROW()+ROWS($E$2:$E$65))),ROW()-ROW($F$2:$F$65)+1),COLUMN($E$2:$E$65),4)))</f>
        <v/>
      </c>
      <c r="M13" s="94" t="str">
        <f t="array" aca="1" ref="M13" ca="1">IF(ROW()-ROW($G$2:$G$65)+1&gt;ROWS($F$2:$F$65)-COUNTBLANK($F$2:$F$65),"",INDIRECT(ADDRESS(SMALL((IF($F$2:$F$65&lt;&gt;"",ROW($F$2:$F$65),ROW()+ROWS($F$2:$F$65))),ROW()-ROW($G$2:$G$65)+1),COLUMN($F$2:$F$65),4)))</f>
        <v/>
      </c>
      <c r="N13" s="94" t="str">
        <f t="array" aca="1" ref="N13" ca="1">IF(ROW()-ROW($H$2:$H$65)+1&gt;ROWS($G$2:$G$65)-COUNTBLANK($G$2:$G$65),"",INDIRECT(ADDRESS(SMALL((IF($G$2:$G$65&lt;&gt;"",ROW($G$2:$G$65),ROW()+ROWS($G$2:$G$65))),ROW()-ROW($H$2:$H$65)+1),COLUMN($G$2:$G$65),4)))</f>
        <v/>
      </c>
      <c r="O13" s="183" t="str">
        <f t="array" aca="1" ref="O13" ca="1">IF(ROW()-ROW($I$2:$I$65)+1&gt;ROWS($H$2:$H$65)-COUNTBLANK($H$2:$H$65),"",INDIRECT(ADDRESS(SMALL((IF($H$2:$H$65&lt;&gt;"",ROW($H$2:$H$65),ROW()+ROWS($H$2:$H$65))),ROW()-ROW($I$2:$I$65)+1),COLUMN($H$2:$H$65),4)))</f>
        <v/>
      </c>
      <c r="P13" s="183" t="str">
        <f t="array" aca="1" ref="P13" ca="1">IF(ROW()-ROW($J$2:$J$65)+1&gt;ROWS($I$2:$I$65)-COUNTBLANK($I$2:$I$65),"",INDIRECT(ADDRESS(SMALL((IF($I$2:$I$65&lt;&gt;"",ROW($I$2:$I$65),ROW()+ROWS($I$2:$I$65))),ROW()-ROW($J$2:$J$65)+1),COLUMN($I$2:$I$65),4)))</f>
        <v/>
      </c>
    </row>
    <row r="14" spans="1:18" x14ac:dyDescent="0.25">
      <c r="D14" s="173" t="s">
        <v>226</v>
      </c>
      <c r="E14" s="240"/>
      <c r="F14" s="240"/>
      <c r="G14" s="240"/>
      <c r="H14" s="460"/>
      <c r="I14" s="241"/>
      <c r="J14" s="242"/>
      <c r="L14" s="94" t="str">
        <f t="array" aca="1" ref="L14" ca="1">IF(ROW()-ROW($F$2:$F$65)+1&gt;ROWS($E$2:$E$65)-COUNTBLANK($E$2:$E$65),"",INDIRECT(ADDRESS(SMALL((IF($E$2:$E$65&gt;"",ROW($E$2:$E$65),ROW()+ROWS($E$2:$E$65))),ROW()-ROW($F$2:$F$65)+1),COLUMN($E$2:$E$65),4)))</f>
        <v/>
      </c>
      <c r="M14" s="94" t="str">
        <f t="array" aca="1" ref="M14" ca="1">IF(ROW()-ROW($G$2:$G$65)+1&gt;ROWS($F$2:$F$65)-COUNTBLANK($F$2:$F$65),"",INDIRECT(ADDRESS(SMALL((IF($F$2:$F$65&lt;&gt;"",ROW($F$2:$F$65),ROW()+ROWS($F$2:$F$65))),ROW()-ROW($G$2:$G$65)+1),COLUMN($F$2:$F$65),4)))</f>
        <v/>
      </c>
      <c r="N14" s="94" t="str">
        <f t="array" aca="1" ref="N14" ca="1">IF(ROW()-ROW($H$2:$H$65)+1&gt;ROWS($G$2:$G$65)-COUNTBLANK($G$2:$G$65),"",INDIRECT(ADDRESS(SMALL((IF($G$2:$G$65&lt;&gt;"",ROW($G$2:$G$65),ROW()+ROWS($G$2:$G$65))),ROW()-ROW($H$2:$H$65)+1),COLUMN($G$2:$G$65),4)))</f>
        <v/>
      </c>
      <c r="O14" s="183" t="str">
        <f t="array" aca="1" ref="O14" ca="1">IF(ROW()-ROW($I$2:$I$65)+1&gt;ROWS($H$2:$H$65)-COUNTBLANK($H$2:$H$65),"",INDIRECT(ADDRESS(SMALL((IF($H$2:$H$65&lt;&gt;"",ROW($H$2:$H$65),ROW()+ROWS($H$2:$H$65))),ROW()-ROW($I$2:$I$65)+1),COLUMN($H$2:$H$65),4)))</f>
        <v/>
      </c>
      <c r="P14" s="183" t="str">
        <f t="array" aca="1" ref="P14" ca="1">IF(ROW()-ROW($J$2:$J$65)+1&gt;ROWS($I$2:$I$65)-COUNTBLANK($I$2:$I$65),"",INDIRECT(ADDRESS(SMALL((IF($I$2:$I$65&lt;&gt;"",ROW($I$2:$I$65),ROW()+ROWS($I$2:$I$65))),ROW()-ROW($J$2:$J$65)+1),COLUMN($I$2:$I$65),4)))</f>
        <v/>
      </c>
    </row>
    <row r="15" spans="1:18" ht="15.75" thickBot="1" x14ac:dyDescent="0.3">
      <c r="D15" s="470"/>
      <c r="E15" s="462"/>
      <c r="F15" s="462"/>
      <c r="G15" s="462"/>
      <c r="H15" s="463"/>
      <c r="I15" s="464"/>
      <c r="J15" s="465"/>
      <c r="L15" s="94" t="str">
        <f t="array" aca="1" ref="L15" ca="1">IF(ROW()-ROW($F$2:$F$65)+1&gt;ROWS($E$2:$E$65)-COUNTBLANK($E$2:$E$65),"",INDIRECT(ADDRESS(SMALL((IF($E$2:$E$65&gt;"",ROW($E$2:$E$65),ROW()+ROWS($E$2:$E$65))),ROW()-ROW($F$2:$F$65)+1),COLUMN($E$2:$E$65),4)))</f>
        <v/>
      </c>
      <c r="M15" s="94" t="str">
        <f t="array" aca="1" ref="M15" ca="1">IF(ROW()-ROW($G$2:$G$65)+1&gt;ROWS($F$2:$F$65)-COUNTBLANK($F$2:$F$65),"",INDIRECT(ADDRESS(SMALL((IF($F$2:$F$65&lt;&gt;"",ROW($F$2:$F$65),ROW()+ROWS($F$2:$F$65))),ROW()-ROW($G$2:$G$65)+1),COLUMN($F$2:$F$65),4)))</f>
        <v/>
      </c>
      <c r="N15" s="94" t="str">
        <f t="array" aca="1" ref="N15" ca="1">IF(ROW()-ROW($H$2:$H$65)+1&gt;ROWS($G$2:$G$65)-COUNTBLANK($G$2:$G$65),"",INDIRECT(ADDRESS(SMALL((IF($G$2:$G$65&lt;&gt;"",ROW($G$2:$G$65),ROW()+ROWS($G$2:$G$65))),ROW()-ROW($H$2:$H$65)+1),COLUMN($G$2:$G$65),4)))</f>
        <v/>
      </c>
      <c r="O15" s="183" t="str">
        <f t="array" aca="1" ref="O15" ca="1">IF(ROW()-ROW($I$2:$I$65)+1&gt;ROWS($H$2:$H$65)-COUNTBLANK($H$2:$H$65),"",INDIRECT(ADDRESS(SMALL((IF($H$2:$H$65&lt;&gt;"",ROW($H$2:$H$65),ROW()+ROWS($H$2:$H$65))),ROW()-ROW($I$2:$I$65)+1),COLUMN($H$2:$H$65),4)))</f>
        <v/>
      </c>
      <c r="P15" s="183" t="str">
        <f t="array" aca="1" ref="P15" ca="1">IF(ROW()-ROW($J$2:$J$65)+1&gt;ROWS($I$2:$I$65)-COUNTBLANK($I$2:$I$65),"",INDIRECT(ADDRESS(SMALL((IF($I$2:$I$65&lt;&gt;"",ROW($I$2:$I$65),ROW()+ROWS($I$2:$I$65))),ROW()-ROW($J$2:$J$65)+1),COLUMN($I$2:$I$65),4)))</f>
        <v/>
      </c>
    </row>
    <row r="16" spans="1:18" x14ac:dyDescent="0.25">
      <c r="D16" s="145" t="s">
        <v>353</v>
      </c>
      <c r="E16" s="155" t="str">
        <f>IF(H16="","","2019")</f>
        <v/>
      </c>
      <c r="F16" s="155" t="str">
        <f t="shared" ref="F16:F20" si="7">IF(H16="","","c")</f>
        <v/>
      </c>
      <c r="G16" s="155" t="str">
        <f t="shared" si="1"/>
        <v/>
      </c>
      <c r="H16" s="184" t="str">
        <f>IF(A2="relevant",IF('Matrix-Rektum'!O23&lt;Berechnung4!$G$42,Berechnung4!$L$42,""),"")</f>
        <v/>
      </c>
      <c r="I16" s="235" t="str">
        <f>IF(H16="","",VLOOKUP(F16,Berechnung4!$I$15:$J$25,2,FALSE))</f>
        <v/>
      </c>
      <c r="J16" s="234" t="str">
        <f t="shared" si="2"/>
        <v/>
      </c>
      <c r="L16" s="94" t="str">
        <f t="array" aca="1" ref="L16" ca="1">IF(ROW()-ROW($F$2:$F$65)+1&gt;ROWS($E$2:$E$65)-COUNTBLANK($E$2:$E$65),"",INDIRECT(ADDRESS(SMALL((IF($E$2:$E$65&gt;"",ROW($E$2:$E$65),ROW()+ROWS($E$2:$E$65))),ROW()-ROW($F$2:$F$65)+1),COLUMN($E$2:$E$65),4)))</f>
        <v/>
      </c>
      <c r="M16" s="94" t="str">
        <f t="array" aca="1" ref="M16" ca="1">IF(ROW()-ROW($G$2:$G$65)+1&gt;ROWS($F$2:$F$65)-COUNTBLANK($F$2:$F$65),"",INDIRECT(ADDRESS(SMALL((IF($F$2:$F$65&lt;&gt;"",ROW($F$2:$F$65),ROW()+ROWS($F$2:$F$65))),ROW()-ROW($G$2:$G$65)+1),COLUMN($F$2:$F$65),4)))</f>
        <v/>
      </c>
      <c r="N16" s="94" t="str">
        <f t="array" aca="1" ref="N16" ca="1">IF(ROW()-ROW($H$2:$H$65)+1&gt;ROWS($G$2:$G$65)-COUNTBLANK($G$2:$G$65),"",INDIRECT(ADDRESS(SMALL((IF($G$2:$G$65&lt;&gt;"",ROW($G$2:$G$65),ROW()+ROWS($G$2:$G$65))),ROW()-ROW($H$2:$H$65)+1),COLUMN($G$2:$G$65),4)))</f>
        <v/>
      </c>
      <c r="O16" s="183" t="str">
        <f t="array" aca="1" ref="O16" ca="1">IF(ROW()-ROW($I$2:$I$65)+1&gt;ROWS($H$2:$H$65)-COUNTBLANK($H$2:$H$65),"",INDIRECT(ADDRESS(SMALL((IF($H$2:$H$65&lt;&gt;"",ROW($H$2:$H$65),ROW()+ROWS($H$2:$H$65))),ROW()-ROW($I$2:$I$65)+1),COLUMN($H$2:$H$65),4)))</f>
        <v/>
      </c>
      <c r="P16" s="183" t="str">
        <f t="array" aca="1" ref="P16" ca="1">IF(ROW()-ROW($J$2:$J$65)+1&gt;ROWS($I$2:$I$65)-COUNTBLANK($I$2:$I$65),"",INDIRECT(ADDRESS(SMALL((IF($I$2:$I$65&lt;&gt;"",ROW($I$2:$I$65),ROW()+ROWS($I$2:$I$65))),ROW()-ROW($J$2:$J$65)+1),COLUMN($I$2:$I$65),4)))</f>
        <v/>
      </c>
    </row>
    <row r="17" spans="4:16" x14ac:dyDescent="0.25">
      <c r="D17" s="963" t="s">
        <v>97</v>
      </c>
      <c r="E17" s="34" t="str">
        <f>IF(H17="","","2020")</f>
        <v/>
      </c>
      <c r="F17" s="34" t="str">
        <f t="shared" si="7"/>
        <v/>
      </c>
      <c r="G17" s="34" t="str">
        <f t="shared" si="1"/>
        <v/>
      </c>
      <c r="H17" s="172" t="str">
        <f>IF(A3="relevant",IF('Matrix-Rektum'!O24&lt;Berechnung4!$G$42,Berechnung4!$L$42,""),"")</f>
        <v/>
      </c>
      <c r="I17" s="171" t="str">
        <f>IF(H17="","",VLOOKUP(F17,Berechnung4!$I$15:$J$25,2,FALSE))</f>
        <v/>
      </c>
      <c r="J17" s="233" t="str">
        <f t="shared" si="2"/>
        <v/>
      </c>
      <c r="L17" s="94" t="str">
        <f t="array" aca="1" ref="L17" ca="1">IF(ROW()-ROW($F$2:$F$65)+1&gt;ROWS($E$2:$E$65)-COUNTBLANK($E$2:$E$65),"",INDIRECT(ADDRESS(SMALL((IF($E$2:$E$65&gt;"",ROW($E$2:$E$65),ROW()+ROWS($E$2:$E$65))),ROW()-ROW($F$2:$F$65)+1),COLUMN($E$2:$E$65),4)))</f>
        <v/>
      </c>
      <c r="M17" s="94" t="str">
        <f t="array" aca="1" ref="M17" ca="1">IF(ROW()-ROW($G$2:$G$65)+1&gt;ROWS($F$2:$F$65)-COUNTBLANK($F$2:$F$65),"",INDIRECT(ADDRESS(SMALL((IF($F$2:$F$65&lt;&gt;"",ROW($F$2:$F$65),ROW()+ROWS($F$2:$F$65))),ROW()-ROW($G$2:$G$65)+1),COLUMN($F$2:$F$65),4)))</f>
        <v/>
      </c>
      <c r="N17" s="94" t="str">
        <f t="array" aca="1" ref="N17" ca="1">IF(ROW()-ROW($H$2:$H$65)+1&gt;ROWS($G$2:$G$65)-COUNTBLANK($G$2:$G$65),"",INDIRECT(ADDRESS(SMALL((IF($G$2:$G$65&lt;&gt;"",ROW($G$2:$G$65),ROW()+ROWS($G$2:$G$65))),ROW()-ROW($H$2:$H$65)+1),COLUMN($G$2:$G$65),4)))</f>
        <v/>
      </c>
      <c r="O17" s="183" t="str">
        <f t="array" aca="1" ref="O17" ca="1">IF(ROW()-ROW($I$2:$I$65)+1&gt;ROWS($H$2:$H$65)-COUNTBLANK($H$2:$H$65),"",INDIRECT(ADDRESS(SMALL((IF($H$2:$H$65&lt;&gt;"",ROW($H$2:$H$65),ROW()+ROWS($H$2:$H$65))),ROW()-ROW($I$2:$I$65)+1),COLUMN($H$2:$H$65),4)))</f>
        <v/>
      </c>
      <c r="P17" s="183" t="str">
        <f t="array" aca="1" ref="P17" ca="1">IF(ROW()-ROW($J$2:$J$65)+1&gt;ROWS($I$2:$I$65)-COUNTBLANK($I$2:$I$65),"",INDIRECT(ADDRESS(SMALL((IF($I$2:$I$65&lt;&gt;"",ROW($I$2:$I$65),ROW()+ROWS($I$2:$I$65))),ROW()-ROW($J$2:$J$65)+1),COLUMN($I$2:$I$65),4)))</f>
        <v/>
      </c>
    </row>
    <row r="18" spans="4:16" x14ac:dyDescent="0.25">
      <c r="D18" s="963"/>
      <c r="E18" s="34" t="str">
        <f>IF(H18="","","2021")</f>
        <v/>
      </c>
      <c r="F18" s="34" t="str">
        <f t="shared" si="7"/>
        <v/>
      </c>
      <c r="G18" s="34" t="str">
        <f t="shared" si="1"/>
        <v/>
      </c>
      <c r="H18" s="172" t="str">
        <f>IF(A4="relevant",IF('Matrix-Rektum'!O25&lt;Berechnung4!$G$42,Berechnung4!$L$42,""),"")</f>
        <v/>
      </c>
      <c r="I18" s="171" t="str">
        <f>IF(H18="","",VLOOKUP(F18,Berechnung4!$I$15:$J$25,2,FALSE))</f>
        <v/>
      </c>
      <c r="J18" s="233" t="str">
        <f t="shared" si="2"/>
        <v/>
      </c>
      <c r="L18" s="94" t="str">
        <f t="array" aca="1" ref="L18" ca="1">IF(ROW()-ROW($F$2:$F$65)+1&gt;ROWS($E$2:$E$65)-COUNTBLANK($E$2:$E$65),"",INDIRECT(ADDRESS(SMALL((IF($E$2:$E$65&gt;"",ROW($E$2:$E$65),ROW()+ROWS($E$2:$E$65))),ROW()-ROW($F$2:$F$65)+1),COLUMN($E$2:$E$65),4)))</f>
        <v/>
      </c>
      <c r="M18" s="94" t="str">
        <f t="array" aca="1" ref="M18" ca="1">IF(ROW()-ROW($G$2:$G$65)+1&gt;ROWS($F$2:$F$65)-COUNTBLANK($F$2:$F$65),"",INDIRECT(ADDRESS(SMALL((IF($F$2:$F$65&lt;&gt;"",ROW($F$2:$F$65),ROW()+ROWS($F$2:$F$65))),ROW()-ROW($G$2:$G$65)+1),COLUMN($F$2:$F$65),4)))</f>
        <v/>
      </c>
      <c r="N18" s="94" t="str">
        <f t="array" aca="1" ref="N18" ca="1">IF(ROW()-ROW($H$2:$H$65)+1&gt;ROWS($G$2:$G$65)-COUNTBLANK($G$2:$G$65),"",INDIRECT(ADDRESS(SMALL((IF($G$2:$G$65&lt;&gt;"",ROW($G$2:$G$65),ROW()+ROWS($G$2:$G$65))),ROW()-ROW($H$2:$H$65)+1),COLUMN($G$2:$G$65),4)))</f>
        <v/>
      </c>
      <c r="O18" s="183" t="str">
        <f t="array" aca="1" ref="O18" ca="1">IF(ROW()-ROW($I$2:$I$65)+1&gt;ROWS($H$2:$H$65)-COUNTBLANK($H$2:$H$65),"",INDIRECT(ADDRESS(SMALL((IF($H$2:$H$65&lt;&gt;"",ROW($H$2:$H$65),ROW()+ROWS($H$2:$H$65))),ROW()-ROW($I$2:$I$65)+1),COLUMN($H$2:$H$65),4)))</f>
        <v/>
      </c>
      <c r="P18" s="183" t="str">
        <f t="array" aca="1" ref="P18" ca="1">IF(ROW()-ROW($J$2:$J$65)+1&gt;ROWS($I$2:$I$65)-COUNTBLANK($I$2:$I$65),"",INDIRECT(ADDRESS(SMALL((IF($I$2:$I$65&lt;&gt;"",ROW($I$2:$I$65),ROW()+ROWS($I$2:$I$65))),ROW()-ROW($J$2:$J$65)+1),COLUMN($I$2:$I$65),4)))</f>
        <v/>
      </c>
    </row>
    <row r="19" spans="4:16" x14ac:dyDescent="0.25">
      <c r="D19" s="963"/>
      <c r="E19" s="34" t="str">
        <f>IF(H19="","","2022")</f>
        <v/>
      </c>
      <c r="F19" s="34" t="str">
        <f t="shared" si="7"/>
        <v/>
      </c>
      <c r="G19" s="34" t="str">
        <f t="shared" si="1"/>
        <v/>
      </c>
      <c r="H19" s="172" t="str">
        <f>IF(A5="relevant",IF('Matrix-Rektum'!O26&lt;Berechnung4!$G$42,Berechnung4!$L$42,""),"")</f>
        <v/>
      </c>
      <c r="I19" s="171" t="str">
        <f>IF(H19="","",VLOOKUP(F19,Berechnung4!$I$15:$J$25,2,FALSE))</f>
        <v/>
      </c>
      <c r="J19" s="233" t="str">
        <f t="shared" si="2"/>
        <v/>
      </c>
      <c r="L19" s="94" t="str">
        <f t="array" aca="1" ref="L19" ca="1">IF(ROW()-ROW($F$2:$F$65)+1&gt;ROWS($E$2:$E$65)-COUNTBLANK($E$2:$E$65),"",INDIRECT(ADDRESS(SMALL((IF($E$2:$E$65&gt;"",ROW($E$2:$E$65),ROW()+ROWS($E$2:$E$65))),ROW()-ROW($F$2:$F$65)+1),COLUMN($E$2:$E$65),4)))</f>
        <v/>
      </c>
      <c r="M19" s="94" t="str">
        <f t="array" aca="1" ref="M19" ca="1">IF(ROW()-ROW($G$2:$G$65)+1&gt;ROWS($F$2:$F$65)-COUNTBLANK($F$2:$F$65),"",INDIRECT(ADDRESS(SMALL((IF($F$2:$F$65&lt;&gt;"",ROW($F$2:$F$65),ROW()+ROWS($F$2:$F$65))),ROW()-ROW($G$2:$G$65)+1),COLUMN($F$2:$F$65),4)))</f>
        <v/>
      </c>
      <c r="N19" s="94" t="str">
        <f t="array" aca="1" ref="N19" ca="1">IF(ROW()-ROW($H$2:$H$65)+1&gt;ROWS($G$2:$G$65)-COUNTBLANK($G$2:$G$65),"",INDIRECT(ADDRESS(SMALL((IF($G$2:$G$65&lt;&gt;"",ROW($G$2:$G$65),ROW()+ROWS($G$2:$G$65))),ROW()-ROW($H$2:$H$65)+1),COLUMN($G$2:$G$65),4)))</f>
        <v/>
      </c>
      <c r="O19" s="183" t="str">
        <f t="array" aca="1" ref="O19" ca="1">IF(ROW()-ROW($I$2:$I$65)+1&gt;ROWS($H$2:$H$65)-COUNTBLANK($H$2:$H$65),"",INDIRECT(ADDRESS(SMALL((IF($H$2:$H$65&lt;&gt;"",ROW($H$2:$H$65),ROW()+ROWS($H$2:$H$65))),ROW()-ROW($I$2:$I$65)+1),COLUMN($H$2:$H$65),4)))</f>
        <v/>
      </c>
      <c r="P19" s="183" t="str">
        <f t="array" aca="1" ref="P19" ca="1">IF(ROW()-ROW($J$2:$J$65)+1&gt;ROWS($I$2:$I$65)-COUNTBLANK($I$2:$I$65),"",INDIRECT(ADDRESS(SMALL((IF($I$2:$I$65&lt;&gt;"",ROW($I$2:$I$65),ROW()+ROWS($I$2:$I$65))),ROW()-ROW($J$2:$J$65)+1),COLUMN($I$2:$I$65),4)))</f>
        <v/>
      </c>
    </row>
    <row r="20" spans="4:16" x14ac:dyDescent="0.25">
      <c r="D20" s="963"/>
      <c r="E20" s="34" t="str">
        <f>IF(H20="","","2023")</f>
        <v/>
      </c>
      <c r="F20" s="34" t="str">
        <f t="shared" si="7"/>
        <v/>
      </c>
      <c r="G20" s="34" t="str">
        <f t="shared" si="1"/>
        <v/>
      </c>
      <c r="H20" s="172" t="str">
        <f>IF(A6="relevant",IF('Matrix-Rektum'!O27&lt;Berechnung4!$G$42,Berechnung4!$L$42,""),"")</f>
        <v/>
      </c>
      <c r="I20" s="171" t="str">
        <f>IF(H20="","",VLOOKUP(F20,Berechnung4!$I$15:$J$25,2,FALSE))</f>
        <v/>
      </c>
      <c r="J20" s="233" t="str">
        <f t="shared" si="2"/>
        <v/>
      </c>
      <c r="L20" s="94" t="str">
        <f t="array" aca="1" ref="L20" ca="1">IF(ROW()-ROW($F$2:$F$65)+1&gt;ROWS($E$2:$E$65)-COUNTBLANK($E$2:$E$65),"",INDIRECT(ADDRESS(SMALL((IF($E$2:$E$65&gt;"",ROW($E$2:$E$65),ROW()+ROWS($E$2:$E$65))),ROW()-ROW($F$2:$F$65)+1),COLUMN($E$2:$E$65),4)))</f>
        <v/>
      </c>
      <c r="M20" s="94" t="str">
        <f t="array" aca="1" ref="M20" ca="1">IF(ROW()-ROW($G$2:$G$65)+1&gt;ROWS($F$2:$F$65)-COUNTBLANK($F$2:$F$65),"",INDIRECT(ADDRESS(SMALL((IF($F$2:$F$65&lt;&gt;"",ROW($F$2:$F$65),ROW()+ROWS($F$2:$F$65))),ROW()-ROW($G$2:$G$65)+1),COLUMN($F$2:$F$65),4)))</f>
        <v/>
      </c>
      <c r="N20" s="94" t="str">
        <f t="array" aca="1" ref="N20" ca="1">IF(ROW()-ROW($H$2:$H$65)+1&gt;ROWS($G$2:$G$65)-COUNTBLANK($G$2:$G$65),"",INDIRECT(ADDRESS(SMALL((IF($G$2:$G$65&lt;&gt;"",ROW($G$2:$G$65),ROW()+ROWS($G$2:$G$65))),ROW()-ROW($H$2:$H$65)+1),COLUMN($G$2:$G$65),4)))</f>
        <v/>
      </c>
      <c r="O20" s="183" t="str">
        <f t="array" aca="1" ref="O20" ca="1">IF(ROW()-ROW($I$2:$I$65)+1&gt;ROWS($H$2:$H$65)-COUNTBLANK($H$2:$H$65),"",INDIRECT(ADDRESS(SMALL((IF($H$2:$H$65&lt;&gt;"",ROW($H$2:$H$65),ROW()+ROWS($H$2:$H$65))),ROW()-ROW($I$2:$I$65)+1),COLUMN($H$2:$H$65),4)))</f>
        <v/>
      </c>
      <c r="P20" s="183" t="str">
        <f t="array" aca="1" ref="P20" ca="1">IF(ROW()-ROW($J$2:$J$65)+1&gt;ROWS($I$2:$I$65)-COUNTBLANK($I$2:$I$65),"",INDIRECT(ADDRESS(SMALL((IF($I$2:$I$65&lt;&gt;"",ROW($I$2:$I$65),ROW()+ROWS($I$2:$I$65))),ROW()-ROW($J$2:$J$65)+1),COLUMN($I$2:$I$65),4)))</f>
        <v/>
      </c>
    </row>
    <row r="21" spans="4:16" x14ac:dyDescent="0.25">
      <c r="D21" s="173" t="s">
        <v>227</v>
      </c>
      <c r="E21" s="240"/>
      <c r="F21" s="240"/>
      <c r="G21" s="240"/>
      <c r="H21" s="238"/>
      <c r="I21" s="241"/>
      <c r="J21" s="242"/>
      <c r="L21" s="94" t="str">
        <f t="array" aca="1" ref="L21" ca="1">IF(ROW()-ROW($F$2:$F$65)+1&gt;ROWS($E$2:$E$65)-COUNTBLANK($E$2:$E$65),"",INDIRECT(ADDRESS(SMALL((IF($E$2:$E$65&gt;"",ROW($E$2:$E$65),ROW()+ROWS($E$2:$E$65))),ROW()-ROW($F$2:$F$65)+1),COLUMN($E$2:$E$65),4)))</f>
        <v/>
      </c>
      <c r="M21" s="94" t="str">
        <f t="array" aca="1" ref="M21" ca="1">IF(ROW()-ROW($G$2:$G$65)+1&gt;ROWS($F$2:$F$65)-COUNTBLANK($F$2:$F$65),"",INDIRECT(ADDRESS(SMALL((IF($F$2:$F$65&lt;&gt;"",ROW($F$2:$F$65),ROW()+ROWS($F$2:$F$65))),ROW()-ROW($G$2:$G$65)+1),COLUMN($F$2:$F$65),4)))</f>
        <v/>
      </c>
      <c r="N21" s="94" t="str">
        <f t="array" aca="1" ref="N21" ca="1">IF(ROW()-ROW($H$2:$H$65)+1&gt;ROWS($G$2:$G$65)-COUNTBLANK($G$2:$G$65),"",INDIRECT(ADDRESS(SMALL((IF($G$2:$G$65&lt;&gt;"",ROW($G$2:$G$65),ROW()+ROWS($G$2:$G$65))),ROW()-ROW($H$2:$H$65)+1),COLUMN($G$2:$G$65),4)))</f>
        <v/>
      </c>
      <c r="O21" s="183" t="str">
        <f t="array" aca="1" ref="O21" ca="1">IF(ROW()-ROW($I$2:$I$65)+1&gt;ROWS($H$2:$H$65)-COUNTBLANK($H$2:$H$65),"",INDIRECT(ADDRESS(SMALL((IF($H$2:$H$65&lt;&gt;"",ROW($H$2:$H$65),ROW()+ROWS($H$2:$H$65))),ROW()-ROW($I$2:$I$65)+1),COLUMN($H$2:$H$65),4)))</f>
        <v/>
      </c>
      <c r="P21" s="183" t="str">
        <f t="array" aca="1" ref="P21" ca="1">IF(ROW()-ROW($J$2:$J$65)+1&gt;ROWS($I$2:$I$65)-COUNTBLANK($I$2:$I$65),"",INDIRECT(ADDRESS(SMALL((IF($I$2:$I$65&lt;&gt;"",ROW($I$2:$I$65),ROW()+ROWS($I$2:$I$65))),ROW()-ROW($J$2:$J$65)+1),COLUMN($I$2:$I$65),4)))</f>
        <v/>
      </c>
    </row>
    <row r="22" spans="4:16" ht="15.75" thickBot="1" x14ac:dyDescent="0.3">
      <c r="D22" s="173"/>
      <c r="E22" s="462"/>
      <c r="F22" s="462"/>
      <c r="G22" s="462"/>
      <c r="H22" s="187"/>
      <c r="I22" s="464"/>
      <c r="J22" s="465"/>
      <c r="L22" s="94" t="str">
        <f t="array" aca="1" ref="L22" ca="1">IF(ROW()-ROW($F$2:$F$65)+1&gt;ROWS($E$2:$E$65)-COUNTBLANK($E$2:$E$65),"",INDIRECT(ADDRESS(SMALL((IF($E$2:$E$65&gt;"",ROW($E$2:$E$65),ROW()+ROWS($E$2:$E$65))),ROW()-ROW($F$2:$F$65)+1),COLUMN($E$2:$E$65),4)))</f>
        <v/>
      </c>
      <c r="M22" s="94" t="str">
        <f t="array" aca="1" ref="M22" ca="1">IF(ROW()-ROW($G$2:$G$65)+1&gt;ROWS($F$2:$F$65)-COUNTBLANK($F$2:$F$65),"",INDIRECT(ADDRESS(SMALL((IF($F$2:$F$65&lt;&gt;"",ROW($F$2:$F$65),ROW()+ROWS($F$2:$F$65))),ROW()-ROW($G$2:$G$65)+1),COLUMN($F$2:$F$65),4)))</f>
        <v/>
      </c>
      <c r="N22" s="94" t="str">
        <f t="array" aca="1" ref="N22" ca="1">IF(ROW()-ROW($H$2:$H$65)+1&gt;ROWS($G$2:$G$65)-COUNTBLANK($G$2:$G$65),"",INDIRECT(ADDRESS(SMALL((IF($G$2:$G$65&lt;&gt;"",ROW($G$2:$G$65),ROW()+ROWS($G$2:$G$65))),ROW()-ROW($H$2:$H$65)+1),COLUMN($G$2:$G$65),4)))</f>
        <v/>
      </c>
      <c r="O22" s="183" t="str">
        <f t="array" aca="1" ref="O22" ca="1">IF(ROW()-ROW($I$2:$I$65)+1&gt;ROWS($H$2:$H$65)-COUNTBLANK($H$2:$H$65),"",INDIRECT(ADDRESS(SMALL((IF($H$2:$H$65&lt;&gt;"",ROW($H$2:$H$65),ROW()+ROWS($H$2:$H$65))),ROW()-ROW($I$2:$I$65)+1),COLUMN($H$2:$H$65),4)))</f>
        <v/>
      </c>
      <c r="P22" s="183" t="str">
        <f t="array" aca="1" ref="P22" ca="1">IF(ROW()-ROW($J$2:$J$65)+1&gt;ROWS($I$2:$I$65)-COUNTBLANK($I$2:$I$65),"",INDIRECT(ADDRESS(SMALL((IF($I$2:$I$65&lt;&gt;"",ROW($I$2:$I$65),ROW()+ROWS($I$2:$I$65))),ROW()-ROW($J$2:$J$65)+1),COLUMN($I$2:$I$65),4)))</f>
        <v/>
      </c>
    </row>
    <row r="23" spans="4:16" x14ac:dyDescent="0.25">
      <c r="D23" s="145" t="s">
        <v>353</v>
      </c>
      <c r="E23" s="155" t="str">
        <f>IF(H23="","","2019")</f>
        <v/>
      </c>
      <c r="F23" s="155" t="str">
        <f t="shared" ref="F23:F27" si="8">IF(H23="","","d")</f>
        <v/>
      </c>
      <c r="G23" s="155" t="str">
        <f t="shared" si="1"/>
        <v/>
      </c>
      <c r="H23" s="184" t="str">
        <f>IF(A2="relevant",IF(AND('Matrix-Rektum'!Q23="",'Matrix-Rektum'!R23="",'Matrix-Rektum'!S23="",'Matrix-Rektum'!T23=""),"",IF('Matrix-Rektum'!Q23&lt;MAX('Matrix-Rektum'!R23:T23),Berechnung2!$L$40,"")),"")</f>
        <v/>
      </c>
      <c r="I23" s="235" t="str">
        <f>IF(H23="","",VLOOKUP(F23,Berechnung4!$I$15:$J$25,2,FALSE))</f>
        <v/>
      </c>
      <c r="J23" s="234" t="str">
        <f t="shared" si="2"/>
        <v/>
      </c>
      <c r="L23" s="94" t="str">
        <f t="array" aca="1" ref="L23" ca="1">IF(ROW()-ROW($F$2:$F$65)+1&gt;ROWS($E$2:$E$65)-COUNTBLANK($E$2:$E$65),"",INDIRECT(ADDRESS(SMALL((IF($E$2:$E$65&gt;"",ROW($E$2:$E$65),ROW()+ROWS($E$2:$E$65))),ROW()-ROW($F$2:$F$65)+1),COLUMN($E$2:$E$65),4)))</f>
        <v/>
      </c>
      <c r="M23" s="94" t="str">
        <f t="array" aca="1" ref="M23" ca="1">IF(ROW()-ROW($G$2:$G$65)+1&gt;ROWS($F$2:$F$65)-COUNTBLANK($F$2:$F$65),"",INDIRECT(ADDRESS(SMALL((IF($F$2:$F$65&lt;&gt;"",ROW($F$2:$F$65),ROW()+ROWS($F$2:$F$65))),ROW()-ROW($G$2:$G$65)+1),COLUMN($F$2:$F$65),4)))</f>
        <v/>
      </c>
      <c r="N23" s="94" t="str">
        <f t="array" aca="1" ref="N23" ca="1">IF(ROW()-ROW($H$2:$H$65)+1&gt;ROWS($G$2:$G$65)-COUNTBLANK($G$2:$G$65),"",INDIRECT(ADDRESS(SMALL((IF($G$2:$G$65&lt;&gt;"",ROW($G$2:$G$65),ROW()+ROWS($G$2:$G$65))),ROW()-ROW($H$2:$H$65)+1),COLUMN($G$2:$G$65),4)))</f>
        <v/>
      </c>
      <c r="O23" s="183" t="str">
        <f t="array" aca="1" ref="O23" ca="1">IF(ROW()-ROW($I$2:$I$65)+1&gt;ROWS($H$2:$H$65)-COUNTBLANK($H$2:$H$65),"",INDIRECT(ADDRESS(SMALL((IF($H$2:$H$65&lt;&gt;"",ROW($H$2:$H$65),ROW()+ROWS($H$2:$H$65))),ROW()-ROW($I$2:$I$65)+1),COLUMN($H$2:$H$65),4)))</f>
        <v/>
      </c>
      <c r="P23" s="183" t="str">
        <f t="array" aca="1" ref="P23" ca="1">IF(ROW()-ROW($J$2:$J$65)+1&gt;ROWS($I$2:$I$65)-COUNTBLANK($I$2:$I$65),"",INDIRECT(ADDRESS(SMALL((IF($I$2:$I$65&lt;&gt;"",ROW($I$2:$I$65),ROW()+ROWS($I$2:$I$65))),ROW()-ROW($J$2:$J$65)+1),COLUMN($I$2:$I$65),4)))</f>
        <v/>
      </c>
    </row>
    <row r="24" spans="4:16" x14ac:dyDescent="0.25">
      <c r="D24" s="963" t="s">
        <v>433</v>
      </c>
      <c r="E24" s="34" t="str">
        <f>IF(H24="","","2020")</f>
        <v/>
      </c>
      <c r="F24" s="34" t="str">
        <f t="shared" si="8"/>
        <v/>
      </c>
      <c r="G24" s="34" t="str">
        <f t="shared" si="1"/>
        <v/>
      </c>
      <c r="H24" s="172" t="str">
        <f>IF(A3="relevant",IF(AND('Matrix-Rektum'!Q24="",'Matrix-Rektum'!R24="",'Matrix-Rektum'!S24="",'Matrix-Rektum'!T24=""),"",IF('Matrix-Rektum'!Q24&lt;MAX('Matrix-Rektum'!R24:T24),Berechnung2!$L$40,"")),"")</f>
        <v/>
      </c>
      <c r="I24" s="171" t="str">
        <f>IF(H24="","",VLOOKUP(F24,Berechnung4!$I$15:$J$25,2,FALSE))</f>
        <v/>
      </c>
      <c r="J24" s="233" t="str">
        <f t="shared" si="2"/>
        <v/>
      </c>
      <c r="L24" s="94" t="str">
        <f t="array" aca="1" ref="L24" ca="1">IF(ROW()-ROW($F$2:$F$65)+1&gt;ROWS($E$2:$E$65)-COUNTBLANK($E$2:$E$65),"",INDIRECT(ADDRESS(SMALL((IF($E$2:$E$65&gt;"",ROW($E$2:$E$65),ROW()+ROWS($E$2:$E$65))),ROW()-ROW($F$2:$F$65)+1),COLUMN($E$2:$E$65),4)))</f>
        <v/>
      </c>
      <c r="M24" s="94" t="str">
        <f t="array" aca="1" ref="M24" ca="1">IF(ROW()-ROW($G$2:$G$65)+1&gt;ROWS($F$2:$F$65)-COUNTBLANK($F$2:$F$65),"",INDIRECT(ADDRESS(SMALL((IF($F$2:$F$65&lt;&gt;"",ROW($F$2:$F$65),ROW()+ROWS($F$2:$F$65))),ROW()-ROW($G$2:$G$65)+1),COLUMN($F$2:$F$65),4)))</f>
        <v/>
      </c>
      <c r="N24" s="94" t="str">
        <f t="array" aca="1" ref="N24" ca="1">IF(ROW()-ROW($H$2:$H$65)+1&gt;ROWS($G$2:$G$65)-COUNTBLANK($G$2:$G$65),"",INDIRECT(ADDRESS(SMALL((IF($G$2:$G$65&lt;&gt;"",ROW($G$2:$G$65),ROW()+ROWS($G$2:$G$65))),ROW()-ROW($H$2:$H$65)+1),COLUMN($G$2:$G$65),4)))</f>
        <v/>
      </c>
      <c r="O24" s="183" t="str">
        <f t="array" aca="1" ref="O24" ca="1">IF(ROW()-ROW($I$2:$I$65)+1&gt;ROWS($H$2:$H$65)-COUNTBLANK($H$2:$H$65),"",INDIRECT(ADDRESS(SMALL((IF($H$2:$H$65&lt;&gt;"",ROW($H$2:$H$65),ROW()+ROWS($H$2:$H$65))),ROW()-ROW($I$2:$I$65)+1),COLUMN($H$2:$H$65),4)))</f>
        <v/>
      </c>
      <c r="P24" s="183" t="str">
        <f t="array" aca="1" ref="P24" ca="1">IF(ROW()-ROW($J$2:$J$65)+1&gt;ROWS($I$2:$I$65)-COUNTBLANK($I$2:$I$65),"",INDIRECT(ADDRESS(SMALL((IF($I$2:$I$65&lt;&gt;"",ROW($I$2:$I$65),ROW()+ROWS($I$2:$I$65))),ROW()-ROW($J$2:$J$65)+1),COLUMN($I$2:$I$65),4)))</f>
        <v/>
      </c>
    </row>
    <row r="25" spans="4:16" x14ac:dyDescent="0.25">
      <c r="D25" s="963"/>
      <c r="E25" s="34" t="str">
        <f>IF(H25="","","2021")</f>
        <v/>
      </c>
      <c r="F25" s="34" t="str">
        <f t="shared" si="8"/>
        <v/>
      </c>
      <c r="G25" s="34" t="str">
        <f t="shared" si="1"/>
        <v/>
      </c>
      <c r="H25" s="172" t="str">
        <f>IF(A4="relevant",IF(AND('Matrix-Rektum'!Q25="",'Matrix-Rektum'!R25="",'Matrix-Rektum'!S25="",'Matrix-Rektum'!T25=""),"",IF('Matrix-Rektum'!Q25&lt;MAX('Matrix-Rektum'!R25:T25),Berechnung2!$L$40,"")),"")</f>
        <v/>
      </c>
      <c r="I25" s="171" t="str">
        <f>IF(H25="","",VLOOKUP(F25,Berechnung4!$I$15:$J$25,2,FALSE))</f>
        <v/>
      </c>
      <c r="J25" s="233" t="str">
        <f t="shared" si="2"/>
        <v/>
      </c>
      <c r="L25" s="94" t="str">
        <f t="array" aca="1" ref="L25" ca="1">IF(ROW()-ROW($F$2:$F$65)+1&gt;ROWS($E$2:$E$65)-COUNTBLANK($E$2:$E$65),"",INDIRECT(ADDRESS(SMALL((IF($E$2:$E$65&gt;"",ROW($E$2:$E$65),ROW()+ROWS($E$2:$E$65))),ROW()-ROW($F$2:$F$65)+1),COLUMN($E$2:$E$65),4)))</f>
        <v/>
      </c>
      <c r="M25" s="94" t="str">
        <f t="array" aca="1" ref="M25" ca="1">IF(ROW()-ROW($G$2:$G$65)+1&gt;ROWS($F$2:$F$65)-COUNTBLANK($F$2:$F$65),"",INDIRECT(ADDRESS(SMALL((IF($F$2:$F$65&lt;&gt;"",ROW($F$2:$F$65),ROW()+ROWS($F$2:$F$65))),ROW()-ROW($G$2:$G$65)+1),COLUMN($F$2:$F$65),4)))</f>
        <v/>
      </c>
      <c r="N25" s="94" t="str">
        <f t="array" aca="1" ref="N25" ca="1">IF(ROW()-ROW($H$2:$H$65)+1&gt;ROWS($G$2:$G$65)-COUNTBLANK($G$2:$G$65),"",INDIRECT(ADDRESS(SMALL((IF($G$2:$G$65&lt;&gt;"",ROW($G$2:$G$65),ROW()+ROWS($G$2:$G$65))),ROW()-ROW($H$2:$H$65)+1),COLUMN($G$2:$G$65),4)))</f>
        <v/>
      </c>
      <c r="O25" s="183" t="str">
        <f t="array" aca="1" ref="O25" ca="1">IF(ROW()-ROW($I$2:$I$65)+1&gt;ROWS($H$2:$H$65)-COUNTBLANK($H$2:$H$65),"",INDIRECT(ADDRESS(SMALL((IF($H$2:$H$65&lt;&gt;"",ROW($H$2:$H$65),ROW()+ROWS($H$2:$H$65))),ROW()-ROW($I$2:$I$65)+1),COLUMN($H$2:$H$65),4)))</f>
        <v/>
      </c>
      <c r="P25" s="183" t="str">
        <f t="array" aca="1" ref="P25" ca="1">IF(ROW()-ROW($J$2:$J$65)+1&gt;ROWS($I$2:$I$65)-COUNTBLANK($I$2:$I$65),"",INDIRECT(ADDRESS(SMALL((IF($I$2:$I$65&lt;&gt;"",ROW($I$2:$I$65),ROW()+ROWS($I$2:$I$65))),ROW()-ROW($J$2:$J$65)+1),COLUMN($I$2:$I$65),4)))</f>
        <v/>
      </c>
    </row>
    <row r="26" spans="4:16" x14ac:dyDescent="0.25">
      <c r="D26" s="963"/>
      <c r="E26" s="34" t="str">
        <f>IF(H26="","","2022")</f>
        <v/>
      </c>
      <c r="F26" s="34" t="str">
        <f t="shared" si="8"/>
        <v/>
      </c>
      <c r="G26" s="34" t="str">
        <f t="shared" si="1"/>
        <v/>
      </c>
      <c r="H26" s="172" t="str">
        <f>IF(A5="relevant",IF(AND('Matrix-Rektum'!Q26="",'Matrix-Rektum'!R26="",'Matrix-Rektum'!S26="",'Matrix-Rektum'!T26=""),"",IF('Matrix-Rektum'!Q26&lt;MAX('Matrix-Rektum'!R26:T26),Berechnung2!$L$40,"")),"")</f>
        <v/>
      </c>
      <c r="I26" s="171" t="str">
        <f>IF(H26="","",VLOOKUP(F26,Berechnung4!$I$15:$J$25,2,FALSE))</f>
        <v/>
      </c>
      <c r="J26" s="233" t="str">
        <f t="shared" si="2"/>
        <v/>
      </c>
      <c r="L26" s="94" t="str">
        <f t="array" aca="1" ref="L26" ca="1">IF(ROW()-ROW($F$2:$F$65)+1&gt;ROWS($E$2:$E$65)-COUNTBLANK($E$2:$E$65),"",INDIRECT(ADDRESS(SMALL((IF($E$2:$E$65&gt;"",ROW($E$2:$E$65),ROW()+ROWS($E$2:$E$65))),ROW()-ROW($F$2:$F$65)+1),COLUMN($E$2:$E$65),4)))</f>
        <v/>
      </c>
      <c r="M26" s="94" t="str">
        <f t="array" aca="1" ref="M26" ca="1">IF(ROW()-ROW($G$2:$G$65)+1&gt;ROWS($F$2:$F$65)-COUNTBLANK($F$2:$F$65),"",INDIRECT(ADDRESS(SMALL((IF($F$2:$F$65&lt;&gt;"",ROW($F$2:$F$65),ROW()+ROWS($F$2:$F$65))),ROW()-ROW($G$2:$G$65)+1),COLUMN($F$2:$F$65),4)))</f>
        <v/>
      </c>
      <c r="N26" s="94" t="str">
        <f t="array" aca="1" ref="N26" ca="1">IF(ROW()-ROW($H$2:$H$65)+1&gt;ROWS($G$2:$G$65)-COUNTBLANK($G$2:$G$65),"",INDIRECT(ADDRESS(SMALL((IF($G$2:$G$65&lt;&gt;"",ROW($G$2:$G$65),ROW()+ROWS($G$2:$G$65))),ROW()-ROW($H$2:$H$65)+1),COLUMN($G$2:$G$65),4)))</f>
        <v/>
      </c>
      <c r="O26" s="183" t="str">
        <f t="array" aca="1" ref="O26" ca="1">IF(ROW()-ROW($I$2:$I$65)+1&gt;ROWS($H$2:$H$65)-COUNTBLANK($H$2:$H$65),"",INDIRECT(ADDRESS(SMALL((IF($H$2:$H$65&lt;&gt;"",ROW($H$2:$H$65),ROW()+ROWS($H$2:$H$65))),ROW()-ROW($I$2:$I$65)+1),COLUMN($H$2:$H$65),4)))</f>
        <v/>
      </c>
      <c r="P26" s="183" t="str">
        <f t="array" aca="1" ref="P26" ca="1">IF(ROW()-ROW($J$2:$J$65)+1&gt;ROWS($I$2:$I$65)-COUNTBLANK($I$2:$I$65),"",INDIRECT(ADDRESS(SMALL((IF($I$2:$I$65&lt;&gt;"",ROW($I$2:$I$65),ROW()+ROWS($I$2:$I$65))),ROW()-ROW($J$2:$J$65)+1),COLUMN($I$2:$I$65),4)))</f>
        <v/>
      </c>
    </row>
    <row r="27" spans="4:16" x14ac:dyDescent="0.25">
      <c r="D27" s="963"/>
      <c r="E27" s="34" t="str">
        <f>IF(H27="","","2023")</f>
        <v/>
      </c>
      <c r="F27" s="34" t="str">
        <f t="shared" si="8"/>
        <v/>
      </c>
      <c r="G27" s="34" t="str">
        <f t="shared" si="1"/>
        <v/>
      </c>
      <c r="H27" s="172" t="str">
        <f>IF(A6="relevant",IF(AND('Matrix-Rektum'!Q27="",'Matrix-Rektum'!R27="",'Matrix-Rektum'!S27="",'Matrix-Rektum'!T27=""),"",IF('Matrix-Rektum'!Q27&lt;MAX('Matrix-Rektum'!R27:T27),Berechnung2!$L$40,"")),"")</f>
        <v/>
      </c>
      <c r="I27" s="171" t="str">
        <f>IF(H27="","",VLOOKUP(F27,Berechnung4!$I$15:$J$25,2,FALSE))</f>
        <v/>
      </c>
      <c r="J27" s="233" t="str">
        <f t="shared" si="2"/>
        <v/>
      </c>
      <c r="L27" s="94" t="str">
        <f t="array" aca="1" ref="L27" ca="1">IF(ROW()-ROW($F$2:$F$65)+1&gt;ROWS($E$2:$E$65)-COUNTBLANK($E$2:$E$65),"",INDIRECT(ADDRESS(SMALL((IF($E$2:$E$65&gt;"",ROW($E$2:$E$65),ROW()+ROWS($E$2:$E$65))),ROW()-ROW($F$2:$F$65)+1),COLUMN($E$2:$E$65),4)))</f>
        <v/>
      </c>
      <c r="M27" s="94" t="str">
        <f t="array" aca="1" ref="M27" ca="1">IF(ROW()-ROW($G$2:$G$65)+1&gt;ROWS($F$2:$F$65)-COUNTBLANK($F$2:$F$65),"",INDIRECT(ADDRESS(SMALL((IF($F$2:$F$65&lt;&gt;"",ROW($F$2:$F$65),ROW()+ROWS($F$2:$F$65))),ROW()-ROW($G$2:$G$65)+1),COLUMN($F$2:$F$65),4)))</f>
        <v/>
      </c>
      <c r="N27" s="94" t="str">
        <f t="array" aca="1" ref="N27" ca="1">IF(ROW()-ROW($H$2:$H$65)+1&gt;ROWS($G$2:$G$65)-COUNTBLANK($G$2:$G$65),"",INDIRECT(ADDRESS(SMALL((IF($G$2:$G$65&lt;&gt;"",ROW($G$2:$G$65),ROW()+ROWS($G$2:$G$65))),ROW()-ROW($H$2:$H$65)+1),COLUMN($G$2:$G$65),4)))</f>
        <v/>
      </c>
      <c r="O27" s="183" t="str">
        <f t="array" aca="1" ref="O27" ca="1">IF(ROW()-ROW($I$2:$I$65)+1&gt;ROWS($H$2:$H$65)-COUNTBLANK($H$2:$H$65),"",INDIRECT(ADDRESS(SMALL((IF($H$2:$H$65&lt;&gt;"",ROW($H$2:$H$65),ROW()+ROWS($H$2:$H$65))),ROW()-ROW($I$2:$I$65)+1),COLUMN($H$2:$H$65),4)))</f>
        <v/>
      </c>
      <c r="P27" s="183" t="str">
        <f t="array" aca="1" ref="P27" ca="1">IF(ROW()-ROW($J$2:$J$65)+1&gt;ROWS($I$2:$I$65)-COUNTBLANK($I$2:$I$65),"",INDIRECT(ADDRESS(SMALL((IF($I$2:$I$65&lt;&gt;"",ROW($I$2:$I$65),ROW()+ROWS($I$2:$I$65))),ROW()-ROW($J$2:$J$65)+1),COLUMN($I$2:$I$65),4)))</f>
        <v/>
      </c>
    </row>
    <row r="28" spans="4:16" x14ac:dyDescent="0.25">
      <c r="D28" s="173" t="s">
        <v>229</v>
      </c>
      <c r="E28" s="240"/>
      <c r="F28" s="240"/>
      <c r="G28" s="240"/>
      <c r="H28" s="460"/>
      <c r="I28" s="241"/>
      <c r="J28" s="242"/>
      <c r="L28" s="94" t="str">
        <f t="array" aca="1" ref="L28" ca="1">IF(ROW()-ROW($F$2:$F$65)+1&gt;ROWS($E$2:$E$65)-COUNTBLANK($E$2:$E$65),"",INDIRECT(ADDRESS(SMALL((IF($E$2:$E$65&gt;"",ROW($E$2:$E$65),ROW()+ROWS($E$2:$E$65))),ROW()-ROW($F$2:$F$65)+1),COLUMN($E$2:$E$65),4)))</f>
        <v/>
      </c>
      <c r="M28" s="94" t="str">
        <f t="array" aca="1" ref="M28" ca="1">IF(ROW()-ROW($G$2:$G$65)+1&gt;ROWS($F$2:$F$65)-COUNTBLANK($F$2:$F$65),"",INDIRECT(ADDRESS(SMALL((IF($F$2:$F$65&lt;&gt;"",ROW($F$2:$F$65),ROW()+ROWS($F$2:$F$65))),ROW()-ROW($G$2:$G$65)+1),COLUMN($F$2:$F$65),4)))</f>
        <v/>
      </c>
      <c r="N28" s="94" t="str">
        <f t="array" aca="1" ref="N28" ca="1">IF(ROW()-ROW($H$2:$H$65)+1&gt;ROWS($G$2:$G$65)-COUNTBLANK($G$2:$G$65),"",INDIRECT(ADDRESS(SMALL((IF($G$2:$G$65&lt;&gt;"",ROW($G$2:$G$65),ROW()+ROWS($G$2:$G$65))),ROW()-ROW($H$2:$H$65)+1),COLUMN($G$2:$G$65),4)))</f>
        <v/>
      </c>
      <c r="O28" s="183" t="str">
        <f t="array" aca="1" ref="O28" ca="1">IF(ROW()-ROW($I$2:$I$65)+1&gt;ROWS($H$2:$H$65)-COUNTBLANK($H$2:$H$65),"",INDIRECT(ADDRESS(SMALL((IF($H$2:$H$65&lt;&gt;"",ROW($H$2:$H$65),ROW()+ROWS($H$2:$H$65))),ROW()-ROW($I$2:$I$65)+1),COLUMN($H$2:$H$65),4)))</f>
        <v/>
      </c>
      <c r="P28" s="183" t="str">
        <f t="array" aca="1" ref="P28" ca="1">IF(ROW()-ROW($J$2:$J$65)+1&gt;ROWS($I$2:$I$65)-COUNTBLANK($I$2:$I$65),"",INDIRECT(ADDRESS(SMALL((IF($I$2:$I$65&lt;&gt;"",ROW($I$2:$I$65),ROW()+ROWS($I$2:$I$65))),ROW()-ROW($J$2:$J$65)+1),COLUMN($I$2:$I$65),4)))</f>
        <v/>
      </c>
    </row>
    <row r="29" spans="4:16" ht="15.75" thickBot="1" x14ac:dyDescent="0.3">
      <c r="D29" s="470"/>
      <c r="E29" s="462"/>
      <c r="F29" s="462"/>
      <c r="G29" s="462"/>
      <c r="H29" s="463"/>
      <c r="I29" s="464"/>
      <c r="J29" s="465"/>
      <c r="L29" s="94" t="str">
        <f t="array" aca="1" ref="L29" ca="1">IF(ROW()-ROW($F$2:$F$65)+1&gt;ROWS($E$2:$E$65)-COUNTBLANK($E$2:$E$65),"",INDIRECT(ADDRESS(SMALL((IF($E$2:$E$65&gt;"",ROW($E$2:$E$65),ROW()+ROWS($E$2:$E$65))),ROW()-ROW($F$2:$F$65)+1),COLUMN($E$2:$E$65),4)))</f>
        <v/>
      </c>
      <c r="M29" s="94" t="str">
        <f t="array" aca="1" ref="M29" ca="1">IF(ROW()-ROW($G$2:$G$65)+1&gt;ROWS($F$2:$F$65)-COUNTBLANK($F$2:$F$65),"",INDIRECT(ADDRESS(SMALL((IF($F$2:$F$65&lt;&gt;"",ROW($F$2:$F$65),ROW()+ROWS($F$2:$F$65))),ROW()-ROW($G$2:$G$65)+1),COLUMN($F$2:$F$65),4)))</f>
        <v/>
      </c>
      <c r="N29" s="94" t="str">
        <f t="array" aca="1" ref="N29" ca="1">IF(ROW()-ROW($H$2:$H$65)+1&gt;ROWS($G$2:$G$65)-COUNTBLANK($G$2:$G$65),"",INDIRECT(ADDRESS(SMALL((IF($G$2:$G$65&lt;&gt;"",ROW($G$2:$G$65),ROW()+ROWS($G$2:$G$65))),ROW()-ROW($H$2:$H$65)+1),COLUMN($G$2:$G$65),4)))</f>
        <v/>
      </c>
      <c r="O29" s="183" t="str">
        <f t="array" aca="1" ref="O29" ca="1">IF(ROW()-ROW($I$2:$I$65)+1&gt;ROWS($H$2:$H$65)-COUNTBLANK($H$2:$H$65),"",INDIRECT(ADDRESS(SMALL((IF($H$2:$H$65&lt;&gt;"",ROW($H$2:$H$65),ROW()+ROWS($H$2:$H$65))),ROW()-ROW($I$2:$I$65)+1),COLUMN($H$2:$H$65),4)))</f>
        <v/>
      </c>
      <c r="P29" s="183" t="str">
        <f t="array" aca="1" ref="P29" ca="1">IF(ROW()-ROW($J$2:$J$65)+1&gt;ROWS($I$2:$I$65)-COUNTBLANK($I$2:$I$65),"",INDIRECT(ADDRESS(SMALL((IF($I$2:$I$65&lt;&gt;"",ROW($I$2:$I$65),ROW()+ROWS($I$2:$I$65))),ROW()-ROW($J$2:$J$65)+1),COLUMN($I$2:$I$65),4)))</f>
        <v/>
      </c>
    </row>
    <row r="30" spans="4:16" ht="34.5" thickBot="1" x14ac:dyDescent="0.3">
      <c r="D30" s="243" t="s">
        <v>228</v>
      </c>
      <c r="E30" s="244" t="str">
        <f>IF(H30="","","2021-2023")</f>
        <v/>
      </c>
      <c r="F30" s="244" t="str">
        <f>IF(H30="","","e")</f>
        <v/>
      </c>
      <c r="G30" s="244" t="str">
        <f>IF(H30="","","5")</f>
        <v/>
      </c>
      <c r="H30" s="247" t="str">
        <f>IF(OR('Matrix-Rektum'!$M$31="-----",'Matrix-Rektum'!$M$31=""),"",IF(AND(ROUND('Matrix-Rektum'!M31,4)&gt;=Berechnung4!G38,ROUND('Matrix-Rektum'!M31,4)&lt;Berechnung4!J38),Berechnung4!L38,""))</f>
        <v/>
      </c>
      <c r="I30" s="245" t="str">
        <f>IF(H30="","",VLOOKUP(F30,Berechnung4!$I$15:$J$25,2,FALSE))</f>
        <v/>
      </c>
      <c r="J30" s="246" t="str">
        <f t="shared" si="2"/>
        <v/>
      </c>
      <c r="L30" s="94" t="str">
        <f t="array" aca="1" ref="L30" ca="1">IF(ROW()-ROW($F$2:$F$65)+1&gt;ROWS($E$2:$E$65)-COUNTBLANK($E$2:$E$65),"",INDIRECT(ADDRESS(SMALL((IF($E$2:$E$65&gt;"",ROW($E$2:$E$65),ROW()+ROWS($E$2:$E$65))),ROW()-ROW($F$2:$F$65)+1),COLUMN($E$2:$E$65),4)))</f>
        <v/>
      </c>
      <c r="M30" s="94" t="str">
        <f t="array" aca="1" ref="M30" ca="1">IF(ROW()-ROW($G$2:$G$65)+1&gt;ROWS($F$2:$F$65)-COUNTBLANK($F$2:$F$65),"",INDIRECT(ADDRESS(SMALL((IF($F$2:$F$65&lt;&gt;"",ROW($F$2:$F$65),ROW()+ROWS($F$2:$F$65))),ROW()-ROW($G$2:$G$65)+1),COLUMN($F$2:$F$65),4)))</f>
        <v/>
      </c>
      <c r="N30" s="94" t="str">
        <f t="array" aca="1" ref="N30" ca="1">IF(ROW()-ROW($H$2:$H$65)+1&gt;ROWS($G$2:$G$65)-COUNTBLANK($G$2:$G$65),"",INDIRECT(ADDRESS(SMALL((IF($G$2:$G$65&lt;&gt;"",ROW($G$2:$G$65),ROW()+ROWS($G$2:$G$65))),ROW()-ROW($H$2:$H$65)+1),COLUMN($G$2:$G$65),4)))</f>
        <v/>
      </c>
      <c r="O30" s="183" t="str">
        <f t="array" aca="1" ref="O30" ca="1">IF(ROW()-ROW($I$2:$I$65)+1&gt;ROWS($H$2:$H$65)-COUNTBLANK($H$2:$H$65),"",INDIRECT(ADDRESS(SMALL((IF($H$2:$H$65&lt;&gt;"",ROW($H$2:$H$65),ROW()+ROWS($H$2:$H$65))),ROW()-ROW($I$2:$I$65)+1),COLUMN($H$2:$H$65),4)))</f>
        <v/>
      </c>
      <c r="P30" s="183" t="str">
        <f t="array" aca="1" ref="P30" ca="1">IF(ROW()-ROW($J$2:$J$65)+1&gt;ROWS($I$2:$I$65)-COUNTBLANK($I$2:$I$65),"",INDIRECT(ADDRESS(SMALL((IF($I$2:$I$65&lt;&gt;"",ROW($I$2:$I$65),ROW()+ROWS($I$2:$I$65))),ROW()-ROW($J$2:$J$65)+1),COLUMN($I$2:$I$65),4)))</f>
        <v/>
      </c>
    </row>
    <row r="31" spans="4:16" x14ac:dyDescent="0.25">
      <c r="D31" s="144" t="s">
        <v>345</v>
      </c>
      <c r="E31" s="155" t="str">
        <f>IF(H31="","","2019")</f>
        <v/>
      </c>
      <c r="F31" s="155" t="str">
        <f t="shared" ref="F31:F36" si="9">IF(H31="","","f")</f>
        <v/>
      </c>
      <c r="G31" s="155" t="str">
        <f>IF(H31="","","6")</f>
        <v/>
      </c>
      <c r="H31" s="184" t="str">
        <f>IF(A2="relevant",IF('Matrix-Rektum'!C23="","",IF('Matrix-Rektum'!C23&lt;Berechnung4!$G$35,Berechnung4!$L$35,"")),"")</f>
        <v/>
      </c>
      <c r="I31" s="235" t="str">
        <f>IF(H31="","",VLOOKUP(F31,Berechnung4!$I$15:$J$25,2,FALSE))</f>
        <v/>
      </c>
      <c r="J31" s="234" t="str">
        <f t="shared" si="2"/>
        <v/>
      </c>
      <c r="L31" s="94" t="str">
        <f t="array" aca="1" ref="L31" ca="1">IF(ROW()-ROW($F$2:$F$65)+1&gt;ROWS($E$2:$E$65)-COUNTBLANK($E$2:$E$65),"",INDIRECT(ADDRESS(SMALL((IF($E$2:$E$65&gt;"",ROW($E$2:$E$65),ROW()+ROWS($E$2:$E$65))),ROW()-ROW($F$2:$F$65)+1),COLUMN($E$2:$E$65),4)))</f>
        <v/>
      </c>
      <c r="M31" s="94" t="str">
        <f t="array" aca="1" ref="M31" ca="1">IF(ROW()-ROW($G$2:$G$65)+1&gt;ROWS($F$2:$F$65)-COUNTBLANK($F$2:$F$65),"",INDIRECT(ADDRESS(SMALL((IF($F$2:$F$65&lt;&gt;"",ROW($F$2:$F$65),ROW()+ROWS($F$2:$F$65))),ROW()-ROW($G$2:$G$65)+1),COLUMN($F$2:$F$65),4)))</f>
        <v/>
      </c>
      <c r="N31" s="94" t="str">
        <f t="array" aca="1" ref="N31" ca="1">IF(ROW()-ROW($H$2:$H$65)+1&gt;ROWS($G$2:$G$65)-COUNTBLANK($G$2:$G$65),"",INDIRECT(ADDRESS(SMALL((IF($G$2:$G$65&lt;&gt;"",ROW($G$2:$G$65),ROW()+ROWS($G$2:$G$65))),ROW()-ROW($H$2:$H$65)+1),COLUMN($G$2:$G$65),4)))</f>
        <v/>
      </c>
      <c r="O31" s="183" t="str">
        <f t="array" aca="1" ref="O31" ca="1">IF(ROW()-ROW($I$2:$I$65)+1&gt;ROWS($H$2:$H$65)-COUNTBLANK($H$2:$H$65),"",INDIRECT(ADDRESS(SMALL((IF($H$2:$H$65&lt;&gt;"",ROW($H$2:$H$65),ROW()+ROWS($H$2:$H$65))),ROW()-ROW($I$2:$I$65)+1),COLUMN($H$2:$H$65),4)))</f>
        <v/>
      </c>
      <c r="P31" s="183" t="str">
        <f t="array" aca="1" ref="P31" ca="1">IF(ROW()-ROW($J$2:$J$65)+1&gt;ROWS($I$2:$I$65)-COUNTBLANK($I$2:$I$65),"",INDIRECT(ADDRESS(SMALL((IF($I$2:$I$65&lt;&gt;"",ROW($I$2:$I$65),ROW()+ROWS($I$2:$I$65))),ROW()-ROW($J$2:$J$65)+1),COLUMN($I$2:$I$65),4)))</f>
        <v/>
      </c>
    </row>
    <row r="32" spans="4:16" x14ac:dyDescent="0.25">
      <c r="D32" s="962" t="s">
        <v>392</v>
      </c>
      <c r="E32" s="34" t="str">
        <f>IF(H32="","","2020")</f>
        <v/>
      </c>
      <c r="F32" s="34" t="str">
        <f t="shared" si="9"/>
        <v/>
      </c>
      <c r="G32" s="34" t="str">
        <f t="shared" ref="G32:G64" si="10">IF(H32="","","6")</f>
        <v/>
      </c>
      <c r="H32" s="172" t="str">
        <f>IF(A3="relevant",IF('Matrix-Rektum'!C24="","",IF('Matrix-Rektum'!C24&lt;Berechnung4!$G$35,Berechnung4!$L$35,"")),"")</f>
        <v/>
      </c>
      <c r="I32" s="171" t="str">
        <f>IF(H32="","",VLOOKUP(F32,Berechnung4!$I$15:$J$25,2,FALSE))</f>
        <v/>
      </c>
      <c r="J32" s="233" t="str">
        <f t="shared" si="2"/>
        <v/>
      </c>
      <c r="L32" s="94" t="str">
        <f t="array" aca="1" ref="L32" ca="1">IF(ROW()-ROW($F$2:$F$65)+1&gt;ROWS($E$2:$E$65)-COUNTBLANK($E$2:$E$65),"",INDIRECT(ADDRESS(SMALL((IF($E$2:$E$65&gt;"",ROW($E$2:$E$65),ROW()+ROWS($E$2:$E$65))),ROW()-ROW($F$2:$F$65)+1),COLUMN($E$2:$E$65),4)))</f>
        <v/>
      </c>
      <c r="M32" s="94" t="str">
        <f t="array" aca="1" ref="M32" ca="1">IF(ROW()-ROW($G$2:$G$65)+1&gt;ROWS($F$2:$F$65)-COUNTBLANK($F$2:$F$65),"",INDIRECT(ADDRESS(SMALL((IF($F$2:$F$65&lt;&gt;"",ROW($F$2:$F$65),ROW()+ROWS($F$2:$F$65))),ROW()-ROW($G$2:$G$65)+1),COLUMN($F$2:$F$65),4)))</f>
        <v/>
      </c>
      <c r="N32" s="94" t="str">
        <f t="array" aca="1" ref="N32" ca="1">IF(ROW()-ROW($H$2:$H$65)+1&gt;ROWS($G$2:$G$65)-COUNTBLANK($G$2:$G$65),"",INDIRECT(ADDRESS(SMALL((IF($G$2:$G$65&lt;&gt;"",ROW($G$2:$G$65),ROW()+ROWS($G$2:$G$65))),ROW()-ROW($H$2:$H$65)+1),COLUMN($G$2:$G$65),4)))</f>
        <v/>
      </c>
      <c r="O32" s="183" t="str">
        <f t="array" aca="1" ref="O32" ca="1">IF(ROW()-ROW($I$2:$I$65)+1&gt;ROWS($H$2:$H$65)-COUNTBLANK($H$2:$H$65),"",INDIRECT(ADDRESS(SMALL((IF($H$2:$H$65&lt;&gt;"",ROW($H$2:$H$65),ROW()+ROWS($H$2:$H$65))),ROW()-ROW($I$2:$I$65)+1),COLUMN($H$2:$H$65),4)))</f>
        <v/>
      </c>
      <c r="P32" s="183" t="str">
        <f t="array" aca="1" ref="P32" ca="1">IF(ROW()-ROW($J$2:$J$65)+1&gt;ROWS($I$2:$I$65)-COUNTBLANK($I$2:$I$65),"",INDIRECT(ADDRESS(SMALL((IF($I$2:$I$65&lt;&gt;"",ROW($I$2:$I$65),ROW()+ROWS($I$2:$I$65))),ROW()-ROW($J$2:$J$65)+1),COLUMN($I$2:$I$65),4)))</f>
        <v/>
      </c>
    </row>
    <row r="33" spans="4:16" x14ac:dyDescent="0.25">
      <c r="D33" s="962"/>
      <c r="E33" s="34" t="str">
        <f>IF(H33="","","2021")</f>
        <v/>
      </c>
      <c r="F33" s="34" t="str">
        <f t="shared" si="9"/>
        <v/>
      </c>
      <c r="G33" s="34" t="str">
        <f t="shared" si="10"/>
        <v/>
      </c>
      <c r="H33" s="172" t="str">
        <f>IF(A4="relevant",IF('Matrix-Rektum'!C25="","",IF('Matrix-Rektum'!C25&lt;Berechnung4!$G$35,Berechnung4!$L$35,"")),"")</f>
        <v/>
      </c>
      <c r="I33" s="171" t="str">
        <f>IF(H33="","",VLOOKUP(F33,Berechnung4!$I$15:$J$25,2,FALSE))</f>
        <v/>
      </c>
      <c r="J33" s="233" t="str">
        <f t="shared" si="2"/>
        <v/>
      </c>
      <c r="L33" s="94" t="str">
        <f t="array" aca="1" ref="L33" ca="1">IF(ROW()-ROW($F$2:$F$65)+1&gt;ROWS($E$2:$E$65)-COUNTBLANK($E$2:$E$65),"",INDIRECT(ADDRESS(SMALL((IF($E$2:$E$65&gt;"",ROW($E$2:$E$65),ROW()+ROWS($E$2:$E$65))),ROW()-ROW($F$2:$F$65)+1),COLUMN($E$2:$E$65),4)))</f>
        <v/>
      </c>
      <c r="M33" s="94" t="str">
        <f t="array" aca="1" ref="M33" ca="1">IF(ROW()-ROW($G$2:$G$65)+1&gt;ROWS($F$2:$F$65)-COUNTBLANK($F$2:$F$65),"",INDIRECT(ADDRESS(SMALL((IF($F$2:$F$65&lt;&gt;"",ROW($F$2:$F$65),ROW()+ROWS($F$2:$F$65))),ROW()-ROW($G$2:$G$65)+1),COLUMN($F$2:$F$65),4)))</f>
        <v/>
      </c>
      <c r="N33" s="94" t="str">
        <f t="array" aca="1" ref="N33" ca="1">IF(ROW()-ROW($H$2:$H$65)+1&gt;ROWS($G$2:$G$65)-COUNTBLANK($G$2:$G$65),"",INDIRECT(ADDRESS(SMALL((IF($G$2:$G$65&lt;&gt;"",ROW($G$2:$G$65),ROW()+ROWS($G$2:$G$65))),ROW()-ROW($H$2:$H$65)+1),COLUMN($G$2:$G$65),4)))</f>
        <v/>
      </c>
      <c r="O33" s="183" t="str">
        <f t="array" aca="1" ref="O33" ca="1">IF(ROW()-ROW($I$2:$I$65)+1&gt;ROWS($H$2:$H$65)-COUNTBLANK($H$2:$H$65),"",INDIRECT(ADDRESS(SMALL((IF($H$2:$H$65&lt;&gt;"",ROW($H$2:$H$65),ROW()+ROWS($H$2:$H$65))),ROW()-ROW($I$2:$I$65)+1),COLUMN($H$2:$H$65),4)))</f>
        <v/>
      </c>
      <c r="P33" s="183" t="str">
        <f t="array" aca="1" ref="P33" ca="1">IF(ROW()-ROW($J$2:$J$65)+1&gt;ROWS($I$2:$I$65)-COUNTBLANK($I$2:$I$65),"",INDIRECT(ADDRESS(SMALL((IF($I$2:$I$65&lt;&gt;"",ROW($I$2:$I$65),ROW()+ROWS($I$2:$I$65))),ROW()-ROW($J$2:$J$65)+1),COLUMN($I$2:$I$65),4)))</f>
        <v/>
      </c>
    </row>
    <row r="34" spans="4:16" x14ac:dyDescent="0.25">
      <c r="D34" s="962"/>
      <c r="E34" s="34" t="str">
        <f>IF(H34="","","2022")</f>
        <v/>
      </c>
      <c r="F34" s="34" t="str">
        <f t="shared" si="9"/>
        <v/>
      </c>
      <c r="G34" s="34" t="str">
        <f t="shared" si="10"/>
        <v/>
      </c>
      <c r="H34" s="172" t="str">
        <f>IF(A5="relevant",IF('Matrix-Rektum'!C26="","",IF('Matrix-Rektum'!C26&lt;Berechnung4!$G$35,Berechnung4!$L$35,"")),"")</f>
        <v/>
      </c>
      <c r="I34" s="171" t="str">
        <f>IF(H34="","",VLOOKUP(F34,Berechnung4!$I$15:$J$25,2,FALSE))</f>
        <v/>
      </c>
      <c r="J34" s="233" t="str">
        <f t="shared" si="2"/>
        <v/>
      </c>
      <c r="L34" s="94" t="str">
        <f t="array" aca="1" ref="L34" ca="1">IF(ROW()-ROW($F$2:$F$65)+1&gt;ROWS($E$2:$E$65)-COUNTBLANK($E$2:$E$65),"",INDIRECT(ADDRESS(SMALL((IF($E$2:$E$65&gt;"",ROW($E$2:$E$65),ROW()+ROWS($E$2:$E$65))),ROW()-ROW($F$2:$F$65)+1),COLUMN($E$2:$E$65),4)))</f>
        <v/>
      </c>
      <c r="M34" s="94" t="str">
        <f t="array" aca="1" ref="M34" ca="1">IF(ROW()-ROW($G$2:$G$65)+1&gt;ROWS($F$2:$F$65)-COUNTBLANK($F$2:$F$65),"",INDIRECT(ADDRESS(SMALL((IF($F$2:$F$65&lt;&gt;"",ROW($F$2:$F$65),ROW()+ROWS($F$2:$F$65))),ROW()-ROW($G$2:$G$65)+1),COLUMN($F$2:$F$65),4)))</f>
        <v/>
      </c>
      <c r="N34" s="94" t="str">
        <f t="array" aca="1" ref="N34" ca="1">IF(ROW()-ROW($H$2:$H$65)+1&gt;ROWS($G$2:$G$65)-COUNTBLANK($G$2:$G$65),"",INDIRECT(ADDRESS(SMALL((IF($G$2:$G$65&lt;&gt;"",ROW($G$2:$G$65),ROW()+ROWS($G$2:$G$65))),ROW()-ROW($H$2:$H$65)+1),COLUMN($G$2:$G$65),4)))</f>
        <v/>
      </c>
      <c r="O34" s="183" t="str">
        <f t="array" aca="1" ref="O34" ca="1">IF(ROW()-ROW($I$2:$I$65)+1&gt;ROWS($H$2:$H$65)-COUNTBLANK($H$2:$H$65),"",INDIRECT(ADDRESS(SMALL((IF($H$2:$H$65&lt;&gt;"",ROW($H$2:$H$65),ROW()+ROWS($H$2:$H$65))),ROW()-ROW($I$2:$I$65)+1),COLUMN($H$2:$H$65),4)))</f>
        <v/>
      </c>
      <c r="P34" s="183" t="str">
        <f t="array" aca="1" ref="P34" ca="1">IF(ROW()-ROW($J$2:$J$65)+1&gt;ROWS($I$2:$I$65)-COUNTBLANK($I$2:$I$65),"",INDIRECT(ADDRESS(SMALL((IF($I$2:$I$65&lt;&gt;"",ROW($I$2:$I$65),ROW()+ROWS($I$2:$I$65))),ROW()-ROW($J$2:$J$65)+1),COLUMN($I$2:$I$65),4)))</f>
        <v/>
      </c>
    </row>
    <row r="35" spans="4:16" x14ac:dyDescent="0.25">
      <c r="D35" s="962"/>
      <c r="E35" s="34" t="str">
        <f>IF(H35="","","2023")</f>
        <v/>
      </c>
      <c r="F35" s="34" t="str">
        <f t="shared" si="9"/>
        <v/>
      </c>
      <c r="G35" s="34" t="str">
        <f t="shared" si="10"/>
        <v/>
      </c>
      <c r="H35" s="172" t="str">
        <f>IF(A6="relevant",IF('Matrix-Rektum'!C27="","",IF('Matrix-Rektum'!C27&lt;Berechnung4!$G$35,Berechnung4!$L$35,"")),"")</f>
        <v/>
      </c>
      <c r="I35" s="171" t="str">
        <f>IF(H35="","",VLOOKUP(F35,Berechnung4!$I$15:$J$25,2,FALSE))</f>
        <v/>
      </c>
      <c r="J35" s="233" t="str">
        <f t="shared" si="2"/>
        <v/>
      </c>
      <c r="L35" s="94" t="str">
        <f t="array" aca="1" ref="L35" ca="1">IF(ROW()-ROW($F$2:$F$65)+1&gt;ROWS($E$2:$E$65)-COUNTBLANK($E$2:$E$65),"",INDIRECT(ADDRESS(SMALL((IF($E$2:$E$65&gt;"",ROW($E$2:$E$65),ROW()+ROWS($E$2:$E$65))),ROW()-ROW($F$2:$F$65)+1),COLUMN($E$2:$E$65),4)))</f>
        <v/>
      </c>
      <c r="M35" s="94" t="str">
        <f t="array" aca="1" ref="M35" ca="1">IF(ROW()-ROW($G$2:$G$65)+1&gt;ROWS($F$2:$F$65)-COUNTBLANK($F$2:$F$65),"",INDIRECT(ADDRESS(SMALL((IF($F$2:$F$65&lt;&gt;"",ROW($F$2:$F$65),ROW()+ROWS($F$2:$F$65))),ROW()-ROW($G$2:$G$65)+1),COLUMN($F$2:$F$65),4)))</f>
        <v/>
      </c>
      <c r="N35" s="94" t="str">
        <f t="array" aca="1" ref="N35" ca="1">IF(ROW()-ROW($H$2:$H$65)+1&gt;ROWS($G$2:$G$65)-COUNTBLANK($G$2:$G$65),"",INDIRECT(ADDRESS(SMALL((IF($G$2:$G$65&lt;&gt;"",ROW($G$2:$G$65),ROW()+ROWS($G$2:$G$65))),ROW()-ROW($H$2:$H$65)+1),COLUMN($G$2:$G$65),4)))</f>
        <v/>
      </c>
      <c r="O35" s="183" t="str">
        <f t="array" aca="1" ref="O35" ca="1">IF(ROW()-ROW($I$2:$I$65)+1&gt;ROWS($H$2:$H$65)-COUNTBLANK($H$2:$H$65),"",INDIRECT(ADDRESS(SMALL((IF($H$2:$H$65&lt;&gt;"",ROW($H$2:$H$65),ROW()+ROWS($H$2:$H$65))),ROW()-ROW($I$2:$I$65)+1),COLUMN($H$2:$H$65),4)))</f>
        <v/>
      </c>
      <c r="P35" s="183" t="str">
        <f t="array" aca="1" ref="P35" ca="1">IF(ROW()-ROW($J$2:$J$65)+1&gt;ROWS($I$2:$I$65)-COUNTBLANK($I$2:$I$65),"",INDIRECT(ADDRESS(SMALL((IF($I$2:$I$65&lt;&gt;"",ROW($I$2:$I$65),ROW()+ROWS($I$2:$I$65))),ROW()-ROW($J$2:$J$65)+1),COLUMN($I$2:$I$65),4)))</f>
        <v/>
      </c>
    </row>
    <row r="36" spans="4:16" x14ac:dyDescent="0.25">
      <c r="D36" s="466" t="s">
        <v>230</v>
      </c>
      <c r="E36" s="240" t="str">
        <f>IF(H36="","","2024")</f>
        <v/>
      </c>
      <c r="F36" s="240" t="str">
        <f t="shared" si="9"/>
        <v/>
      </c>
      <c r="G36" s="240" t="str">
        <f t="shared" si="10"/>
        <v/>
      </c>
      <c r="H36" s="460" t="str">
        <f>IF(A7="relevant",IF('Matrix-Rektum'!C28="","",IF('Matrix-Rektum'!C28&lt;Berechnung4!$G$35,Berechnung4!$L$35,"")),"")</f>
        <v/>
      </c>
      <c r="I36" s="241" t="str">
        <f>IF(H36="","",VLOOKUP(F36,Berechnung4!$I$15:$J$25,2,FALSE))</f>
        <v/>
      </c>
      <c r="J36" s="242" t="str">
        <f t="shared" si="2"/>
        <v/>
      </c>
      <c r="L36" s="94" t="str">
        <f t="array" aca="1" ref="L36" ca="1">IF(ROW()-ROW($F$2:$F$65)+1&gt;ROWS($E$2:$E$65)-COUNTBLANK($E$2:$E$65),"",INDIRECT(ADDRESS(SMALL((IF($E$2:$E$65&gt;"",ROW($E$2:$E$65),ROW()+ROWS($E$2:$E$65))),ROW()-ROW($F$2:$F$65)+1),COLUMN($E$2:$E$65),4)))</f>
        <v/>
      </c>
      <c r="M36" s="94" t="str">
        <f t="array" aca="1" ref="M36" ca="1">IF(ROW()-ROW($G$2:$G$65)+1&gt;ROWS($F$2:$F$65)-COUNTBLANK($F$2:$F$65),"",INDIRECT(ADDRESS(SMALL((IF($F$2:$F$65&lt;&gt;"",ROW($F$2:$F$65),ROW()+ROWS($F$2:$F$65))),ROW()-ROW($G$2:$G$65)+1),COLUMN($F$2:$F$65),4)))</f>
        <v/>
      </c>
      <c r="N36" s="94" t="str">
        <f t="array" aca="1" ref="N36" ca="1">IF(ROW()-ROW($H$2:$H$65)+1&gt;ROWS($G$2:$G$65)-COUNTBLANK($G$2:$G$65),"",INDIRECT(ADDRESS(SMALL((IF($G$2:$G$65&lt;&gt;"",ROW($G$2:$G$65),ROW()+ROWS($G$2:$G$65))),ROW()-ROW($H$2:$H$65)+1),COLUMN($G$2:$G$65),4)))</f>
        <v/>
      </c>
      <c r="O36" s="183" t="str">
        <f t="array" aca="1" ref="O36" ca="1">IF(ROW()-ROW($I$2:$I$65)+1&gt;ROWS($H$2:$H$65)-COUNTBLANK($H$2:$H$65),"",INDIRECT(ADDRESS(SMALL((IF($H$2:$H$65&lt;&gt;"",ROW($H$2:$H$65),ROW()+ROWS($H$2:$H$65))),ROW()-ROW($I$2:$I$65)+1),COLUMN($H$2:$H$65),4)))</f>
        <v/>
      </c>
      <c r="P36" s="183" t="str">
        <f t="array" aca="1" ref="P36" ca="1">IF(ROW()-ROW($J$2:$J$65)+1&gt;ROWS($I$2:$I$65)-COUNTBLANK($I$2:$I$65),"",INDIRECT(ADDRESS(SMALL((IF($I$2:$I$65&lt;&gt;"",ROW($I$2:$I$65),ROW()+ROWS($I$2:$I$65))),ROW()-ROW($J$2:$J$65)+1),COLUMN($I$2:$I$65),4)))</f>
        <v/>
      </c>
    </row>
    <row r="37" spans="4:16" ht="15.75" thickBot="1" x14ac:dyDescent="0.3">
      <c r="D37" s="469"/>
      <c r="E37" s="240" t="str">
        <f>IF(H37="","","2025")</f>
        <v/>
      </c>
      <c r="F37" s="240" t="str">
        <f t="shared" ref="F37" si="11">IF(H37="","","f")</f>
        <v/>
      </c>
      <c r="G37" s="240" t="str">
        <f t="shared" ref="G37" si="12">IF(H37="","","6")</f>
        <v/>
      </c>
      <c r="H37" s="460" t="str">
        <f>IF(A8="relevant",IF('Matrix-Rektum'!C29="","",IF('Matrix-Rektum'!C29&lt;Berechnung4!$G$35,Berechnung4!$L$35,"")),"")</f>
        <v/>
      </c>
      <c r="I37" s="241" t="str">
        <f>IF(H37="","",VLOOKUP(F37,Berechnung4!$I$15:$J$25,2,FALSE))</f>
        <v/>
      </c>
      <c r="J37" s="242" t="str">
        <f t="shared" ref="J37" si="13">IF(H37&lt;&gt;"",1,"")</f>
        <v/>
      </c>
      <c r="L37" s="94" t="str">
        <f t="array" aca="1" ref="L37" ca="1">IF(ROW()-ROW($F$2:$F$65)+1&gt;ROWS($E$2:$E$65)-COUNTBLANK($E$2:$E$65),"",INDIRECT(ADDRESS(SMALL((IF($E$2:$E$65&gt;"",ROW($E$2:$E$65),ROW()+ROWS($E$2:$E$65))),ROW()-ROW($F$2:$F$65)+1),COLUMN($E$2:$E$65),4)))</f>
        <v/>
      </c>
      <c r="M37" s="94" t="str">
        <f t="array" aca="1" ref="M37" ca="1">IF(ROW()-ROW($G$2:$G$65)+1&gt;ROWS($F$2:$F$65)-COUNTBLANK($F$2:$F$65),"",INDIRECT(ADDRESS(SMALL((IF($F$2:$F$65&lt;&gt;"",ROW($F$2:$F$65),ROW()+ROWS($F$2:$F$65))),ROW()-ROW($G$2:$G$65)+1),COLUMN($F$2:$F$65),4)))</f>
        <v/>
      </c>
      <c r="N37" s="94" t="str">
        <f t="array" aca="1" ref="N37" ca="1">IF(ROW()-ROW($H$2:$H$65)+1&gt;ROWS($G$2:$G$65)-COUNTBLANK($G$2:$G$65),"",INDIRECT(ADDRESS(SMALL((IF($G$2:$G$65&lt;&gt;"",ROW($G$2:$G$65),ROW()+ROWS($G$2:$G$65))),ROW()-ROW($H$2:$H$65)+1),COLUMN($G$2:$G$65),4)))</f>
        <v/>
      </c>
      <c r="O37" s="183" t="str">
        <f t="array" aca="1" ref="O37" ca="1">IF(ROW()-ROW($I$2:$I$65)+1&gt;ROWS($H$2:$H$65)-COUNTBLANK($H$2:$H$65),"",INDIRECT(ADDRESS(SMALL((IF($H$2:$H$65&lt;&gt;"",ROW($H$2:$H$65),ROW()+ROWS($H$2:$H$65))),ROW()-ROW($I$2:$I$65)+1),COLUMN($H$2:$H$65),4)))</f>
        <v/>
      </c>
      <c r="P37" s="183" t="str">
        <f t="array" aca="1" ref="P37" ca="1">IF(ROW()-ROW($J$2:$J$65)+1&gt;ROWS($I$2:$I$65)-COUNTBLANK($I$2:$I$65),"",INDIRECT(ADDRESS(SMALL((IF($I$2:$I$65&lt;&gt;"",ROW($I$2:$I$65),ROW()+ROWS($I$2:$I$65))),ROW()-ROW($J$2:$J$65)+1),COLUMN($I$2:$I$65),4)))</f>
        <v/>
      </c>
    </row>
    <row r="38" spans="4:16" ht="23.25" thickBot="1" x14ac:dyDescent="0.3">
      <c r="D38" s="153" t="s">
        <v>231</v>
      </c>
      <c r="E38" s="154" t="str">
        <f>IF(H38="","","2021-2023")</f>
        <v/>
      </c>
      <c r="F38" s="154" t="str">
        <f>IF(H38="","","g")</f>
        <v/>
      </c>
      <c r="G38" s="154" t="str">
        <f t="shared" si="10"/>
        <v/>
      </c>
      <c r="H38" s="188" t="str">
        <f>IF(OR('Matrix-Rektum'!M31="-----",'Matrix-Rektum'!M31=""),"",IF(ROUND('Matrix-Rektum'!M31,4)&gt;Berechnung4!J39,Berechnung4!L39,""))</f>
        <v/>
      </c>
      <c r="I38" s="218" t="str">
        <f>IF(H38="","",VLOOKUP(F38,Berechnung4!$I$15:$J$25,2,FALSE))</f>
        <v/>
      </c>
      <c r="J38" s="219" t="str">
        <f t="shared" si="2"/>
        <v/>
      </c>
      <c r="L38" s="94" t="str">
        <f t="array" aca="1" ref="L38" ca="1">IF(ROW()-ROW($F$2:$F$65)+1&gt;ROWS($E$2:$E$65)-COUNTBLANK($E$2:$E$65),"",INDIRECT(ADDRESS(SMALL((IF($E$2:$E$65&gt;"",ROW($E$2:$E$65),ROW()+ROWS($E$2:$E$65))),ROW()-ROW($F$2:$F$65)+1),COLUMN($E$2:$E$65),4)))</f>
        <v/>
      </c>
      <c r="M38" s="94" t="str">
        <f t="array" aca="1" ref="M38" ca="1">IF(ROW()-ROW($G$2:$G$65)+1&gt;ROWS($F$2:$F$65)-COUNTBLANK($F$2:$F$65),"",INDIRECT(ADDRESS(SMALL((IF($F$2:$F$65&lt;&gt;"",ROW($F$2:$F$65),ROW()+ROWS($F$2:$F$65))),ROW()-ROW($G$2:$G$65)+1),COLUMN($F$2:$F$65),4)))</f>
        <v/>
      </c>
      <c r="N38" s="94" t="str">
        <f t="array" aca="1" ref="N38" ca="1">IF(ROW()-ROW($H$2:$H$65)+1&gt;ROWS($G$2:$G$65)-COUNTBLANK($G$2:$G$65),"",INDIRECT(ADDRESS(SMALL((IF($G$2:$G$65&lt;&gt;"",ROW($G$2:$G$65),ROW()+ROWS($G$2:$G$65))),ROW()-ROW($H$2:$H$65)+1),COLUMN($G$2:$G$65),4)))</f>
        <v/>
      </c>
      <c r="O38" s="183" t="str">
        <f t="array" aca="1" ref="O38" ca="1">IF(ROW()-ROW($I$2:$I$65)+1&gt;ROWS($H$2:$H$65)-COUNTBLANK($H$2:$H$65),"",INDIRECT(ADDRESS(SMALL((IF($H$2:$H$65&lt;&gt;"",ROW($H$2:$H$65),ROW()+ROWS($H$2:$H$65))),ROW()-ROW($I$2:$I$65)+1),COLUMN($H$2:$H$65),4)))</f>
        <v/>
      </c>
      <c r="P38" s="183" t="str">
        <f t="array" aca="1" ref="P38" ca="1">IF(ROW()-ROW($J$2:$J$65)+1&gt;ROWS($I$2:$I$65)-COUNTBLANK($I$2:$I$65),"",INDIRECT(ADDRESS(SMALL((IF($I$2:$I$65&lt;&gt;"",ROW($I$2:$I$65),ROW()+ROWS($I$2:$I$65))),ROW()-ROW($J$2:$J$65)+1),COLUMN($I$2:$I$65),4)))</f>
        <v/>
      </c>
    </row>
    <row r="39" spans="4:16" x14ac:dyDescent="0.25">
      <c r="D39" s="144" t="s">
        <v>345</v>
      </c>
      <c r="E39" s="155" t="str">
        <f>IF(H39="","","2019")</f>
        <v/>
      </c>
      <c r="F39" s="155" t="str">
        <f t="shared" ref="F39:F44" si="14">IF(H39="","","h")</f>
        <v/>
      </c>
      <c r="G39" s="155" t="str">
        <f t="shared" si="10"/>
        <v/>
      </c>
      <c r="H39" s="184" t="str">
        <f>IF(A2="relevant",IF('Matrix-Rektum'!M23="","",IF(ROUND('Matrix-Rektum'!M23,4)&lt;Berechnung4!$J$37,Berechnung4!$L$37,"")),"")</f>
        <v/>
      </c>
      <c r="I39" s="235" t="str">
        <f>IF(H39="","",VLOOKUP(F39,Berechnung4!$I$15:$J$25,2,FALSE))</f>
        <v/>
      </c>
      <c r="J39" s="234" t="str">
        <f t="shared" si="2"/>
        <v/>
      </c>
      <c r="L39" s="94" t="str">
        <f t="array" aca="1" ref="L39" ca="1">IF(ROW()-ROW($F$2:$F$65)+1&gt;ROWS($E$2:$E$65)-COUNTBLANK($E$2:$E$65),"",INDIRECT(ADDRESS(SMALL((IF($E$2:$E$65&gt;"",ROW($E$2:$E$65),ROW()+ROWS($E$2:$E$65))),ROW()-ROW($F$2:$F$65)+1),COLUMN($E$2:$E$65),4)))</f>
        <v/>
      </c>
      <c r="M39" s="94" t="str">
        <f t="array" aca="1" ref="M39" ca="1">IF(ROW()-ROW($G$2:$G$65)+1&gt;ROWS($F$2:$F$65)-COUNTBLANK($F$2:$F$65),"",INDIRECT(ADDRESS(SMALL((IF($F$2:$F$65&lt;&gt;"",ROW($F$2:$F$65),ROW()+ROWS($F$2:$F$65))),ROW()-ROW($G$2:$G$65)+1),COLUMN($F$2:$F$65),4)))</f>
        <v/>
      </c>
      <c r="N39" s="94" t="str">
        <f t="array" aca="1" ref="N39" ca="1">IF(ROW()-ROW($H$2:$H$65)+1&gt;ROWS($G$2:$G$65)-COUNTBLANK($G$2:$G$65),"",INDIRECT(ADDRESS(SMALL((IF($G$2:$G$65&lt;&gt;"",ROW($G$2:$G$65),ROW()+ROWS($G$2:$G$65))),ROW()-ROW($H$2:$H$65)+1),COLUMN($G$2:$G$65),4)))</f>
        <v/>
      </c>
      <c r="O39" s="183" t="str">
        <f t="array" aca="1" ref="O39" ca="1">IF(ROW()-ROW($I$2:$I$65)+1&gt;ROWS($H$2:$H$65)-COUNTBLANK($H$2:$H$65),"",INDIRECT(ADDRESS(SMALL((IF($H$2:$H$65&lt;&gt;"",ROW($H$2:$H$65),ROW()+ROWS($H$2:$H$65))),ROW()-ROW($I$2:$I$65)+1),COLUMN($H$2:$H$65),4)))</f>
        <v/>
      </c>
      <c r="P39" s="183" t="str">
        <f t="array" aca="1" ref="P39" ca="1">IF(ROW()-ROW($J$2:$J$65)+1&gt;ROWS($I$2:$I$65)-COUNTBLANK($I$2:$I$65),"",INDIRECT(ADDRESS(SMALL((IF($I$2:$I$65&lt;&gt;"",ROW($I$2:$I$65),ROW()+ROWS($I$2:$I$65))),ROW()-ROW($J$2:$J$65)+1),COLUMN($I$2:$I$65),4)))</f>
        <v/>
      </c>
    </row>
    <row r="40" spans="4:16" x14ac:dyDescent="0.25">
      <c r="D40" s="964" t="s">
        <v>92</v>
      </c>
      <c r="E40" s="34" t="str">
        <f>IF(H40="","","2020")</f>
        <v/>
      </c>
      <c r="F40" s="34" t="str">
        <f t="shared" si="14"/>
        <v/>
      </c>
      <c r="G40" s="34" t="str">
        <f t="shared" si="10"/>
        <v/>
      </c>
      <c r="H40" s="172" t="str">
        <f>IF(A3="relevant",IF('Matrix-Rektum'!M24="","",IF(ROUND('Matrix-Rektum'!M24,4)&lt;Berechnung4!$J$37,Berechnung4!$L$37,"")),"")</f>
        <v/>
      </c>
      <c r="I40" s="171" t="str">
        <f>IF(H40="","",VLOOKUP(F40,Berechnung4!$I$15:$J$25,2,FALSE))</f>
        <v/>
      </c>
      <c r="J40" s="233" t="str">
        <f t="shared" si="2"/>
        <v/>
      </c>
      <c r="L40" s="94" t="str">
        <f t="array" aca="1" ref="L40" ca="1">IF(ROW()-ROW($F$2:$F$65)+1&gt;ROWS($E$2:$E$65)-COUNTBLANK($E$2:$E$65),"",INDIRECT(ADDRESS(SMALL((IF($E$2:$E$65&gt;"",ROW($E$2:$E$65),ROW()+ROWS($E$2:$E$65))),ROW()-ROW($F$2:$F$65)+1),COLUMN($E$2:$E$65),4)))</f>
        <v/>
      </c>
      <c r="M40" s="94" t="str">
        <f t="array" aca="1" ref="M40" ca="1">IF(ROW()-ROW($G$2:$G$65)+1&gt;ROWS($F$2:$F$65)-COUNTBLANK($F$2:$F$65),"",INDIRECT(ADDRESS(SMALL((IF($F$2:$F$65&lt;&gt;"",ROW($F$2:$F$65),ROW()+ROWS($F$2:$F$65))),ROW()-ROW($G$2:$G$65)+1),COLUMN($F$2:$F$65),4)))</f>
        <v/>
      </c>
      <c r="N40" s="94" t="str">
        <f t="array" aca="1" ref="N40" ca="1">IF(ROW()-ROW($H$2:$H$65)+1&gt;ROWS($G$2:$G$65)-COUNTBLANK($G$2:$G$65),"",INDIRECT(ADDRESS(SMALL((IF($G$2:$G$65&lt;&gt;"",ROW($G$2:$G$65),ROW()+ROWS($G$2:$G$65))),ROW()-ROW($H$2:$H$65)+1),COLUMN($G$2:$G$65),4)))</f>
        <v/>
      </c>
      <c r="O40" s="183" t="str">
        <f t="array" aca="1" ref="O40" ca="1">IF(ROW()-ROW($I$2:$I$65)+1&gt;ROWS($H$2:$H$65)-COUNTBLANK($H$2:$H$65),"",INDIRECT(ADDRESS(SMALL((IF($H$2:$H$65&lt;&gt;"",ROW($H$2:$H$65),ROW()+ROWS($H$2:$H$65))),ROW()-ROW($I$2:$I$65)+1),COLUMN($H$2:$H$65),4)))</f>
        <v/>
      </c>
      <c r="P40" s="183" t="str">
        <f t="array" aca="1" ref="P40" ca="1">IF(ROW()-ROW($J$2:$J$65)+1&gt;ROWS($I$2:$I$65)-COUNTBLANK($I$2:$I$65),"",INDIRECT(ADDRESS(SMALL((IF($I$2:$I$65&lt;&gt;"",ROW($I$2:$I$65),ROW()+ROWS($I$2:$I$65))),ROW()-ROW($J$2:$J$65)+1),COLUMN($I$2:$I$65),4)))</f>
        <v/>
      </c>
    </row>
    <row r="41" spans="4:16" x14ac:dyDescent="0.25">
      <c r="D41" s="964"/>
      <c r="E41" s="34" t="str">
        <f>IF(H41="","","2021")</f>
        <v/>
      </c>
      <c r="F41" s="34" t="str">
        <f t="shared" si="14"/>
        <v/>
      </c>
      <c r="G41" s="34" t="str">
        <f t="shared" si="10"/>
        <v/>
      </c>
      <c r="H41" s="172" t="str">
        <f>IF(A4="relevant",IF('Matrix-Rektum'!M25="","",IF(ROUND('Matrix-Rektum'!M25,4)&lt;Berechnung4!$J$37,Berechnung4!$L$37,"")),"")</f>
        <v/>
      </c>
      <c r="I41" s="171" t="str">
        <f>IF(H41="","",VLOOKUP(F41,Berechnung4!$I$15:$J$25,2,FALSE))</f>
        <v/>
      </c>
      <c r="J41" s="233" t="str">
        <f t="shared" si="2"/>
        <v/>
      </c>
      <c r="L41" s="94" t="str">
        <f t="array" aca="1" ref="L41" ca="1">IF(ROW()-ROW($F$2:$F$65)+1&gt;ROWS($E$2:$E$65)-COUNTBLANK($E$2:$E$65),"",INDIRECT(ADDRESS(SMALL((IF($E$2:$E$65&gt;"",ROW($E$2:$E$65),ROW()+ROWS($E$2:$E$65))),ROW()-ROW($F$2:$F$65)+1),COLUMN($E$2:$E$65),4)))</f>
        <v/>
      </c>
      <c r="M41" s="94" t="str">
        <f t="array" aca="1" ref="M41" ca="1">IF(ROW()-ROW($G$2:$G$65)+1&gt;ROWS($F$2:$F$65)-COUNTBLANK($F$2:$F$65),"",INDIRECT(ADDRESS(SMALL((IF($F$2:$F$65&lt;&gt;"",ROW($F$2:$F$65),ROW()+ROWS($F$2:$F$65))),ROW()-ROW($G$2:$G$65)+1),COLUMN($F$2:$F$65),4)))</f>
        <v/>
      </c>
      <c r="N41" s="94" t="str">
        <f t="array" aca="1" ref="N41" ca="1">IF(ROW()-ROW($H$2:$H$65)+1&gt;ROWS($G$2:$G$65)-COUNTBLANK($G$2:$G$65),"",INDIRECT(ADDRESS(SMALL((IF($G$2:$G$65&lt;&gt;"",ROW($G$2:$G$65),ROW()+ROWS($G$2:$G$65))),ROW()-ROW($H$2:$H$65)+1),COLUMN($G$2:$G$65),4)))</f>
        <v/>
      </c>
      <c r="O41" s="183" t="str">
        <f t="array" aca="1" ref="O41" ca="1">IF(ROW()-ROW($I$2:$I$65)+1&gt;ROWS($H$2:$H$65)-COUNTBLANK($H$2:$H$65),"",INDIRECT(ADDRESS(SMALL((IF($H$2:$H$65&lt;&gt;"",ROW($H$2:$H$65),ROW()+ROWS($H$2:$H$65))),ROW()-ROW($I$2:$I$65)+1),COLUMN($H$2:$H$65),4)))</f>
        <v/>
      </c>
      <c r="P41" s="183" t="str">
        <f t="array" aca="1" ref="P41" ca="1">IF(ROW()-ROW($J$2:$J$65)+1&gt;ROWS($I$2:$I$65)-COUNTBLANK($I$2:$I$65),"",INDIRECT(ADDRESS(SMALL((IF($I$2:$I$65&lt;&gt;"",ROW($I$2:$I$65),ROW()+ROWS($I$2:$I$65))),ROW()-ROW($J$2:$J$65)+1),COLUMN($I$2:$I$65),4)))</f>
        <v/>
      </c>
    </row>
    <row r="42" spans="4:16" x14ac:dyDescent="0.25">
      <c r="D42" s="964"/>
      <c r="E42" s="34" t="str">
        <f>IF(H42="","","2022")</f>
        <v/>
      </c>
      <c r="F42" s="34" t="str">
        <f t="shared" si="14"/>
        <v/>
      </c>
      <c r="G42" s="34" t="str">
        <f t="shared" si="10"/>
        <v/>
      </c>
      <c r="H42" s="172" t="str">
        <f>IF(A5="relevant",IF('Matrix-Rektum'!M26="","",IF(ROUND('Matrix-Rektum'!M26,4)&lt;Berechnung4!$J$37,Berechnung4!$L$37,"")),"")</f>
        <v/>
      </c>
      <c r="I42" s="171" t="str">
        <f>IF(H42="","",VLOOKUP(F42,Berechnung4!$I$15:$J$25,2,FALSE))</f>
        <v/>
      </c>
      <c r="J42" s="233" t="str">
        <f t="shared" si="2"/>
        <v/>
      </c>
      <c r="L42" s="94" t="str">
        <f t="array" aca="1" ref="L42" ca="1">IF(ROW()-ROW($F$2:$F$65)+1&gt;ROWS($E$2:$E$65)-COUNTBLANK($E$2:$E$65),"",INDIRECT(ADDRESS(SMALL((IF($E$2:$E$65&gt;"",ROW($E$2:$E$65),ROW()+ROWS($E$2:$E$65))),ROW()-ROW($F$2:$F$65)+1),COLUMN($E$2:$E$65),4)))</f>
        <v/>
      </c>
      <c r="M42" s="94" t="str">
        <f t="array" aca="1" ref="M42" ca="1">IF(ROW()-ROW($G$2:$G$65)+1&gt;ROWS($F$2:$F$65)-COUNTBLANK($F$2:$F$65),"",INDIRECT(ADDRESS(SMALL((IF($F$2:$F$65&lt;&gt;"",ROW($F$2:$F$65),ROW()+ROWS($F$2:$F$65))),ROW()-ROW($G$2:$G$65)+1),COLUMN($F$2:$F$65),4)))</f>
        <v/>
      </c>
      <c r="N42" s="94" t="str">
        <f t="array" aca="1" ref="N42" ca="1">IF(ROW()-ROW($H$2:$H$65)+1&gt;ROWS($G$2:$G$65)-COUNTBLANK($G$2:$G$65),"",INDIRECT(ADDRESS(SMALL((IF($G$2:$G$65&lt;&gt;"",ROW($G$2:$G$65),ROW()+ROWS($G$2:$G$65))),ROW()-ROW($H$2:$H$65)+1),COLUMN($G$2:$G$65),4)))</f>
        <v/>
      </c>
      <c r="O42" s="183" t="str">
        <f t="array" aca="1" ref="O42" ca="1">IF(ROW()-ROW($I$2:$I$65)+1&gt;ROWS($H$2:$H$65)-COUNTBLANK($H$2:$H$65),"",INDIRECT(ADDRESS(SMALL((IF($H$2:$H$65&lt;&gt;"",ROW($H$2:$H$65),ROW()+ROWS($H$2:$H$65))),ROW()-ROW($I$2:$I$65)+1),COLUMN($H$2:$H$65),4)))</f>
        <v/>
      </c>
      <c r="P42" s="183" t="str">
        <f t="array" aca="1" ref="P42" ca="1">IF(ROW()-ROW($J$2:$J$65)+1&gt;ROWS($I$2:$I$65)-COUNTBLANK($I$2:$I$65),"",INDIRECT(ADDRESS(SMALL((IF($I$2:$I$65&lt;&gt;"",ROW($I$2:$I$65),ROW()+ROWS($I$2:$I$65))),ROW()-ROW($J$2:$J$65)+1),COLUMN($I$2:$I$65),4)))</f>
        <v/>
      </c>
    </row>
    <row r="43" spans="4:16" x14ac:dyDescent="0.25">
      <c r="D43" s="964"/>
      <c r="E43" s="34" t="str">
        <f>IF(H43="","","2023")</f>
        <v/>
      </c>
      <c r="F43" s="34" t="str">
        <f t="shared" si="14"/>
        <v/>
      </c>
      <c r="G43" s="34" t="str">
        <f t="shared" si="10"/>
        <v/>
      </c>
      <c r="H43" s="172" t="str">
        <f>IF(A6="relevant",IF('Matrix-Rektum'!M27="","",IF(ROUND('Matrix-Rektum'!M27,4)&lt;Berechnung4!$J$37,Berechnung4!$L$37,"")),"")</f>
        <v/>
      </c>
      <c r="I43" s="171" t="str">
        <f>IF(H43="","",VLOOKUP(F43,Berechnung4!$I$15:$J$25,2,FALSE))</f>
        <v/>
      </c>
      <c r="J43" s="233" t="str">
        <f t="shared" si="2"/>
        <v/>
      </c>
      <c r="L43" s="94" t="str">
        <f t="array" aca="1" ref="L43" ca="1">IF(ROW()-ROW($F$2:$F$65)+1&gt;ROWS($E$2:$E$65)-COUNTBLANK($E$2:$E$65),"",INDIRECT(ADDRESS(SMALL((IF($E$2:$E$65&gt;"",ROW($E$2:$E$65),ROW()+ROWS($E$2:$E$65))),ROW()-ROW($F$2:$F$65)+1),COLUMN($E$2:$E$65),4)))</f>
        <v/>
      </c>
      <c r="M43" s="94" t="str">
        <f t="array" aca="1" ref="M43" ca="1">IF(ROW()-ROW($G$2:$G$65)+1&gt;ROWS($F$2:$F$65)-COUNTBLANK($F$2:$F$65),"",INDIRECT(ADDRESS(SMALL((IF($F$2:$F$65&lt;&gt;"",ROW($F$2:$F$65),ROW()+ROWS($F$2:$F$65))),ROW()-ROW($G$2:$G$65)+1),COLUMN($F$2:$F$65),4)))</f>
        <v/>
      </c>
      <c r="N43" s="94" t="str">
        <f t="array" aca="1" ref="N43" ca="1">IF(ROW()-ROW($H$2:$H$65)+1&gt;ROWS($G$2:$G$65)-COUNTBLANK($G$2:$G$65),"",INDIRECT(ADDRESS(SMALL((IF($G$2:$G$65&lt;&gt;"",ROW($G$2:$G$65),ROW()+ROWS($G$2:$G$65))),ROW()-ROW($H$2:$H$65)+1),COLUMN($G$2:$G$65),4)))</f>
        <v/>
      </c>
      <c r="O43" s="183" t="str">
        <f t="array" aca="1" ref="O43" ca="1">IF(ROW()-ROW($I$2:$I$65)+1&gt;ROWS($H$2:$H$65)-COUNTBLANK($H$2:$H$65),"",INDIRECT(ADDRESS(SMALL((IF($H$2:$H$65&lt;&gt;"",ROW($H$2:$H$65),ROW()+ROWS($H$2:$H$65))),ROW()-ROW($I$2:$I$65)+1),COLUMN($H$2:$H$65),4)))</f>
        <v/>
      </c>
      <c r="P43" s="183" t="str">
        <f t="array" aca="1" ref="P43" ca="1">IF(ROW()-ROW($J$2:$J$65)+1&gt;ROWS($I$2:$I$65)-COUNTBLANK($I$2:$I$65),"",INDIRECT(ADDRESS(SMALL((IF($I$2:$I$65&lt;&gt;"",ROW($I$2:$I$65),ROW()+ROWS($I$2:$I$65))),ROW()-ROW($J$2:$J$65)+1),COLUMN($I$2:$I$65),4)))</f>
        <v/>
      </c>
    </row>
    <row r="44" spans="4:16" x14ac:dyDescent="0.25">
      <c r="D44" s="466" t="s">
        <v>232</v>
      </c>
      <c r="E44" s="240" t="str">
        <f>IF(H44="","","2024")</f>
        <v/>
      </c>
      <c r="F44" s="240" t="str">
        <f t="shared" si="14"/>
        <v/>
      </c>
      <c r="G44" s="240" t="str">
        <f t="shared" si="10"/>
        <v/>
      </c>
      <c r="H44" s="460"/>
      <c r="I44" s="241" t="str">
        <f>IF(H44="","",VLOOKUP(F44,Berechnung4!$I$15:$J$25,2,FALSE))</f>
        <v/>
      </c>
      <c r="J44" s="242" t="str">
        <f t="shared" si="2"/>
        <v/>
      </c>
      <c r="L44" s="94" t="str">
        <f t="array" aca="1" ref="L44" ca="1">IF(ROW()-ROW($F$2:$F$65)+1&gt;ROWS($E$2:$E$65)-COUNTBLANK($E$2:$E$65),"",INDIRECT(ADDRESS(SMALL((IF($E$2:$E$65&gt;"",ROW($E$2:$E$65),ROW()+ROWS($E$2:$E$65))),ROW()-ROW($F$2:$F$65)+1),COLUMN($E$2:$E$65),4)))</f>
        <v/>
      </c>
      <c r="M44" s="94" t="str">
        <f t="array" aca="1" ref="M44" ca="1">IF(ROW()-ROW($G$2:$G$65)+1&gt;ROWS($F$2:$F$65)-COUNTBLANK($F$2:$F$65),"",INDIRECT(ADDRESS(SMALL((IF($F$2:$F$65&lt;&gt;"",ROW($F$2:$F$65),ROW()+ROWS($F$2:$F$65))),ROW()-ROW($G$2:$G$65)+1),COLUMN($F$2:$F$65),4)))</f>
        <v/>
      </c>
      <c r="N44" s="94" t="str">
        <f t="array" aca="1" ref="N44" ca="1">IF(ROW()-ROW($H$2:$H$65)+1&gt;ROWS($G$2:$G$65)-COUNTBLANK($G$2:$G$65),"",INDIRECT(ADDRESS(SMALL((IF($G$2:$G$65&lt;&gt;"",ROW($G$2:$G$65),ROW()+ROWS($G$2:$G$65))),ROW()-ROW($H$2:$H$65)+1),COLUMN($G$2:$G$65),4)))</f>
        <v/>
      </c>
      <c r="O44" s="183" t="str">
        <f t="array" aca="1" ref="O44" ca="1">IF(ROW()-ROW($I$2:$I$65)+1&gt;ROWS($H$2:$H$65)-COUNTBLANK($H$2:$H$65),"",INDIRECT(ADDRESS(SMALL((IF($H$2:$H$65&lt;&gt;"",ROW($H$2:$H$65),ROW()+ROWS($H$2:$H$65))),ROW()-ROW($I$2:$I$65)+1),COLUMN($H$2:$H$65),4)))</f>
        <v/>
      </c>
      <c r="P44" s="183" t="str">
        <f t="array" aca="1" ref="P44" ca="1">IF(ROW()-ROW($J$2:$J$65)+1&gt;ROWS($I$2:$I$65)-COUNTBLANK($I$2:$I$65),"",INDIRECT(ADDRESS(SMALL((IF($I$2:$I$65&lt;&gt;"",ROW($I$2:$I$65),ROW()+ROWS($I$2:$I$65))),ROW()-ROW($J$2:$J$65)+1),COLUMN($I$2:$I$65),4)))</f>
        <v/>
      </c>
    </row>
    <row r="45" spans="4:16" ht="15.75" thickBot="1" x14ac:dyDescent="0.3">
      <c r="D45" s="469"/>
      <c r="E45" s="240" t="str">
        <f>IF(H45="","","2025")</f>
        <v/>
      </c>
      <c r="F45" s="240" t="str">
        <f t="shared" ref="F45" si="15">IF(H45="","","h")</f>
        <v/>
      </c>
      <c r="G45" s="240" t="str">
        <f t="shared" ref="G45" si="16">IF(H45="","","6")</f>
        <v/>
      </c>
      <c r="H45" s="460"/>
      <c r="I45" s="241" t="str">
        <f>IF(H45="","",VLOOKUP(F45,Berechnung4!$I$15:$J$25,2,FALSE))</f>
        <v/>
      </c>
      <c r="J45" s="242" t="str">
        <f t="shared" ref="J45" si="17">IF(H45&lt;&gt;"",1,"")</f>
        <v/>
      </c>
      <c r="L45" s="94" t="str">
        <f t="array" aca="1" ref="L45" ca="1">IF(ROW()-ROW($F$2:$F$65)+1&gt;ROWS($E$2:$E$65)-COUNTBLANK($E$2:$E$65),"",INDIRECT(ADDRESS(SMALL((IF($E$2:$E$65&gt;"",ROW($E$2:$E$65),ROW()+ROWS($E$2:$E$65))),ROW()-ROW($F$2:$F$65)+1),COLUMN($E$2:$E$65),4)))</f>
        <v/>
      </c>
      <c r="M45" s="94" t="str">
        <f t="array" aca="1" ref="M45" ca="1">IF(ROW()-ROW($G$2:$G$65)+1&gt;ROWS($F$2:$F$65)-COUNTBLANK($F$2:$F$65),"",INDIRECT(ADDRESS(SMALL((IF($F$2:$F$65&lt;&gt;"",ROW($F$2:$F$65),ROW()+ROWS($F$2:$F$65))),ROW()-ROW($G$2:$G$65)+1),COLUMN($F$2:$F$65),4)))</f>
        <v/>
      </c>
      <c r="N45" s="94" t="str">
        <f t="array" aca="1" ref="N45" ca="1">IF(ROW()-ROW($H$2:$H$65)+1&gt;ROWS($G$2:$G$65)-COUNTBLANK($G$2:$G$65),"",INDIRECT(ADDRESS(SMALL((IF($G$2:$G$65&lt;&gt;"",ROW($G$2:$G$65),ROW()+ROWS($G$2:$G$65))),ROW()-ROW($H$2:$H$65)+1),COLUMN($G$2:$G$65),4)))</f>
        <v/>
      </c>
      <c r="O45" s="183" t="str">
        <f t="array" aca="1" ref="O45" ca="1">IF(ROW()-ROW($I$2:$I$65)+1&gt;ROWS($H$2:$H$65)-COUNTBLANK($H$2:$H$65),"",INDIRECT(ADDRESS(SMALL((IF($H$2:$H$65&lt;&gt;"",ROW($H$2:$H$65),ROW()+ROWS($H$2:$H$65))),ROW()-ROW($I$2:$I$65)+1),COLUMN($H$2:$H$65),4)))</f>
        <v/>
      </c>
      <c r="P45" s="183" t="str">
        <f t="array" aca="1" ref="P45" ca="1">IF(ROW()-ROW($J$2:$J$65)+1&gt;ROWS($I$2:$I$65)-COUNTBLANK($I$2:$I$65),"",INDIRECT(ADDRESS(SMALL((IF($I$2:$I$65&lt;&gt;"",ROW($I$2:$I$65),ROW()+ROWS($I$2:$I$65))),ROW()-ROW($J$2:$J$65)+1),COLUMN($I$2:$I$65),4)))</f>
        <v/>
      </c>
    </row>
    <row r="46" spans="4:16" x14ac:dyDescent="0.25">
      <c r="D46" s="144" t="s">
        <v>345</v>
      </c>
      <c r="E46" s="155" t="str">
        <f>IF(H46="","","2019")</f>
        <v/>
      </c>
      <c r="F46" s="155" t="str">
        <f t="shared" ref="F46:F51" si="18">IF(H46="","","i")</f>
        <v/>
      </c>
      <c r="G46" s="155" t="str">
        <f t="shared" si="10"/>
        <v/>
      </c>
      <c r="H46" s="184" t="str">
        <f>IF(A2="relevant",IF('Matrix-Rektum'!P23="","",IF(AND(ROUND('Matrix-Rektum'!P23,4)&lt;Berechnung4!$J$33,(ROUND('Matrix-Rektum'!P23,4))&gt;=0),Berechnung4!$L$33,"")),"")</f>
        <v/>
      </c>
      <c r="I46" s="235" t="str">
        <f>IF(H46="","",VLOOKUP(F46,Berechnung4!$I$15:$J$25,2,FALSE))</f>
        <v/>
      </c>
      <c r="J46" s="234" t="str">
        <f t="shared" si="2"/>
        <v/>
      </c>
      <c r="L46" s="94" t="str">
        <f t="array" aca="1" ref="L46" ca="1">IF(ROW()-ROW($F$2:$F$65)+1&gt;ROWS($E$2:$E$65)-COUNTBLANK($E$2:$E$65),"",INDIRECT(ADDRESS(SMALL((IF($E$2:$E$65&gt;"",ROW($E$2:$E$65),ROW()+ROWS($E$2:$E$65))),ROW()-ROW($F$2:$F$65)+1),COLUMN($E$2:$E$65),4)))</f>
        <v/>
      </c>
      <c r="M46" s="94" t="str">
        <f t="array" aca="1" ref="M46" ca="1">IF(ROW()-ROW($G$2:$G$65)+1&gt;ROWS($F$2:$F$65)-COUNTBLANK($F$2:$F$65),"",INDIRECT(ADDRESS(SMALL((IF($F$2:$F$65&lt;&gt;"",ROW($F$2:$F$65),ROW()+ROWS($F$2:$F$65))),ROW()-ROW($G$2:$G$65)+1),COLUMN($F$2:$F$65),4)))</f>
        <v/>
      </c>
      <c r="N46" s="94" t="str">
        <f t="array" aca="1" ref="N46" ca="1">IF(ROW()-ROW($H$2:$H$65)+1&gt;ROWS($G$2:$G$65)-COUNTBLANK($G$2:$G$65),"",INDIRECT(ADDRESS(SMALL((IF($G$2:$G$65&lt;&gt;"",ROW($G$2:$G$65),ROW()+ROWS($G$2:$G$65))),ROW()-ROW($H$2:$H$65)+1),COLUMN($G$2:$G$65),4)))</f>
        <v/>
      </c>
      <c r="O46" s="183" t="str">
        <f t="array" aca="1" ref="O46" ca="1">IF(ROW()-ROW($I$2:$I$65)+1&gt;ROWS($H$2:$H$65)-COUNTBLANK($H$2:$H$65),"",INDIRECT(ADDRESS(SMALL((IF($H$2:$H$65&lt;&gt;"",ROW($H$2:$H$65),ROW()+ROWS($H$2:$H$65))),ROW()-ROW($I$2:$I$65)+1),COLUMN($H$2:$H$65),4)))</f>
        <v/>
      </c>
      <c r="P46" s="183" t="str">
        <f t="array" aca="1" ref="P46" ca="1">IF(ROW()-ROW($J$2:$J$65)+1&gt;ROWS($I$2:$I$65)-COUNTBLANK($I$2:$I$65),"",INDIRECT(ADDRESS(SMALL((IF($I$2:$I$65&lt;&gt;"",ROW($I$2:$I$65),ROW()+ROWS($I$2:$I$65))),ROW()-ROW($J$2:$J$65)+1),COLUMN($I$2:$I$65),4)))</f>
        <v/>
      </c>
    </row>
    <row r="47" spans="4:16" x14ac:dyDescent="0.25">
      <c r="D47" s="964" t="s">
        <v>391</v>
      </c>
      <c r="E47" s="34" t="str">
        <f>IF(H47="","","2020")</f>
        <v/>
      </c>
      <c r="F47" s="34" t="str">
        <f t="shared" si="18"/>
        <v/>
      </c>
      <c r="G47" s="34" t="str">
        <f t="shared" si="10"/>
        <v/>
      </c>
      <c r="H47" s="172" t="str">
        <f>IF(A3="relevant",IF('Matrix-Rektum'!P24="","",IF(AND(ROUND('Matrix-Rektum'!P24,4)&lt;Berechnung4!$J$33,(ROUND('Matrix-Rektum'!P24,4))&gt;=0),Berechnung4!$L$33,"")),"")</f>
        <v/>
      </c>
      <c r="I47" s="171" t="str">
        <f>IF(H47="","",VLOOKUP(F47,Berechnung4!$I$15:$J$25,2,FALSE))</f>
        <v/>
      </c>
      <c r="J47" s="233" t="str">
        <f t="shared" si="2"/>
        <v/>
      </c>
      <c r="L47" s="94" t="str">
        <f t="array" aca="1" ref="L47" ca="1">IF(ROW()-ROW($F$2:$F$65)+1&gt;ROWS($E$2:$E$65)-COUNTBLANK($E$2:$E$65),"",INDIRECT(ADDRESS(SMALL((IF($E$2:$E$65&gt;"",ROW($E$2:$E$65),ROW()+ROWS($E$2:$E$65))),ROW()-ROW($F$2:$F$65)+1),COLUMN($E$2:$E$65),4)))</f>
        <v/>
      </c>
      <c r="M47" s="94" t="str">
        <f t="array" aca="1" ref="M47" ca="1">IF(ROW()-ROW($G$2:$G$65)+1&gt;ROWS($F$2:$F$65)-COUNTBLANK($F$2:$F$65),"",INDIRECT(ADDRESS(SMALL((IF($F$2:$F$65&lt;&gt;"",ROW($F$2:$F$65),ROW()+ROWS($F$2:$F$65))),ROW()-ROW($G$2:$G$65)+1),COLUMN($F$2:$F$65),4)))</f>
        <v/>
      </c>
      <c r="N47" s="94" t="str">
        <f t="array" aca="1" ref="N47" ca="1">IF(ROW()-ROW($H$2:$H$65)+1&gt;ROWS($G$2:$G$65)-COUNTBLANK($G$2:$G$65),"",INDIRECT(ADDRESS(SMALL((IF($G$2:$G$65&lt;&gt;"",ROW($G$2:$G$65),ROW()+ROWS($G$2:$G$65))),ROW()-ROW($H$2:$H$65)+1),COLUMN($G$2:$G$65),4)))</f>
        <v/>
      </c>
      <c r="O47" s="183" t="str">
        <f t="array" aca="1" ref="O47" ca="1">IF(ROW()-ROW($I$2:$I$65)+1&gt;ROWS($H$2:$H$65)-COUNTBLANK($H$2:$H$65),"",INDIRECT(ADDRESS(SMALL((IF($H$2:$H$65&lt;&gt;"",ROW($H$2:$H$65),ROW()+ROWS($H$2:$H$65))),ROW()-ROW($I$2:$I$65)+1),COLUMN($H$2:$H$65),4)))</f>
        <v/>
      </c>
      <c r="P47" s="183" t="str">
        <f t="array" aca="1" ref="P47" ca="1">IF(ROW()-ROW($J$2:$J$65)+1&gt;ROWS($I$2:$I$65)-COUNTBLANK($I$2:$I$65),"",INDIRECT(ADDRESS(SMALL((IF($I$2:$I$65&lt;&gt;"",ROW($I$2:$I$65),ROW()+ROWS($I$2:$I$65))),ROW()-ROW($J$2:$J$65)+1),COLUMN($I$2:$I$65),4)))</f>
        <v/>
      </c>
    </row>
    <row r="48" spans="4:16" x14ac:dyDescent="0.25">
      <c r="D48" s="964"/>
      <c r="E48" s="34" t="str">
        <f>IF(H48="","","2021")</f>
        <v/>
      </c>
      <c r="F48" s="34" t="str">
        <f t="shared" si="18"/>
        <v/>
      </c>
      <c r="G48" s="34" t="str">
        <f t="shared" si="10"/>
        <v/>
      </c>
      <c r="H48" s="172" t="str">
        <f>IF(A4="relevant",IF('Matrix-Rektum'!P25="","",IF(AND(ROUND('Matrix-Rektum'!P25,4)&lt;Berechnung4!$J$33,(ROUND('Matrix-Rektum'!P25,4))&gt;=0),Berechnung4!$L$33,"")),"")</f>
        <v/>
      </c>
      <c r="I48" s="171" t="str">
        <f>IF(H48="","",VLOOKUP(F48,Berechnung4!$I$15:$J$25,2,FALSE))</f>
        <v/>
      </c>
      <c r="J48" s="233" t="str">
        <f t="shared" si="2"/>
        <v/>
      </c>
      <c r="L48" s="94" t="str">
        <f t="array" aca="1" ref="L48" ca="1">IF(ROW()-ROW($F$2:$F$65)+1&gt;ROWS($E$2:$E$65)-COUNTBLANK($E$2:$E$65),"",INDIRECT(ADDRESS(SMALL((IF($E$2:$E$65&gt;"",ROW($E$2:$E$65),ROW()+ROWS($E$2:$E$65))),ROW()-ROW($F$2:$F$65)+1),COLUMN($E$2:$E$65),4)))</f>
        <v/>
      </c>
      <c r="M48" s="94" t="str">
        <f t="array" aca="1" ref="M48" ca="1">IF(ROW()-ROW($G$2:$G$65)+1&gt;ROWS($F$2:$F$65)-COUNTBLANK($F$2:$F$65),"",INDIRECT(ADDRESS(SMALL((IF($F$2:$F$65&lt;&gt;"",ROW($F$2:$F$65),ROW()+ROWS($F$2:$F$65))),ROW()-ROW($G$2:$G$65)+1),COLUMN($F$2:$F$65),4)))</f>
        <v/>
      </c>
      <c r="N48" s="94" t="str">
        <f t="array" aca="1" ref="N48" ca="1">IF(ROW()-ROW($H$2:$H$65)+1&gt;ROWS($G$2:$G$65)-COUNTBLANK($G$2:$G$65),"",INDIRECT(ADDRESS(SMALL((IF($G$2:$G$65&lt;&gt;"",ROW($G$2:$G$65),ROW()+ROWS($G$2:$G$65))),ROW()-ROW($H$2:$H$65)+1),COLUMN($G$2:$G$65),4)))</f>
        <v/>
      </c>
      <c r="O48" s="183" t="str">
        <f t="array" aca="1" ref="O48" ca="1">IF(ROW()-ROW($I$2:$I$65)+1&gt;ROWS($H$2:$H$65)-COUNTBLANK($H$2:$H$65),"",INDIRECT(ADDRESS(SMALL((IF($H$2:$H$65&lt;&gt;"",ROW($H$2:$H$65),ROW()+ROWS($H$2:$H$65))),ROW()-ROW($I$2:$I$65)+1),COLUMN($H$2:$H$65),4)))</f>
        <v/>
      </c>
      <c r="P48" s="183" t="str">
        <f t="array" aca="1" ref="P48" ca="1">IF(ROW()-ROW($J$2:$J$65)+1&gt;ROWS($I$2:$I$65)-COUNTBLANK($I$2:$I$65),"",INDIRECT(ADDRESS(SMALL((IF($I$2:$I$65&lt;&gt;"",ROW($I$2:$I$65),ROW()+ROWS($I$2:$I$65))),ROW()-ROW($J$2:$J$65)+1),COLUMN($I$2:$I$65),4)))</f>
        <v/>
      </c>
    </row>
    <row r="49" spans="4:16" x14ac:dyDescent="0.25">
      <c r="D49" s="964"/>
      <c r="E49" s="34" t="str">
        <f>IF(H49="","","2022")</f>
        <v/>
      </c>
      <c r="F49" s="34" t="str">
        <f t="shared" si="18"/>
        <v/>
      </c>
      <c r="G49" s="34" t="str">
        <f t="shared" si="10"/>
        <v/>
      </c>
      <c r="H49" s="172" t="str">
        <f>IF(A5="relevant",IF('Matrix-Rektum'!P26="","",IF(AND(ROUND('Matrix-Rektum'!P26,4)&lt;Berechnung4!$J$33,(ROUND('Matrix-Rektum'!P26,4))&gt;=0),Berechnung4!$L$33,"")),"")</f>
        <v/>
      </c>
      <c r="I49" s="171" t="str">
        <f>IF(H49="","",VLOOKUP(F49,Berechnung4!$I$15:$J$25,2,FALSE))</f>
        <v/>
      </c>
      <c r="J49" s="233" t="str">
        <f t="shared" si="2"/>
        <v/>
      </c>
      <c r="L49" s="94" t="str">
        <f t="array" aca="1" ref="L49" ca="1">IF(ROW()-ROW($F$2:$F$65)+1&gt;ROWS($E$2:$E$65)-COUNTBLANK($E$2:$E$65),"",INDIRECT(ADDRESS(SMALL((IF($E$2:$E$65&gt;"",ROW($E$2:$E$65),ROW()+ROWS($E$2:$E$65))),ROW()-ROW($F$2:$F$65)+1),COLUMN($E$2:$E$65),4)))</f>
        <v/>
      </c>
      <c r="M49" s="94" t="str">
        <f t="array" aca="1" ref="M49" ca="1">IF(ROW()-ROW($G$2:$G$65)+1&gt;ROWS($F$2:$F$65)-COUNTBLANK($F$2:$F$65),"",INDIRECT(ADDRESS(SMALL((IF($F$2:$F$65&lt;&gt;"",ROW($F$2:$F$65),ROW()+ROWS($F$2:$F$65))),ROW()-ROW($G$2:$G$65)+1),COLUMN($F$2:$F$65),4)))</f>
        <v/>
      </c>
      <c r="N49" s="94" t="str">
        <f t="array" aca="1" ref="N49" ca="1">IF(ROW()-ROW($H$2:$H$65)+1&gt;ROWS($G$2:$G$65)-COUNTBLANK($G$2:$G$65),"",INDIRECT(ADDRESS(SMALL((IF($G$2:$G$65&lt;&gt;"",ROW($G$2:$G$65),ROW()+ROWS($G$2:$G$65))),ROW()-ROW($H$2:$H$65)+1),COLUMN($G$2:$G$65),4)))</f>
        <v/>
      </c>
      <c r="O49" s="183" t="str">
        <f t="array" aca="1" ref="O49" ca="1">IF(ROW()-ROW($I$2:$I$65)+1&gt;ROWS($H$2:$H$65)-COUNTBLANK($H$2:$H$65),"",INDIRECT(ADDRESS(SMALL((IF($H$2:$H$65&lt;&gt;"",ROW($H$2:$H$65),ROW()+ROWS($H$2:$H$65))),ROW()-ROW($I$2:$I$65)+1),COLUMN($H$2:$H$65),4)))</f>
        <v/>
      </c>
      <c r="P49" s="183" t="str">
        <f t="array" aca="1" ref="P49" ca="1">IF(ROW()-ROW($J$2:$J$65)+1&gt;ROWS($I$2:$I$65)-COUNTBLANK($I$2:$I$65),"",INDIRECT(ADDRESS(SMALL((IF($I$2:$I$65&lt;&gt;"",ROW($I$2:$I$65),ROW()+ROWS($I$2:$I$65))),ROW()-ROW($J$2:$J$65)+1),COLUMN($I$2:$I$65),4)))</f>
        <v/>
      </c>
    </row>
    <row r="50" spans="4:16" x14ac:dyDescent="0.25">
      <c r="D50" s="964"/>
      <c r="E50" s="34" t="str">
        <f>IF(H50="","","2023")</f>
        <v/>
      </c>
      <c r="F50" s="34" t="str">
        <f t="shared" si="18"/>
        <v/>
      </c>
      <c r="G50" s="34" t="str">
        <f t="shared" si="10"/>
        <v/>
      </c>
      <c r="H50" s="172" t="str">
        <f>IF(A6="relevant",IF('Matrix-Rektum'!P27="","",IF(AND(ROUND('Matrix-Rektum'!P27,4)&lt;Berechnung4!$J$33,(ROUND('Matrix-Rektum'!P27,4))&gt;=0),Berechnung4!$L$33,"")),"")</f>
        <v/>
      </c>
      <c r="I50" s="171" t="str">
        <f>IF(H50="","",VLOOKUP(F50,Berechnung4!$I$15:$J$25,2,FALSE))</f>
        <v/>
      </c>
      <c r="J50" s="233" t="str">
        <f t="shared" si="2"/>
        <v/>
      </c>
      <c r="L50" s="94" t="str">
        <f t="array" aca="1" ref="L50" ca="1">IF(ROW()-ROW($F$2:$F$65)+1&gt;ROWS($E$2:$E$65)-COUNTBLANK($E$2:$E$65),"",INDIRECT(ADDRESS(SMALL((IF($E$2:$E$65&gt;"",ROW($E$2:$E$65),ROW()+ROWS($E$2:$E$65))),ROW()-ROW($F$2:$F$65)+1),COLUMN($E$2:$E$65),4)))</f>
        <v/>
      </c>
      <c r="M50" s="94" t="str">
        <f t="array" aca="1" ref="M50" ca="1">IF(ROW()-ROW($G$2:$G$65)+1&gt;ROWS($F$2:$F$65)-COUNTBLANK($F$2:$F$65),"",INDIRECT(ADDRESS(SMALL((IF($F$2:$F$65&lt;&gt;"",ROW($F$2:$F$65),ROW()+ROWS($F$2:$F$65))),ROW()-ROW($G$2:$G$65)+1),COLUMN($F$2:$F$65),4)))</f>
        <v/>
      </c>
      <c r="N50" s="94" t="str">
        <f t="array" aca="1" ref="N50" ca="1">IF(ROW()-ROW($H$2:$H$65)+1&gt;ROWS($G$2:$G$65)-COUNTBLANK($G$2:$G$65),"",INDIRECT(ADDRESS(SMALL((IF($G$2:$G$65&lt;&gt;"",ROW($G$2:$G$65),ROW()+ROWS($G$2:$G$65))),ROW()-ROW($H$2:$H$65)+1),COLUMN($G$2:$G$65),4)))</f>
        <v/>
      </c>
      <c r="O50" s="183" t="str">
        <f t="array" aca="1" ref="O50" ca="1">IF(ROW()-ROW($I$2:$I$65)+1&gt;ROWS($H$2:$H$65)-COUNTBLANK($H$2:$H$65),"",INDIRECT(ADDRESS(SMALL((IF($H$2:$H$65&lt;&gt;"",ROW($H$2:$H$65),ROW()+ROWS($H$2:$H$65))),ROW()-ROW($I$2:$I$65)+1),COLUMN($H$2:$H$65),4)))</f>
        <v/>
      </c>
      <c r="P50" s="183" t="str">
        <f t="array" aca="1" ref="P50" ca="1">IF(ROW()-ROW($J$2:$J$65)+1&gt;ROWS($I$2:$I$65)-COUNTBLANK($I$2:$I$65),"",INDIRECT(ADDRESS(SMALL((IF($I$2:$I$65&lt;&gt;"",ROW($I$2:$I$65),ROW()+ROWS($I$2:$I$65))),ROW()-ROW($J$2:$J$65)+1),COLUMN($I$2:$I$65),4)))</f>
        <v/>
      </c>
    </row>
    <row r="51" spans="4:16" x14ac:dyDescent="0.25">
      <c r="D51" s="466" t="s">
        <v>233</v>
      </c>
      <c r="E51" s="240" t="str">
        <f>IF(H51="","","2024")</f>
        <v/>
      </c>
      <c r="F51" s="240" t="str">
        <f t="shared" si="18"/>
        <v/>
      </c>
      <c r="G51" s="240" t="str">
        <f t="shared" si="10"/>
        <v/>
      </c>
      <c r="H51" s="238"/>
      <c r="I51" s="241" t="str">
        <f>IF(H51="","",VLOOKUP(F51,Berechnung4!$I$15:$J$25,2,FALSE))</f>
        <v/>
      </c>
      <c r="J51" s="242" t="str">
        <f t="shared" si="2"/>
        <v/>
      </c>
      <c r="L51" s="94" t="str">
        <f t="array" aca="1" ref="L51" ca="1">IF(ROW()-ROW($F$2:$F$65)+1&gt;ROWS($E$2:$E$65)-COUNTBLANK($E$2:$E$65),"",INDIRECT(ADDRESS(SMALL((IF($E$2:$E$65&gt;"",ROW($E$2:$E$65),ROW()+ROWS($E$2:$E$65))),ROW()-ROW($F$2:$F$65)+1),COLUMN($E$2:$E$65),4)))</f>
        <v/>
      </c>
      <c r="M51" s="94" t="str">
        <f t="array" aca="1" ref="M51" ca="1">IF(ROW()-ROW($G$2:$G$65)+1&gt;ROWS($F$2:$F$65)-COUNTBLANK($F$2:$F$65),"",INDIRECT(ADDRESS(SMALL((IF($F$2:$F$65&lt;&gt;"",ROW($F$2:$F$65),ROW()+ROWS($F$2:$F$65))),ROW()-ROW($G$2:$G$65)+1),COLUMN($F$2:$F$65),4)))</f>
        <v/>
      </c>
      <c r="N51" s="94" t="str">
        <f t="array" aca="1" ref="N51" ca="1">IF(ROW()-ROW($H$2:$H$65)+1&gt;ROWS($G$2:$G$65)-COUNTBLANK($G$2:$G$65),"",INDIRECT(ADDRESS(SMALL((IF($G$2:$G$65&lt;&gt;"",ROW($G$2:$G$65),ROW()+ROWS($G$2:$G$65))),ROW()-ROW($H$2:$H$65)+1),COLUMN($G$2:$G$65),4)))</f>
        <v/>
      </c>
      <c r="O51" s="183" t="str">
        <f t="array" aca="1" ref="O51" ca="1">IF(ROW()-ROW($I$2:$I$65)+1&gt;ROWS($H$2:$H$65)-COUNTBLANK($H$2:$H$65),"",INDIRECT(ADDRESS(SMALL((IF($H$2:$H$65&lt;&gt;"",ROW($H$2:$H$65),ROW()+ROWS($H$2:$H$65))),ROW()-ROW($I$2:$I$65)+1),COLUMN($H$2:$H$65),4)))</f>
        <v/>
      </c>
      <c r="P51" s="183" t="str">
        <f t="array" aca="1" ref="P51" ca="1">IF(ROW()-ROW($J$2:$J$65)+1&gt;ROWS($I$2:$I$65)-COUNTBLANK($I$2:$I$65),"",INDIRECT(ADDRESS(SMALL((IF($I$2:$I$65&lt;&gt;"",ROW($I$2:$I$65),ROW()+ROWS($I$2:$I$65))),ROW()-ROW($J$2:$J$65)+1),COLUMN($I$2:$I$65),4)))</f>
        <v/>
      </c>
    </row>
    <row r="52" spans="4:16" ht="15.75" thickBot="1" x14ac:dyDescent="0.3">
      <c r="D52" s="469"/>
      <c r="E52" s="240" t="str">
        <f>IF(H52="","","2025")</f>
        <v/>
      </c>
      <c r="F52" s="240" t="str">
        <f t="shared" ref="F52" si="19">IF(H52="","","i")</f>
        <v/>
      </c>
      <c r="G52" s="240" t="str">
        <f t="shared" ref="G52" si="20">IF(H52="","","6")</f>
        <v/>
      </c>
      <c r="H52" s="238"/>
      <c r="I52" s="241" t="str">
        <f>IF(H52="","",VLOOKUP(F52,Berechnung4!$I$15:$J$25,2,FALSE))</f>
        <v/>
      </c>
      <c r="J52" s="242" t="str">
        <f t="shared" ref="J52" si="21">IF(H52&lt;&gt;"",1,"")</f>
        <v/>
      </c>
      <c r="L52" s="94" t="str">
        <f t="array" aca="1" ref="L52" ca="1">IF(ROW()-ROW($F$2:$F$65)+1&gt;ROWS($E$2:$E$65)-COUNTBLANK($E$2:$E$65),"",INDIRECT(ADDRESS(SMALL((IF($E$2:$E$65&gt;"",ROW($E$2:$E$65),ROW()+ROWS($E$2:$E$65))),ROW()-ROW($F$2:$F$65)+1),COLUMN($E$2:$E$65),4)))</f>
        <v/>
      </c>
      <c r="M52" s="94" t="str">
        <f t="array" aca="1" ref="M52" ca="1">IF(ROW()-ROW($G$2:$G$65)+1&gt;ROWS($F$2:$F$65)-COUNTBLANK($F$2:$F$65),"",INDIRECT(ADDRESS(SMALL((IF($F$2:$F$65&lt;&gt;"",ROW($F$2:$F$65),ROW()+ROWS($F$2:$F$65))),ROW()-ROW($G$2:$G$65)+1),COLUMN($F$2:$F$65),4)))</f>
        <v/>
      </c>
      <c r="N52" s="94" t="str">
        <f t="array" aca="1" ref="N52" ca="1">IF(ROW()-ROW($H$2:$H$65)+1&gt;ROWS($G$2:$G$65)-COUNTBLANK($G$2:$G$65),"",INDIRECT(ADDRESS(SMALL((IF($G$2:$G$65&lt;&gt;"",ROW($G$2:$G$65),ROW()+ROWS($G$2:$G$65))),ROW()-ROW($H$2:$H$65)+1),COLUMN($G$2:$G$65),4)))</f>
        <v/>
      </c>
      <c r="O52" s="183" t="str">
        <f t="array" aca="1" ref="O52" ca="1">IF(ROW()-ROW($I$2:$I$65)+1&gt;ROWS($H$2:$H$65)-COUNTBLANK($H$2:$H$65),"",INDIRECT(ADDRESS(SMALL((IF($H$2:$H$65&lt;&gt;"",ROW($H$2:$H$65),ROW()+ROWS($H$2:$H$65))),ROW()-ROW($I$2:$I$65)+1),COLUMN($H$2:$H$65),4)))</f>
        <v/>
      </c>
      <c r="P52" s="183" t="str">
        <f t="array" aca="1" ref="P52" ca="1">IF(ROW()-ROW($J$2:$J$65)+1&gt;ROWS($I$2:$I$65)-COUNTBLANK($I$2:$I$65),"",INDIRECT(ADDRESS(SMALL((IF($I$2:$I$65&lt;&gt;"",ROW($I$2:$I$65),ROW()+ROWS($I$2:$I$65))),ROW()-ROW($J$2:$J$65)+1),COLUMN($I$2:$I$65),4)))</f>
        <v/>
      </c>
    </row>
    <row r="53" spans="4:16" x14ac:dyDescent="0.25">
      <c r="D53" s="144" t="s">
        <v>345</v>
      </c>
      <c r="E53" s="155" t="str">
        <f>IF(H53="","","2019")</f>
        <v/>
      </c>
      <c r="F53" s="155" t="str">
        <f t="shared" ref="F53:F57" si="22">IF(H53="","","j")</f>
        <v/>
      </c>
      <c r="G53" s="155" t="str">
        <f t="shared" si="10"/>
        <v/>
      </c>
      <c r="H53" s="184" t="str">
        <f>IF(A2="relevant",IF('Matrix-Rektum'!Y23="","",IF(AND(ROUND('Matrix-Rektum'!Y23,4)&gt;=Berechnung4!E47,ROUND('Matrix-Rektum'!Y23,4)&lt;=Berechnung4!G47),Berechnung4!L47,IF(ROUND('Matrix-Rektum'!Y23,4)&gt;Berechnung4!J47,Berechnung4!M47,""))),"")</f>
        <v/>
      </c>
      <c r="I53" s="235" t="str">
        <f>IF(H53="","",VLOOKUP(F53,Berechnung4!$I$15:$J$25,2,FALSE))</f>
        <v/>
      </c>
      <c r="J53" s="234" t="str">
        <f t="shared" si="2"/>
        <v/>
      </c>
      <c r="L53" s="94" t="str">
        <f t="array" aca="1" ref="L53" ca="1">IF(ROW()-ROW($F$2:$F$65)+1&gt;ROWS($E$2:$E$65)-COUNTBLANK($E$2:$E$65),"",INDIRECT(ADDRESS(SMALL((IF($E$2:$E$65&gt;"",ROW($E$2:$E$65),ROW()+ROWS($E$2:$E$65))),ROW()-ROW($F$2:$F$65)+1),COLUMN($E$2:$E$65),4)))</f>
        <v/>
      </c>
      <c r="M53" s="94" t="str">
        <f t="array" aca="1" ref="M53" ca="1">IF(ROW()-ROW($G$2:$G$65)+1&gt;ROWS($F$2:$F$65)-COUNTBLANK($F$2:$F$65),"",INDIRECT(ADDRESS(SMALL((IF($F$2:$F$65&lt;&gt;"",ROW($F$2:$F$65),ROW()+ROWS($F$2:$F$65))),ROW()-ROW($G$2:$G$65)+1),COLUMN($F$2:$F$65),4)))</f>
        <v/>
      </c>
      <c r="N53" s="94" t="str">
        <f t="array" aca="1" ref="N53" ca="1">IF(ROW()-ROW($H$2:$H$65)+1&gt;ROWS($G$2:$G$65)-COUNTBLANK($G$2:$G$65),"",INDIRECT(ADDRESS(SMALL((IF($G$2:$G$65&lt;&gt;"",ROW($G$2:$G$65),ROW()+ROWS($G$2:$G$65))),ROW()-ROW($H$2:$H$65)+1),COLUMN($G$2:$G$65),4)))</f>
        <v/>
      </c>
      <c r="O53" s="183" t="str">
        <f t="array" aca="1" ref="O53" ca="1">IF(ROW()-ROW($I$2:$I$65)+1&gt;ROWS($H$2:$H$65)-COUNTBLANK($H$2:$H$65),"",INDIRECT(ADDRESS(SMALL((IF($H$2:$H$65&lt;&gt;"",ROW($H$2:$H$65),ROW()+ROWS($H$2:$H$65))),ROW()-ROW($I$2:$I$65)+1),COLUMN($H$2:$H$65),4)))</f>
        <v/>
      </c>
      <c r="P53" s="183" t="str">
        <f t="array" aca="1" ref="P53" ca="1">IF(ROW()-ROW($J$2:$J$65)+1&gt;ROWS($I$2:$I$65)-COUNTBLANK($I$2:$I$65),"",INDIRECT(ADDRESS(SMALL((IF($I$2:$I$65&lt;&gt;"",ROW($I$2:$I$65),ROW()+ROWS($I$2:$I$65))),ROW()-ROW($J$2:$J$65)+1),COLUMN($I$2:$I$65),4)))</f>
        <v/>
      </c>
    </row>
    <row r="54" spans="4:16" x14ac:dyDescent="0.25">
      <c r="D54" s="962" t="s">
        <v>396</v>
      </c>
      <c r="E54" s="34" t="str">
        <f>IF(H54="","","2020")</f>
        <v/>
      </c>
      <c r="F54" s="34" t="str">
        <f t="shared" si="22"/>
        <v/>
      </c>
      <c r="G54" s="34" t="str">
        <f t="shared" si="10"/>
        <v/>
      </c>
      <c r="H54" s="172" t="str">
        <f>IF(A3="relevant",IF('Matrix-Rektum'!Y24="","",IF(AND(ROUND('Matrix-Rektum'!Y24,4)&gt;=Berechnung4!E48,ROUND('Matrix-Rektum'!Y24,4)&lt;=Berechnung4!G48),Berechnung4!L48,IF(ROUND('Matrix-Rektum'!Y24,4)&gt;Berechnung4!J48,Berechnung4!M48,""))),"")</f>
        <v/>
      </c>
      <c r="I54" s="171" t="str">
        <f>IF(H54="","",VLOOKUP(F54,Berechnung4!$I$15:$J$25,2,FALSE))</f>
        <v/>
      </c>
      <c r="J54" s="233" t="str">
        <f t="shared" si="2"/>
        <v/>
      </c>
      <c r="L54" s="94" t="str">
        <f t="array" aca="1" ref="L54" ca="1">IF(ROW()-ROW($F$2:$F$65)+1&gt;ROWS($E$2:$E$65)-COUNTBLANK($E$2:$E$65),"",INDIRECT(ADDRESS(SMALL((IF($E$2:$E$65&gt;"",ROW($E$2:$E$65),ROW()+ROWS($E$2:$E$65))),ROW()-ROW($F$2:$F$65)+1),COLUMN($E$2:$E$65),4)))</f>
        <v/>
      </c>
      <c r="M54" s="94" t="str">
        <f t="array" aca="1" ref="M54" ca="1">IF(ROW()-ROW($G$2:$G$65)+1&gt;ROWS($F$2:$F$65)-COUNTBLANK($F$2:$F$65),"",INDIRECT(ADDRESS(SMALL((IF($F$2:$F$65&lt;&gt;"",ROW($F$2:$F$65),ROW()+ROWS($F$2:$F$65))),ROW()-ROW($G$2:$G$65)+1),COLUMN($F$2:$F$65),4)))</f>
        <v/>
      </c>
      <c r="N54" s="94" t="str">
        <f t="array" aca="1" ref="N54" ca="1">IF(ROW()-ROW($H$2:$H$65)+1&gt;ROWS($G$2:$G$65)-COUNTBLANK($G$2:$G$65),"",INDIRECT(ADDRESS(SMALL((IF($G$2:$G$65&lt;&gt;"",ROW($G$2:$G$65),ROW()+ROWS($G$2:$G$65))),ROW()-ROW($H$2:$H$65)+1),COLUMN($G$2:$G$65),4)))</f>
        <v/>
      </c>
      <c r="O54" s="183" t="str">
        <f t="array" aca="1" ref="O54" ca="1">IF(ROW()-ROW($I$2:$I$65)+1&gt;ROWS($H$2:$H$65)-COUNTBLANK($H$2:$H$65),"",INDIRECT(ADDRESS(SMALL((IF($H$2:$H$65&lt;&gt;"",ROW($H$2:$H$65),ROW()+ROWS($H$2:$H$65))),ROW()-ROW($I$2:$I$65)+1),COLUMN($H$2:$H$65),4)))</f>
        <v/>
      </c>
      <c r="P54" s="183" t="str">
        <f t="array" aca="1" ref="P54" ca="1">IF(ROW()-ROW($J$2:$J$65)+1&gt;ROWS($I$2:$I$65)-COUNTBLANK($I$2:$I$65),"",INDIRECT(ADDRESS(SMALL((IF($I$2:$I$65&lt;&gt;"",ROW($I$2:$I$65),ROW()+ROWS($I$2:$I$65))),ROW()-ROW($J$2:$J$65)+1),COLUMN($I$2:$I$65),4)))</f>
        <v/>
      </c>
    </row>
    <row r="55" spans="4:16" x14ac:dyDescent="0.25">
      <c r="D55" s="962"/>
      <c r="E55" s="34" t="str">
        <f>IF(H55="","","2021")</f>
        <v/>
      </c>
      <c r="F55" s="34" t="str">
        <f t="shared" si="22"/>
        <v/>
      </c>
      <c r="G55" s="34" t="str">
        <f t="shared" si="10"/>
        <v/>
      </c>
      <c r="H55" s="172" t="str">
        <f>IF(A4="relevant",IF('Matrix-Rektum'!Y25="","",IF(AND(ROUND('Matrix-Rektum'!Y25,4)&gt;=Berechnung4!E49,ROUND('Matrix-Rektum'!Y25,4)&lt;=Berechnung4!G49),Berechnung4!L49,IF(ROUND('Matrix-Rektum'!Y25,4)&gt;Berechnung4!J49,Berechnung4!M49,""))),"")</f>
        <v/>
      </c>
      <c r="I55" s="171" t="str">
        <f>IF(H55="","",VLOOKUP(F55,Berechnung4!$I$15:$J$25,2,FALSE))</f>
        <v/>
      </c>
      <c r="J55" s="233" t="str">
        <f t="shared" si="2"/>
        <v/>
      </c>
      <c r="L55" s="94" t="str">
        <f t="array" aca="1" ref="L55" ca="1">IF(ROW()-ROW($F$2:$F$65)+1&gt;ROWS($E$2:$E$65)-COUNTBLANK($E$2:$E$65),"",INDIRECT(ADDRESS(SMALL((IF($E$2:$E$65&gt;"",ROW($E$2:$E$65),ROW()+ROWS($E$2:$E$65))),ROW()-ROW($F$2:$F$65)+1),COLUMN($E$2:$E$65),4)))</f>
        <v/>
      </c>
      <c r="M55" s="94" t="str">
        <f t="array" aca="1" ref="M55" ca="1">IF(ROW()-ROW($G$2:$G$65)+1&gt;ROWS($F$2:$F$65)-COUNTBLANK($F$2:$F$65),"",INDIRECT(ADDRESS(SMALL((IF($F$2:$F$65&lt;&gt;"",ROW($F$2:$F$65),ROW()+ROWS($F$2:$F$65))),ROW()-ROW($G$2:$G$65)+1),COLUMN($F$2:$F$65),4)))</f>
        <v/>
      </c>
      <c r="N55" s="94" t="str">
        <f t="array" aca="1" ref="N55" ca="1">IF(ROW()-ROW($H$2:$H$65)+1&gt;ROWS($G$2:$G$65)-COUNTBLANK($G$2:$G$65),"",INDIRECT(ADDRESS(SMALL((IF($G$2:$G$65&lt;&gt;"",ROW($G$2:$G$65),ROW()+ROWS($G$2:$G$65))),ROW()-ROW($H$2:$H$65)+1),COLUMN($G$2:$G$65),4)))</f>
        <v/>
      </c>
      <c r="O55" s="183" t="str">
        <f t="array" aca="1" ref="O55" ca="1">IF(ROW()-ROW($I$2:$I$65)+1&gt;ROWS($H$2:$H$65)-COUNTBLANK($H$2:$H$65),"",INDIRECT(ADDRESS(SMALL((IF($H$2:$H$65&lt;&gt;"",ROW($H$2:$H$65),ROW()+ROWS($H$2:$H$65))),ROW()-ROW($I$2:$I$65)+1),COLUMN($H$2:$H$65),4)))</f>
        <v/>
      </c>
      <c r="P55" s="183" t="str">
        <f t="array" aca="1" ref="P55" ca="1">IF(ROW()-ROW($J$2:$J$65)+1&gt;ROWS($I$2:$I$65)-COUNTBLANK($I$2:$I$65),"",INDIRECT(ADDRESS(SMALL((IF($I$2:$I$65&lt;&gt;"",ROW($I$2:$I$65),ROW()+ROWS($I$2:$I$65))),ROW()-ROW($J$2:$J$65)+1),COLUMN($I$2:$I$65),4)))</f>
        <v/>
      </c>
    </row>
    <row r="56" spans="4:16" x14ac:dyDescent="0.25">
      <c r="D56" s="962"/>
      <c r="E56" s="34" t="str">
        <f>IF(H56="","","2022")</f>
        <v/>
      </c>
      <c r="F56" s="34" t="str">
        <f t="shared" si="22"/>
        <v/>
      </c>
      <c r="G56" s="34" t="str">
        <f t="shared" si="10"/>
        <v/>
      </c>
      <c r="H56" s="172" t="str">
        <f>IF(A5="relevant",IF('Matrix-Rektum'!Y26="","",IF(AND(ROUND('Matrix-Rektum'!Y26,4)&gt;=Berechnung4!E50,ROUND('Matrix-Rektum'!Y26,4)&lt;=Berechnung4!G50),Berechnung4!L50,IF(ROUND('Matrix-Rektum'!Y26,4)&gt;Berechnung4!J50,Berechnung4!M50,""))),"")</f>
        <v/>
      </c>
      <c r="I56" s="171" t="str">
        <f>IF(H56="","",VLOOKUP(F56,Berechnung4!$I$15:$J$25,2,FALSE))</f>
        <v/>
      </c>
      <c r="J56" s="233" t="str">
        <f t="shared" si="2"/>
        <v/>
      </c>
      <c r="L56" s="94" t="str">
        <f t="array" aca="1" ref="L56" ca="1">IF(ROW()-ROW($F$2:$F$65)+1&gt;ROWS($E$2:$E$65)-COUNTBLANK($E$2:$E$65),"",INDIRECT(ADDRESS(SMALL((IF($E$2:$E$65&gt;"",ROW($E$2:$E$65),ROW()+ROWS($E$2:$E$65))),ROW()-ROW($F$2:$F$65)+1),COLUMN($E$2:$E$65),4)))</f>
        <v/>
      </c>
      <c r="M56" s="94" t="str">
        <f t="array" aca="1" ref="M56" ca="1">IF(ROW()-ROW($G$2:$G$65)+1&gt;ROWS($F$2:$F$65)-COUNTBLANK($F$2:$F$65),"",INDIRECT(ADDRESS(SMALL((IF($F$2:$F$65&lt;&gt;"",ROW($F$2:$F$65),ROW()+ROWS($F$2:$F$65))),ROW()-ROW($G$2:$G$65)+1),COLUMN($F$2:$F$65),4)))</f>
        <v/>
      </c>
      <c r="N56" s="94" t="str">
        <f t="array" aca="1" ref="N56" ca="1">IF(ROW()-ROW($H$2:$H$65)+1&gt;ROWS($G$2:$G$65)-COUNTBLANK($G$2:$G$65),"",INDIRECT(ADDRESS(SMALL((IF($G$2:$G$65&lt;&gt;"",ROW($G$2:$G$65),ROW()+ROWS($G$2:$G$65))),ROW()-ROW($H$2:$H$65)+1),COLUMN($G$2:$G$65),4)))</f>
        <v/>
      </c>
      <c r="O56" s="183" t="str">
        <f t="array" aca="1" ref="O56" ca="1">IF(ROW()-ROW($I$2:$I$65)+1&gt;ROWS($H$2:$H$65)-COUNTBLANK($H$2:$H$65),"",INDIRECT(ADDRESS(SMALL((IF($H$2:$H$65&lt;&gt;"",ROW($H$2:$H$65),ROW()+ROWS($H$2:$H$65))),ROW()-ROW($I$2:$I$65)+1),COLUMN($H$2:$H$65),4)))</f>
        <v/>
      </c>
      <c r="P56" s="183" t="str">
        <f t="array" aca="1" ref="P56" ca="1">IF(ROW()-ROW($J$2:$J$65)+1&gt;ROWS($I$2:$I$65)-COUNTBLANK($I$2:$I$65),"",INDIRECT(ADDRESS(SMALL((IF($I$2:$I$65&lt;&gt;"",ROW($I$2:$I$65),ROW()+ROWS($I$2:$I$65))),ROW()-ROW($J$2:$J$65)+1),COLUMN($I$2:$I$65),4)))</f>
        <v/>
      </c>
    </row>
    <row r="57" spans="4:16" x14ac:dyDescent="0.25">
      <c r="D57" s="962"/>
      <c r="E57" s="34" t="str">
        <f>IF(H57="","","2023")</f>
        <v/>
      </c>
      <c r="F57" s="34" t="str">
        <f t="shared" si="22"/>
        <v/>
      </c>
      <c r="G57" s="34" t="str">
        <f t="shared" si="10"/>
        <v/>
      </c>
      <c r="H57" s="172" t="str">
        <f>IF(A6="relevant",IF('Matrix-Rektum'!Y27="","",IF(AND(ROUND('Matrix-Rektum'!Y27,4)&gt;=Berechnung4!E51,ROUND('Matrix-Rektum'!Y27,4)&lt;=Berechnung4!G51),Berechnung4!L51,IF(ROUND('Matrix-Rektum'!Y27,4)&gt;Berechnung4!J51,Berechnung4!M51,""))),"")</f>
        <v/>
      </c>
      <c r="I57" s="171" t="str">
        <f>IF(H57="","",VLOOKUP(F57,Berechnung4!$I$15:$J$25,2,FALSE))</f>
        <v/>
      </c>
      <c r="J57" s="233" t="str">
        <f t="shared" si="2"/>
        <v/>
      </c>
      <c r="L57" s="94" t="str">
        <f t="array" aca="1" ref="L57" ca="1">IF(ROW()-ROW($F$2:$F$65)+1&gt;ROWS($E$2:$E$65)-COUNTBLANK($E$2:$E$65),"",INDIRECT(ADDRESS(SMALL((IF($E$2:$E$65&gt;"",ROW($E$2:$E$65),ROW()+ROWS($E$2:$E$65))),ROW()-ROW($F$2:$F$65)+1),COLUMN($E$2:$E$65),4)))</f>
        <v/>
      </c>
      <c r="M57" s="94" t="str">
        <f t="array" aca="1" ref="M57" ca="1">IF(ROW()-ROW($G$2:$G$65)+1&gt;ROWS($F$2:$F$65)-COUNTBLANK($F$2:$F$65),"",INDIRECT(ADDRESS(SMALL((IF($F$2:$F$65&lt;&gt;"",ROW($F$2:$F$65),ROW()+ROWS($F$2:$F$65))),ROW()-ROW($G$2:$G$65)+1),COLUMN($F$2:$F$65),4)))</f>
        <v/>
      </c>
      <c r="N57" s="94" t="str">
        <f t="array" aca="1" ref="N57" ca="1">IF(ROW()-ROW($H$2:$H$65)+1&gt;ROWS($G$2:$G$65)-COUNTBLANK($G$2:$G$65),"",INDIRECT(ADDRESS(SMALL((IF($G$2:$G$65&lt;&gt;"",ROW($G$2:$G$65),ROW()+ROWS($G$2:$G$65))),ROW()-ROW($H$2:$H$65)+1),COLUMN($G$2:$G$65),4)))</f>
        <v/>
      </c>
      <c r="O57" s="183" t="str">
        <f t="array" aca="1" ref="O57" ca="1">IF(ROW()-ROW($I$2:$I$65)+1&gt;ROWS($H$2:$H$65)-COUNTBLANK($H$2:$H$65),"",INDIRECT(ADDRESS(SMALL((IF($H$2:$H$65&lt;&gt;"",ROW($H$2:$H$65),ROW()+ROWS($H$2:$H$65))),ROW()-ROW($I$2:$I$65)+1),COLUMN($H$2:$H$65),4)))</f>
        <v/>
      </c>
      <c r="P57" s="183" t="str">
        <f t="array" aca="1" ref="P57" ca="1">IF(ROW()-ROW($J$2:$J$65)+1&gt;ROWS($I$2:$I$65)-COUNTBLANK($I$2:$I$65),"",INDIRECT(ADDRESS(SMALL((IF($I$2:$I$65&lt;&gt;"",ROW($I$2:$I$65),ROW()+ROWS($I$2:$I$65))),ROW()-ROW($J$2:$J$65)+1),COLUMN($I$2:$I$65),4)))</f>
        <v/>
      </c>
    </row>
    <row r="58" spans="4:16" x14ac:dyDescent="0.25">
      <c r="D58" s="466" t="s">
        <v>234</v>
      </c>
      <c r="E58" s="240"/>
      <c r="F58" s="240"/>
      <c r="G58" s="240"/>
      <c r="H58" s="238"/>
      <c r="I58" s="241"/>
      <c r="J58" s="242"/>
      <c r="L58" s="94" t="str">
        <f t="array" aca="1" ref="L58" ca="1">IF(ROW()-ROW($F$2:$F$65)+1&gt;ROWS($E$2:$E$65)-COUNTBLANK($E$2:$E$65),"",INDIRECT(ADDRESS(SMALL((IF($E$2:$E$65&gt;"",ROW($E$2:$E$65),ROW()+ROWS($E$2:$E$65))),ROW()-ROW($F$2:$F$65)+1),COLUMN($E$2:$E$65),4)))</f>
        <v/>
      </c>
      <c r="M58" s="94" t="str">
        <f t="array" aca="1" ref="M58" ca="1">IF(ROW()-ROW($G$2:$G$65)+1&gt;ROWS($F$2:$F$65)-COUNTBLANK($F$2:$F$65),"",INDIRECT(ADDRESS(SMALL((IF($F$2:$F$65&lt;&gt;"",ROW($F$2:$F$65),ROW()+ROWS($F$2:$F$65))),ROW()-ROW($G$2:$G$65)+1),COLUMN($F$2:$F$65),4)))</f>
        <v/>
      </c>
      <c r="N58" s="94" t="str">
        <f t="array" aca="1" ref="N58" ca="1">IF(ROW()-ROW($H$2:$H$65)+1&gt;ROWS($G$2:$G$65)-COUNTBLANK($G$2:$G$65),"",INDIRECT(ADDRESS(SMALL((IF($G$2:$G$65&lt;&gt;"",ROW($G$2:$G$65),ROW()+ROWS($G$2:$G$65))),ROW()-ROW($H$2:$H$65)+1),COLUMN($G$2:$G$65),4)))</f>
        <v/>
      </c>
      <c r="O58" s="183" t="str">
        <f t="array" aca="1" ref="O58" ca="1">IF(ROW()-ROW($I$2:$I$65)+1&gt;ROWS($H$2:$H$65)-COUNTBLANK($H$2:$H$65),"",INDIRECT(ADDRESS(SMALL((IF($H$2:$H$65&lt;&gt;"",ROW($H$2:$H$65),ROW()+ROWS($H$2:$H$65))),ROW()-ROW($I$2:$I$65)+1),COLUMN($H$2:$H$65),4)))</f>
        <v/>
      </c>
      <c r="P58" s="183" t="str">
        <f t="array" aca="1" ref="P58" ca="1">IF(ROW()-ROW($J$2:$J$65)+1&gt;ROWS($I$2:$I$65)-COUNTBLANK($I$2:$I$65),"",INDIRECT(ADDRESS(SMALL((IF($I$2:$I$65&lt;&gt;"",ROW($I$2:$I$65),ROW()+ROWS($I$2:$I$65))),ROW()-ROW($J$2:$J$65)+1),COLUMN($I$2:$I$65),4)))</f>
        <v/>
      </c>
    </row>
    <row r="59" spans="4:16" ht="15.75" thickBot="1" x14ac:dyDescent="0.3">
      <c r="D59" s="469"/>
      <c r="E59" s="240"/>
      <c r="F59" s="240"/>
      <c r="G59" s="240"/>
      <c r="H59" s="238"/>
      <c r="I59" s="241"/>
      <c r="J59" s="242"/>
      <c r="L59" s="94" t="str">
        <f t="array" aca="1" ref="L59" ca="1">IF(ROW()-ROW($F$2:$F$65)+1&gt;ROWS($E$2:$E$65)-COUNTBLANK($E$2:$E$65),"",INDIRECT(ADDRESS(SMALL((IF($E$2:$E$65&gt;"",ROW($E$2:$E$65),ROW()+ROWS($E$2:$E$65))),ROW()-ROW($F$2:$F$65)+1),COLUMN($E$2:$E$65),4)))</f>
        <v/>
      </c>
      <c r="M59" s="94" t="str">
        <f t="array" aca="1" ref="M59" ca="1">IF(ROW()-ROW($G$2:$G$65)+1&gt;ROWS($F$2:$F$65)-COUNTBLANK($F$2:$F$65),"",INDIRECT(ADDRESS(SMALL((IF($F$2:$F$65&lt;&gt;"",ROW($F$2:$F$65),ROW()+ROWS($F$2:$F$65))),ROW()-ROW($G$2:$G$65)+1),COLUMN($F$2:$F$65),4)))</f>
        <v/>
      </c>
      <c r="N59" s="94" t="str">
        <f t="array" aca="1" ref="N59" ca="1">IF(ROW()-ROW($H$2:$H$65)+1&gt;ROWS($G$2:$G$65)-COUNTBLANK($G$2:$G$65),"",INDIRECT(ADDRESS(SMALL((IF($G$2:$G$65&lt;&gt;"",ROW($G$2:$G$65),ROW()+ROWS($G$2:$G$65))),ROW()-ROW($H$2:$H$65)+1),COLUMN($G$2:$G$65),4)))</f>
        <v/>
      </c>
      <c r="O59" s="183" t="str">
        <f t="array" aca="1" ref="O59" ca="1">IF(ROW()-ROW($I$2:$I$65)+1&gt;ROWS($H$2:$H$65)-COUNTBLANK($H$2:$H$65),"",INDIRECT(ADDRESS(SMALL((IF($H$2:$H$65&lt;&gt;"",ROW($H$2:$H$65),ROW()+ROWS($H$2:$H$65))),ROW()-ROW($I$2:$I$65)+1),COLUMN($H$2:$H$65),4)))</f>
        <v/>
      </c>
      <c r="P59" s="183" t="str">
        <f t="array" aca="1" ref="P59" ca="1">IF(ROW()-ROW($J$2:$J$65)+1&gt;ROWS($I$2:$I$65)-COUNTBLANK($I$2:$I$65),"",INDIRECT(ADDRESS(SMALL((IF($I$2:$I$65&lt;&gt;"",ROW($I$2:$I$65),ROW()+ROWS($I$2:$I$65))),ROW()-ROW($J$2:$J$65)+1),COLUMN($I$2:$I$65),4)))</f>
        <v/>
      </c>
    </row>
    <row r="60" spans="4:16" x14ac:dyDescent="0.25">
      <c r="D60" s="144" t="s">
        <v>345</v>
      </c>
      <c r="E60" s="155" t="str">
        <f>IF(H60="","","2019")</f>
        <v/>
      </c>
      <c r="F60" s="155" t="str">
        <f t="shared" ref="F60:F64" si="23">IF(H60="","","k")</f>
        <v/>
      </c>
      <c r="G60" s="155" t="str">
        <f t="shared" si="10"/>
        <v/>
      </c>
      <c r="H60" s="184" t="str">
        <f>IF(A2="relevant",IF('Matrix-Rektum'!Z23="","",IF(AND(ROUND('Matrix-Rektum'!Z23,4)&gt;=Berechnung4!E56,ROUND('Matrix-Rektum'!Z23,4)&lt;=Berechnung4!G56),Berechnung4!L56,IF(ROUND('Matrix-Rektum'!Z23,4)&gt;Berechnung4!J56,Berechnung4!M56,""))),"")</f>
        <v/>
      </c>
      <c r="I60" s="235" t="str">
        <f>IF(H60="","",VLOOKUP(F60,Berechnung4!$I$15:$J$25,2,FALSE))</f>
        <v/>
      </c>
      <c r="J60" s="234" t="str">
        <f t="shared" si="2"/>
        <v/>
      </c>
      <c r="L60" s="94" t="str">
        <f t="array" aca="1" ref="L60" ca="1">IF(ROW()-ROW($F$2:$F$65)+1&gt;ROWS($E$2:$E$65)-COUNTBLANK($E$2:$E$65),"",INDIRECT(ADDRESS(SMALL((IF($E$2:$E$65&gt;"",ROW($E$2:$E$65),ROW()+ROWS($E$2:$E$65))),ROW()-ROW($F$2:$F$65)+1),COLUMN($E$2:$E$65),4)))</f>
        <v/>
      </c>
      <c r="M60" s="94" t="str">
        <f t="array" aca="1" ref="M60" ca="1">IF(ROW()-ROW($G$2:$G$65)+1&gt;ROWS($F$2:$F$65)-COUNTBLANK($F$2:$F$65),"",INDIRECT(ADDRESS(SMALL((IF($F$2:$F$65&lt;&gt;"",ROW($F$2:$F$65),ROW()+ROWS($F$2:$F$65))),ROW()-ROW($G$2:$G$65)+1),COLUMN($F$2:$F$65),4)))</f>
        <v/>
      </c>
      <c r="N60" s="94" t="str">
        <f t="array" aca="1" ref="N60" ca="1">IF(ROW()-ROW($H$2:$H$65)+1&gt;ROWS($G$2:$G$65)-COUNTBLANK($G$2:$G$65),"",INDIRECT(ADDRESS(SMALL((IF($G$2:$G$65&lt;&gt;"",ROW($G$2:$G$65),ROW()+ROWS($G$2:$G$65))),ROW()-ROW($H$2:$H$65)+1),COLUMN($G$2:$G$65),4)))</f>
        <v/>
      </c>
      <c r="O60" s="183" t="str">
        <f t="array" aca="1" ref="O60" ca="1">IF(ROW()-ROW($I$2:$I$65)+1&gt;ROWS($H$2:$H$65)-COUNTBLANK($H$2:$H$65),"",INDIRECT(ADDRESS(SMALL((IF($H$2:$H$65&lt;&gt;"",ROW($H$2:$H$65),ROW()+ROWS($H$2:$H$65))),ROW()-ROW($I$2:$I$65)+1),COLUMN($H$2:$H$65),4)))</f>
        <v/>
      </c>
      <c r="P60" s="183" t="str">
        <f t="array" aca="1" ref="P60" ca="1">IF(ROW()-ROW($J$2:$J$65)+1&gt;ROWS($I$2:$I$65)-COUNTBLANK($I$2:$I$65),"",INDIRECT(ADDRESS(SMALL((IF($I$2:$I$65&lt;&gt;"",ROW($I$2:$I$65),ROW()+ROWS($I$2:$I$65))),ROW()-ROW($J$2:$J$65)+1),COLUMN($I$2:$I$65),4)))</f>
        <v/>
      </c>
    </row>
    <row r="61" spans="4:16" x14ac:dyDescent="0.25">
      <c r="D61" s="962" t="s">
        <v>397</v>
      </c>
      <c r="E61" s="34" t="str">
        <f>IF(H61="","","2020")</f>
        <v/>
      </c>
      <c r="F61" s="34" t="str">
        <f t="shared" si="23"/>
        <v/>
      </c>
      <c r="G61" s="34" t="str">
        <f t="shared" si="10"/>
        <v/>
      </c>
      <c r="H61" s="172" t="str">
        <f>IF(A3="relevant",IF('Matrix-Rektum'!Z24="","",IF(AND(ROUND('Matrix-Rektum'!Z24,4)&gt;=Berechnung4!E57,ROUND('Matrix-Rektum'!Z24,4)&lt;=Berechnung4!G57),Berechnung4!L57,IF(ROUND('Matrix-Rektum'!Z24,4)&gt;Berechnung4!J57,Berechnung4!M57,""))),"")</f>
        <v/>
      </c>
      <c r="I61" s="171" t="str">
        <f>IF(H61="","",VLOOKUP(F61,Berechnung4!$I$15:$J$25,2,FALSE))</f>
        <v/>
      </c>
      <c r="J61" s="233" t="str">
        <f t="shared" si="2"/>
        <v/>
      </c>
      <c r="L61" s="94" t="str">
        <f t="array" aca="1" ref="L61" ca="1">IF(ROW()-ROW($F$2:$F$65)+1&gt;ROWS($E$2:$E$65)-COUNTBLANK($E$2:$E$65),"",INDIRECT(ADDRESS(SMALL((IF($E$2:$E$65&gt;"",ROW($E$2:$E$65),ROW()+ROWS($E$2:$E$65))),ROW()-ROW($F$2:$F$65)+1),COLUMN($E$2:$E$65),4)))</f>
        <v/>
      </c>
      <c r="M61" s="94" t="str">
        <f t="array" aca="1" ref="M61" ca="1">IF(ROW()-ROW($G$2:$G$65)+1&gt;ROWS($F$2:$F$65)-COUNTBLANK($F$2:$F$65),"",INDIRECT(ADDRESS(SMALL((IF($F$2:$F$65&lt;&gt;"",ROW($F$2:$F$65),ROW()+ROWS($F$2:$F$65))),ROW()-ROW($G$2:$G$65)+1),COLUMN($F$2:$F$65),4)))</f>
        <v/>
      </c>
      <c r="N61" s="94" t="str">
        <f t="array" aca="1" ref="N61" ca="1">IF(ROW()-ROW($H$2:$H$65)+1&gt;ROWS($G$2:$G$65)-COUNTBLANK($G$2:$G$65),"",INDIRECT(ADDRESS(SMALL((IF($G$2:$G$65&lt;&gt;"",ROW($G$2:$G$65),ROW()+ROWS($G$2:$G$65))),ROW()-ROW($H$2:$H$65)+1),COLUMN($G$2:$G$65),4)))</f>
        <v/>
      </c>
      <c r="O61" s="183" t="str">
        <f t="array" aca="1" ref="O61" ca="1">IF(ROW()-ROW($I$2:$I$65)+1&gt;ROWS($H$2:$H$65)-COUNTBLANK($H$2:$H$65),"",INDIRECT(ADDRESS(SMALL((IF($H$2:$H$65&lt;&gt;"",ROW($H$2:$H$65),ROW()+ROWS($H$2:$H$65))),ROW()-ROW($I$2:$I$65)+1),COLUMN($H$2:$H$65),4)))</f>
        <v/>
      </c>
      <c r="P61" s="183" t="str">
        <f t="array" aca="1" ref="P61" ca="1">IF(ROW()-ROW($J$2:$J$65)+1&gt;ROWS($I$2:$I$65)-COUNTBLANK($I$2:$I$65),"",INDIRECT(ADDRESS(SMALL((IF($I$2:$I$65&lt;&gt;"",ROW($I$2:$I$65),ROW()+ROWS($I$2:$I$65))),ROW()-ROW($J$2:$J$65)+1),COLUMN($I$2:$I$65),4)))</f>
        <v/>
      </c>
    </row>
    <row r="62" spans="4:16" x14ac:dyDescent="0.25">
      <c r="D62" s="962"/>
      <c r="E62" s="34" t="str">
        <f>IF(H62="","","2021")</f>
        <v/>
      </c>
      <c r="F62" s="34" t="str">
        <f t="shared" si="23"/>
        <v/>
      </c>
      <c r="G62" s="34" t="str">
        <f t="shared" si="10"/>
        <v/>
      </c>
      <c r="H62" s="172" t="str">
        <f>IF(A4="relevant",IF('Matrix-Rektum'!Z25="","",IF(AND(ROUND('Matrix-Rektum'!Z25,4)&gt;=Berechnung4!E58,ROUND('Matrix-Rektum'!Z25,4)&lt;=Berechnung4!G58),Berechnung4!L58,IF(ROUND('Matrix-Rektum'!Z25,4)&gt;Berechnung4!J58,Berechnung4!M58,""))),"")</f>
        <v/>
      </c>
      <c r="I62" s="171" t="str">
        <f>IF(H62="","",VLOOKUP(F62,Berechnung4!$I$15:$J$25,2,FALSE))</f>
        <v/>
      </c>
      <c r="J62" s="233" t="str">
        <f t="shared" si="2"/>
        <v/>
      </c>
      <c r="L62" s="94" t="str">
        <f t="array" aca="1" ref="L62" ca="1">IF(ROW()-ROW($F$2:$F$65)+1&gt;ROWS($E$2:$E$65)-COUNTBLANK($E$2:$E$65),"",INDIRECT(ADDRESS(SMALL((IF($E$2:$E$65&gt;"",ROW($E$2:$E$65),ROW()+ROWS($E$2:$E$65))),ROW()-ROW($F$2:$F$65)+1),COLUMN($E$2:$E$65),4)))</f>
        <v/>
      </c>
      <c r="M62" s="94" t="str">
        <f t="array" aca="1" ref="M62" ca="1">IF(ROW()-ROW($G$2:$G$65)+1&gt;ROWS($F$2:$F$65)-COUNTBLANK($F$2:$F$65),"",INDIRECT(ADDRESS(SMALL((IF($F$2:$F$65&lt;&gt;"",ROW($F$2:$F$65),ROW()+ROWS($F$2:$F$65))),ROW()-ROW($G$2:$G$65)+1),COLUMN($F$2:$F$65),4)))</f>
        <v/>
      </c>
      <c r="N62" s="94" t="str">
        <f t="array" aca="1" ref="N62" ca="1">IF(ROW()-ROW($H$2:$H$65)+1&gt;ROWS($G$2:$G$65)-COUNTBLANK($G$2:$G$65),"",INDIRECT(ADDRESS(SMALL((IF($G$2:$G$65&lt;&gt;"",ROW($G$2:$G$65),ROW()+ROWS($G$2:$G$65))),ROW()-ROW($H$2:$H$65)+1),COLUMN($G$2:$G$65),4)))</f>
        <v/>
      </c>
      <c r="O62" s="183" t="str">
        <f t="array" aca="1" ref="O62" ca="1">IF(ROW()-ROW($I$2:$I$65)+1&gt;ROWS($H$2:$H$65)-COUNTBLANK($H$2:$H$65),"",INDIRECT(ADDRESS(SMALL((IF($H$2:$H$65&lt;&gt;"",ROW($H$2:$H$65),ROW()+ROWS($H$2:$H$65))),ROW()-ROW($I$2:$I$65)+1),COLUMN($H$2:$H$65),4)))</f>
        <v/>
      </c>
      <c r="P62" s="183" t="str">
        <f t="array" aca="1" ref="P62" ca="1">IF(ROW()-ROW($J$2:$J$65)+1&gt;ROWS($I$2:$I$65)-COUNTBLANK($I$2:$I$65),"",INDIRECT(ADDRESS(SMALL((IF($I$2:$I$65&lt;&gt;"",ROW($I$2:$I$65),ROW()+ROWS($I$2:$I$65))),ROW()-ROW($J$2:$J$65)+1),COLUMN($I$2:$I$65),4)))</f>
        <v/>
      </c>
    </row>
    <row r="63" spans="4:16" x14ac:dyDescent="0.25">
      <c r="D63" s="962"/>
      <c r="E63" s="34" t="str">
        <f>IF(H63="","","2022")</f>
        <v/>
      </c>
      <c r="F63" s="34" t="str">
        <f t="shared" si="23"/>
        <v/>
      </c>
      <c r="G63" s="34" t="str">
        <f t="shared" si="10"/>
        <v/>
      </c>
      <c r="H63" s="172" t="str">
        <f>IF(A5="relevant",IF('Matrix-Rektum'!Z26="","",IF(AND(ROUND('Matrix-Rektum'!Z26,4)&gt;=Berechnung4!E59,ROUND('Matrix-Rektum'!Z26,4)&lt;=Berechnung4!G59),Berechnung4!L59,IF(ROUND('Matrix-Rektum'!Z26,4)&gt;Berechnung4!J59,Berechnung4!M59,""))),"")</f>
        <v/>
      </c>
      <c r="I63" s="171" t="str">
        <f>IF(H63="","",VLOOKUP(F63,Berechnung4!$I$15:$J$25,2,FALSE))</f>
        <v/>
      </c>
      <c r="J63" s="233" t="str">
        <f t="shared" si="2"/>
        <v/>
      </c>
      <c r="L63" s="94" t="str">
        <f t="array" aca="1" ref="L63" ca="1">IF(ROW()-ROW($F$2:$F$65)+1&gt;ROWS($E$2:$E$65)-COUNTBLANK($E$2:$E$65),"",INDIRECT(ADDRESS(SMALL((IF($E$2:$E$65&gt;"",ROW($E$2:$E$65),ROW()+ROWS($E$2:$E$65))),ROW()-ROW($F$2:$F$65)+1),COLUMN($E$2:$E$65),4)))</f>
        <v/>
      </c>
      <c r="M63" s="94" t="str">
        <f t="array" aca="1" ref="M63" ca="1">IF(ROW()-ROW($G$2:$G$65)+1&gt;ROWS($F$2:$F$65)-COUNTBLANK($F$2:$F$65),"",INDIRECT(ADDRESS(SMALL((IF($F$2:$F$65&lt;&gt;"",ROW($F$2:$F$65),ROW()+ROWS($F$2:$F$65))),ROW()-ROW($G$2:$G$65)+1),COLUMN($F$2:$F$65),4)))</f>
        <v/>
      </c>
      <c r="N63" s="94" t="str">
        <f t="array" aca="1" ref="N63" ca="1">IF(ROW()-ROW($H$2:$H$65)+1&gt;ROWS($G$2:$G$65)-COUNTBLANK($G$2:$G$65),"",INDIRECT(ADDRESS(SMALL((IF($G$2:$G$65&lt;&gt;"",ROW($G$2:$G$65),ROW()+ROWS($G$2:$G$65))),ROW()-ROW($H$2:$H$65)+1),COLUMN($G$2:$G$65),4)))</f>
        <v/>
      </c>
      <c r="O63" s="183" t="str">
        <f t="array" aca="1" ref="O63" ca="1">IF(ROW()-ROW($I$2:$I$65)+1&gt;ROWS($H$2:$H$65)-COUNTBLANK($H$2:$H$65),"",INDIRECT(ADDRESS(SMALL((IF($H$2:$H$65&lt;&gt;"",ROW($H$2:$H$65),ROW()+ROWS($H$2:$H$65))),ROW()-ROW($I$2:$I$65)+1),COLUMN($H$2:$H$65),4)))</f>
        <v/>
      </c>
      <c r="P63" s="183" t="str">
        <f t="array" aca="1" ref="P63" ca="1">IF(ROW()-ROW($J$2:$J$65)+1&gt;ROWS($I$2:$I$65)-COUNTBLANK($I$2:$I$65),"",INDIRECT(ADDRESS(SMALL((IF($I$2:$I$65&lt;&gt;"",ROW($I$2:$I$65),ROW()+ROWS($I$2:$I$65))),ROW()-ROW($J$2:$J$65)+1),COLUMN($I$2:$I$65),4)))</f>
        <v/>
      </c>
    </row>
    <row r="64" spans="4:16" x14ac:dyDescent="0.25">
      <c r="D64" s="962"/>
      <c r="E64" s="34" t="str">
        <f>IF(H64="","","2023")</f>
        <v/>
      </c>
      <c r="F64" s="34" t="str">
        <f t="shared" si="23"/>
        <v/>
      </c>
      <c r="G64" s="34" t="str">
        <f t="shared" si="10"/>
        <v/>
      </c>
      <c r="H64" s="172" t="str">
        <f>IF(A6="relevant",IF('Matrix-Rektum'!Z27="","",IF(AND(ROUND('Matrix-Rektum'!Z27,4)&gt;=Berechnung4!E60,ROUND('Matrix-Rektum'!Z27,4)&lt;=Berechnung4!G60),Berechnung4!L60,IF(ROUND('Matrix-Rektum'!Z27,4)&gt;Berechnung4!J60,Berechnung4!M60,""))),"")</f>
        <v/>
      </c>
      <c r="I64" s="171" t="str">
        <f>IF(H64="","",VLOOKUP(F64,Berechnung4!$I$15:$J$25,2,FALSE))</f>
        <v/>
      </c>
      <c r="J64" s="233" t="str">
        <f t="shared" si="2"/>
        <v/>
      </c>
      <c r="L64" s="94" t="str">
        <f t="array" aca="1" ref="L64" ca="1">IF(ROW()-ROW($F$2:$F$65)+1&gt;ROWS($E$2:$E$65)-COUNTBLANK($E$2:$E$65),"",INDIRECT(ADDRESS(SMALL((IF($E$2:$E$65&gt;"",ROW($E$2:$E$65),ROW()+ROWS($E$2:$E$65))),ROW()-ROW($F$2:$F$65)+1),COLUMN($E$2:$E$65),4)))</f>
        <v/>
      </c>
      <c r="M64" s="94" t="str">
        <f t="array" aca="1" ref="M64" ca="1">IF(ROW()-ROW($G$2:$G$65)+1&gt;ROWS($F$2:$F$65)-COUNTBLANK($F$2:$F$65),"",INDIRECT(ADDRESS(SMALL((IF($F$2:$F$65&lt;&gt;"",ROW($F$2:$F$65),ROW()+ROWS($F$2:$F$65))),ROW()-ROW($G$2:$G$65)+1),COLUMN($F$2:$F$65),4)))</f>
        <v/>
      </c>
      <c r="N64" s="94" t="str">
        <f t="array" aca="1" ref="N64" ca="1">IF(ROW()-ROW($H$2:$H$65)+1&gt;ROWS($G$2:$G$65)-COUNTBLANK($G$2:$G$65),"",INDIRECT(ADDRESS(SMALL((IF($G$2:$G$65&lt;&gt;"",ROW($G$2:$G$65),ROW()+ROWS($G$2:$G$65))),ROW()-ROW($H$2:$H$65)+1),COLUMN($G$2:$G$65),4)))</f>
        <v/>
      </c>
      <c r="O64" s="183" t="str">
        <f t="array" aca="1" ref="O64" ca="1">IF(ROW()-ROW($I$2:$I$65)+1&gt;ROWS($H$2:$H$65)-COUNTBLANK($H$2:$H$65),"",INDIRECT(ADDRESS(SMALL((IF($H$2:$H$65&lt;&gt;"",ROW($H$2:$H$65),ROW()+ROWS($H$2:$H$65))),ROW()-ROW($I$2:$I$65)+1),COLUMN($H$2:$H$65),4)))</f>
        <v/>
      </c>
      <c r="P64" s="183" t="str">
        <f t="array" aca="1" ref="P64" ca="1">IF(ROW()-ROW($J$2:$J$65)+1&gt;ROWS($I$2:$I$65)-COUNTBLANK($I$2:$I$65),"",INDIRECT(ADDRESS(SMALL((IF($I$2:$I$65&lt;&gt;"",ROW($I$2:$I$65),ROW()+ROWS($I$2:$I$65))),ROW()-ROW($J$2:$J$65)+1),COLUMN($I$2:$I$65),4)))</f>
        <v/>
      </c>
    </row>
    <row r="65" spans="4:16" x14ac:dyDescent="0.25">
      <c r="D65" s="466" t="s">
        <v>235</v>
      </c>
      <c r="E65" s="34"/>
      <c r="F65" s="34"/>
      <c r="G65" s="34"/>
      <c r="H65" s="172"/>
      <c r="I65" s="171"/>
      <c r="J65" s="233"/>
      <c r="L65" s="94" t="str">
        <f t="array" aca="1" ref="L65" ca="1">IF(ROW()-ROW($F$2:$F$65)+1&gt;ROWS($E$2:$E$65)-COUNTBLANK($E$2:$E$65),"",INDIRECT(ADDRESS(SMALL((IF($E$2:$E$65&gt;"",ROW($E$2:$E$65),ROW()+ROWS($E$2:$E$65))),ROW()-ROW($F$2:$F$65)+1),COLUMN($E$2:$E$65),4)))</f>
        <v/>
      </c>
      <c r="M65" s="94" t="str">
        <f t="array" aca="1" ref="M65" ca="1">IF(ROW()-ROW($G$2:$G$65)+1&gt;ROWS($F$2:$F$65)-COUNTBLANK($F$2:$F$65),"",INDIRECT(ADDRESS(SMALL((IF($F$2:$F$65&lt;&gt;"",ROW($F$2:$F$65),ROW()+ROWS($F$2:$F$65))),ROW()-ROW($G$2:$G$65)+1),COLUMN($F$2:$F$65),4)))</f>
        <v/>
      </c>
      <c r="N65" s="94" t="str">
        <f t="array" aca="1" ref="N65" ca="1">IF(ROW()-ROW($H$2:$H$65)+1&gt;ROWS($G$2:$G$65)-COUNTBLANK($G$2:$G$65),"",INDIRECT(ADDRESS(SMALL((IF($G$2:$G$65&lt;&gt;"",ROW($G$2:$G$65),ROW()+ROWS($G$2:$G$65))),ROW()-ROW($H$2:$H$65)+1),COLUMN($G$2:$G$65),4)))</f>
        <v/>
      </c>
      <c r="O65" s="183" t="str">
        <f t="array" aca="1" ref="O65" ca="1">IF(ROW()-ROW($I$2:$I$65)+1&gt;ROWS($H$2:$H$65)-COUNTBLANK($H$2:$H$65),"",INDIRECT(ADDRESS(SMALL((IF($H$2:$H$65&lt;&gt;"",ROW($H$2:$H$65),ROW()+ROWS($H$2:$H$65))),ROW()-ROW($I$2:$I$65)+1),COLUMN($H$2:$H$65),4)))</f>
        <v/>
      </c>
      <c r="P65" s="183" t="str">
        <f t="array" aca="1" ref="P65" ca="1">IF(ROW()-ROW($J$2:$J$65)+1&gt;ROWS($I$2:$I$65)-COUNTBLANK($I$2:$I$65),"",INDIRECT(ADDRESS(SMALL((IF($I$2:$I$65&lt;&gt;"",ROW($I$2:$I$65),ROW()+ROWS($I$2:$I$65))),ROW()-ROW($J$2:$J$65)+1),COLUMN($I$2:$I$65),4)))</f>
        <v/>
      </c>
    </row>
    <row r="66" spans="4:16" ht="15.75" thickBot="1" x14ac:dyDescent="0.3">
      <c r="D66" s="459"/>
      <c r="E66" s="34"/>
      <c r="F66" s="34"/>
      <c r="G66" s="34"/>
      <c r="H66" s="172"/>
      <c r="I66" s="171"/>
      <c r="J66" s="233"/>
      <c r="L66" s="94" t="str">
        <f t="array" aca="1" ref="L66" ca="1">IF(ROW()-ROW($F$2:$F$65)+1&gt;ROWS($E$2:$E$65)-COUNTBLANK($E$2:$E$65),"",INDIRECT(ADDRESS(SMALL((IF($E$2:$E$65&gt;"",ROW($E$2:$E$65),ROW()+ROWS($E$2:$E$65))),ROW()-ROW($F$2:$F$65)+1),COLUMN($E$2:$E$65),4)))</f>
        <v/>
      </c>
      <c r="M66" s="94" t="str">
        <f t="array" aca="1" ref="M66" ca="1">IF(ROW()-ROW($G$2:$G$65)+1&gt;ROWS($F$2:$F$65)-COUNTBLANK($F$2:$F$65),"",INDIRECT(ADDRESS(SMALL((IF($F$2:$F$65&lt;&gt;"",ROW($F$2:$F$65),ROW()+ROWS($F$2:$F$65))),ROW()-ROW($G$2:$G$65)+1),COLUMN($F$2:$F$65),4)))</f>
        <v/>
      </c>
      <c r="N66" s="94" t="str">
        <f t="array" aca="1" ref="N66" ca="1">IF(ROW()-ROW($H$2:$H$65)+1&gt;ROWS($G$2:$G$65)-COUNTBLANK($G$2:$G$65),"",INDIRECT(ADDRESS(SMALL((IF($G$2:$G$65&lt;&gt;"",ROW($G$2:$G$65),ROW()+ROWS($G$2:$G$65))),ROW()-ROW($H$2:$H$65)+1),COLUMN($G$2:$G$65),4)))</f>
        <v/>
      </c>
      <c r="O66" s="183" t="str">
        <f t="array" aca="1" ref="O66" ca="1">IF(ROW()-ROW($I$2:$I$65)+1&gt;ROWS($H$2:$H$65)-COUNTBLANK($H$2:$H$65),"",INDIRECT(ADDRESS(SMALL((IF($H$2:$H$65&lt;&gt;"",ROW($H$2:$H$65),ROW()+ROWS($H$2:$H$65))),ROW()-ROW($I$2:$I$65)+1),COLUMN($H$2:$H$65),4)))</f>
        <v/>
      </c>
      <c r="P66" s="183" t="str">
        <f t="array" aca="1" ref="P66" ca="1">IF(ROW()-ROW($J$2:$J$65)+1&gt;ROWS($I$2:$I$65)-COUNTBLANK($I$2:$I$65),"",INDIRECT(ADDRESS(SMALL((IF($I$2:$I$65&lt;&gt;"",ROW($I$2:$I$65),ROW()+ROWS($I$2:$I$65))),ROW()-ROW($J$2:$J$65)+1),COLUMN($I$2:$I$65),4)))</f>
        <v/>
      </c>
    </row>
    <row r="68" spans="4:16" x14ac:dyDescent="0.25">
      <c r="I68" s="221" t="s">
        <v>354</v>
      </c>
      <c r="J68" s="222">
        <f>IF(SUM(J2:J8)=0,0,SUM(J2:J8))</f>
        <v>0</v>
      </c>
    </row>
    <row r="69" spans="4:16" x14ac:dyDescent="0.25">
      <c r="I69" s="221" t="s">
        <v>353</v>
      </c>
      <c r="J69" s="223">
        <f>IF(SUM(J9:J29)=0,0,SUM(J9:J29))</f>
        <v>0</v>
      </c>
    </row>
    <row r="70" spans="4:16" x14ac:dyDescent="0.25">
      <c r="I70" s="224" t="s">
        <v>345</v>
      </c>
      <c r="J70" s="225">
        <f>IF(SUM(J31:J66)=0,0,SUM(J31:J66))</f>
        <v>0</v>
      </c>
    </row>
    <row r="71" spans="4:16" x14ac:dyDescent="0.25">
      <c r="I71" s="226" t="s">
        <v>294</v>
      </c>
      <c r="J71" s="227">
        <f>IF(J30="",0,J30)</f>
        <v>0</v>
      </c>
    </row>
  </sheetData>
  <mergeCells count="9">
    <mergeCell ref="D54:D57"/>
    <mergeCell ref="D61:D64"/>
    <mergeCell ref="D32:D35"/>
    <mergeCell ref="D3:D6"/>
    <mergeCell ref="D10:D13"/>
    <mergeCell ref="D17:D20"/>
    <mergeCell ref="D24:D27"/>
    <mergeCell ref="D40:D43"/>
    <mergeCell ref="D47:D50"/>
  </mergeCells>
  <phoneticPr fontId="81" type="noConversion"/>
  <conditionalFormatting sqref="B2:B8">
    <cfRule type="expression" dxfId="26" priority="1" stopIfTrue="1">
      <formula>OR($A2="EZ",$A2="nicht relevant")</formula>
    </cfRule>
  </conditionalFormatting>
  <conditionalFormatting sqref="E2:J8">
    <cfRule type="expression" dxfId="25" priority="12" stopIfTrue="1">
      <formula>OR($A2="EZ",$A2="nicht relevant")</formula>
    </cfRule>
  </conditionalFormatting>
  <conditionalFormatting sqref="E9:J15">
    <cfRule type="expression" dxfId="24" priority="11" stopIfTrue="1">
      <formula>OR($A2="EZ",$A2="nicht relevant")</formula>
    </cfRule>
  </conditionalFormatting>
  <conditionalFormatting sqref="E16:J22">
    <cfRule type="expression" dxfId="23" priority="10" stopIfTrue="1">
      <formula>OR($A2="EZ",$A2="nicht relevant")</formula>
    </cfRule>
  </conditionalFormatting>
  <conditionalFormatting sqref="E23:J29">
    <cfRule type="expression" dxfId="22" priority="9" stopIfTrue="1">
      <formula>OR($A2="EZ",$A2="nicht relevant")</formula>
    </cfRule>
  </conditionalFormatting>
  <conditionalFormatting sqref="E31:J37">
    <cfRule type="expression" dxfId="21" priority="8" stopIfTrue="1">
      <formula>OR($A2="EZ",$A2="nicht relevant")</formula>
    </cfRule>
  </conditionalFormatting>
  <conditionalFormatting sqref="E39:J45">
    <cfRule type="expression" dxfId="20" priority="7" stopIfTrue="1">
      <formula>OR($A2="EZ",$A2="nicht relevant")</formula>
    </cfRule>
  </conditionalFormatting>
  <conditionalFormatting sqref="E46:J52">
    <cfRule type="expression" dxfId="19" priority="6" stopIfTrue="1">
      <formula>OR($A2="EZ",$A2="nicht relevant")</formula>
    </cfRule>
  </conditionalFormatting>
  <conditionalFormatting sqref="E53:J59">
    <cfRule type="expression" dxfId="18" priority="5" stopIfTrue="1">
      <formula>OR($A2="EZ",$A2="nicht relevant")</formula>
    </cfRule>
  </conditionalFormatting>
  <conditionalFormatting sqref="E60:J66">
    <cfRule type="expression" dxfId="17" priority="4" stopIfTrue="1">
      <formula>OR($A2="EZ",$A2="nicht relevant")</formula>
    </cfRule>
  </conditionalFormatting>
  <pageMargins left="0.7" right="0.7" top="0.78740157499999996" bottom="0.78740157499999996" header="0.3" footer="0.3"/>
  <pageSetup orientation="portrait" horizontalDpi="0" verticalDpi="0" copies="0" r:id="rId1"/>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Tabelle11"/>
  <dimension ref="A1:N27"/>
  <sheetViews>
    <sheetView showGridLines="0" zoomScaleNormal="100" zoomScaleSheetLayoutView="100" workbookViewId="0">
      <selection activeCell="C19" sqref="C19:G19"/>
    </sheetView>
  </sheetViews>
  <sheetFormatPr defaultColWidth="9" defaultRowHeight="14.25" x14ac:dyDescent="0.2"/>
  <cols>
    <col min="1" max="1" width="14.140625" style="8" customWidth="1"/>
    <col min="2" max="2" width="22.85546875" style="8" customWidth="1"/>
    <col min="3" max="3" width="20.7109375" style="8" customWidth="1"/>
    <col min="4" max="4" width="24.7109375" style="8" customWidth="1"/>
    <col min="5" max="6" width="21.7109375" style="8" customWidth="1"/>
    <col min="7" max="182" width="11.42578125" style="8" customWidth="1"/>
    <col min="183" max="16384" width="9" style="8"/>
  </cols>
  <sheetData>
    <row r="1" spans="1:14" ht="9.9499999999999993" customHeight="1" x14ac:dyDescent="0.2">
      <c r="B1" s="31"/>
      <c r="E1" s="19"/>
    </row>
    <row r="2" spans="1:14" ht="12.95" customHeight="1" x14ac:dyDescent="0.2">
      <c r="A2" s="26" t="s">
        <v>1817</v>
      </c>
      <c r="E2" s="19"/>
    </row>
    <row r="3" spans="1:14" ht="16.5" x14ac:dyDescent="0.25">
      <c r="A3" s="22" t="s">
        <v>431</v>
      </c>
      <c r="E3" s="19"/>
      <c r="F3" s="20"/>
    </row>
    <row r="4" spans="1:14" ht="16.5" x14ac:dyDescent="0.25">
      <c r="A4" s="22"/>
      <c r="J4" s="23"/>
    </row>
    <row r="5" spans="1:14" ht="15" customHeight="1" x14ac:dyDescent="0.2">
      <c r="D5" s="15"/>
      <c r="E5" s="15"/>
      <c r="F5" s="15"/>
      <c r="G5" s="15"/>
      <c r="H5" s="15"/>
      <c r="I5" s="15"/>
      <c r="J5" s="23"/>
    </row>
    <row r="6" spans="1:14" s="26" customFormat="1" ht="15" customHeight="1" x14ac:dyDescent="0.25">
      <c r="B6" s="29" t="s">
        <v>398</v>
      </c>
      <c r="C6" s="701" t="str">
        <f>IF(Basisdaten!B8=0,"",Basisdaten!B8)</f>
        <v/>
      </c>
      <c r="D6" s="804"/>
      <c r="E6" s="804"/>
      <c r="F6" s="805"/>
      <c r="G6" s="15"/>
      <c r="H6" s="15"/>
      <c r="J6" s="23"/>
      <c r="K6" s="23"/>
      <c r="L6" s="21"/>
      <c r="M6" s="23"/>
      <c r="N6" s="23"/>
    </row>
    <row r="7" spans="1:14" s="26" customFormat="1" ht="6.95" customHeight="1" x14ac:dyDescent="0.2">
      <c r="B7" s="10"/>
      <c r="C7" s="15"/>
      <c r="D7" s="15"/>
      <c r="E7" s="15"/>
      <c r="F7" s="15"/>
      <c r="G7" s="15"/>
      <c r="H7" s="15"/>
      <c r="J7" s="23"/>
      <c r="K7" s="23"/>
      <c r="L7" s="21"/>
      <c r="M7" s="23"/>
      <c r="N7" s="23"/>
    </row>
    <row r="8" spans="1:14" s="26" customFormat="1" ht="15" customHeight="1" x14ac:dyDescent="0.2">
      <c r="B8" s="29" t="s">
        <v>346</v>
      </c>
      <c r="C8" s="38" t="str">
        <f>IF(Basisdaten!B6=0,"",Basisdaten!B6)</f>
        <v/>
      </c>
      <c r="D8" s="23"/>
      <c r="E8" s="9" t="s">
        <v>344</v>
      </c>
      <c r="F8" s="37" t="str">
        <f>IF(Basisdaten!G12=0,"",Basisdaten!G12)</f>
        <v/>
      </c>
      <c r="H8" s="8"/>
      <c r="J8" s="23"/>
      <c r="K8" s="23"/>
      <c r="L8" s="21"/>
      <c r="M8" s="23"/>
      <c r="N8" s="23"/>
    </row>
    <row r="9" spans="1:14" s="26" customFormat="1" ht="8.25" customHeight="1" x14ac:dyDescent="0.2">
      <c r="B9" s="28"/>
      <c r="C9" s="8"/>
      <c r="E9" s="8"/>
      <c r="I9" s="17"/>
      <c r="J9" s="24"/>
      <c r="K9" s="24"/>
      <c r="L9" s="24"/>
      <c r="M9" s="24"/>
      <c r="N9" s="24"/>
    </row>
    <row r="10" spans="1:14" ht="6.75" customHeight="1" x14ac:dyDescent="0.2">
      <c r="I10" s="18"/>
      <c r="J10" s="33"/>
      <c r="K10" s="33"/>
      <c r="L10" s="33"/>
      <c r="M10" s="33"/>
      <c r="N10" s="33"/>
    </row>
    <row r="11" spans="1:14" ht="15" x14ac:dyDescent="0.25">
      <c r="A11" s="32" t="s">
        <v>358</v>
      </c>
    </row>
    <row r="12" spans="1:14" ht="13.5" customHeight="1" x14ac:dyDescent="0.2">
      <c r="B12" s="73" t="str">
        <f>IF(OR(B13="",B13="Matrix kann eingereicht werden"),"In Ordnung",IF(B13="die inkorrekten und unvollständigen Einträge beheben","Nicht in Ordnung"))</f>
        <v>In Ordnung</v>
      </c>
      <c r="C12" s="58" t="s">
        <v>345</v>
      </c>
      <c r="D12" s="39" t="s">
        <v>294</v>
      </c>
      <c r="E12" s="44" t="s">
        <v>353</v>
      </c>
      <c r="F12" s="45" t="s">
        <v>443</v>
      </c>
    </row>
    <row r="13" spans="1:14" ht="18.75" customHeight="1" x14ac:dyDescent="0.2">
      <c r="B13" s="255" t="str">
        <f>Berechnung4!B6</f>
        <v/>
      </c>
      <c r="C13" s="64">
        <f>Berechnung4!C6</f>
        <v>0</v>
      </c>
      <c r="D13" s="65">
        <f>Berechnung4!D6</f>
        <v>0</v>
      </c>
      <c r="E13" s="85">
        <f>Berechnung4!E6</f>
        <v>0</v>
      </c>
      <c r="F13" s="86">
        <f>Berechnung4!F6</f>
        <v>0</v>
      </c>
    </row>
    <row r="14" spans="1:14" s="26" customFormat="1" ht="9.75" customHeight="1" x14ac:dyDescent="0.2">
      <c r="B14" s="16"/>
      <c r="C14" s="16"/>
    </row>
    <row r="15" spans="1:14" s="26" customFormat="1" ht="13.5" customHeight="1" x14ac:dyDescent="0.2">
      <c r="A15" s="47" t="str">
        <f>IF(SUM(C13:F13)&gt;0,IF(A19&gt;"","","FEHLER - Bearbeitungshinweise müssen beachtet werden!!! Siehe Tabellenblatt Matrix ab Zeile 45"),"")</f>
        <v/>
      </c>
      <c r="C15" s="16"/>
    </row>
    <row r="16" spans="1:14" s="26" customFormat="1" ht="6" customHeight="1" x14ac:dyDescent="0.2">
      <c r="B16" s="16"/>
      <c r="C16" s="16"/>
    </row>
    <row r="17" spans="1:7" ht="14.25" customHeight="1" x14ac:dyDescent="0.2">
      <c r="A17" s="988" t="s">
        <v>379</v>
      </c>
      <c r="B17" s="990" t="s">
        <v>336</v>
      </c>
      <c r="C17" s="992" t="s">
        <v>117</v>
      </c>
      <c r="D17" s="993"/>
      <c r="E17" s="993"/>
      <c r="F17" s="993"/>
      <c r="G17" s="994"/>
    </row>
    <row r="18" spans="1:7" ht="10.5" customHeight="1" x14ac:dyDescent="0.2">
      <c r="A18" s="989"/>
      <c r="B18" s="991"/>
      <c r="C18" s="995"/>
      <c r="D18" s="996"/>
      <c r="E18" s="996"/>
      <c r="F18" s="996"/>
      <c r="G18" s="997"/>
    </row>
    <row r="19" spans="1:7" ht="66" customHeight="1" x14ac:dyDescent="0.25">
      <c r="A19" s="34" t="str">
        <f>IF(ISERROR(Berechnung4!G15),"",Berechnung4!G15)</f>
        <v/>
      </c>
      <c r="B19" s="34" t="str">
        <f>IF(ISERROR(Berechnung4!H15),"",Berechnung4!H15)</f>
        <v/>
      </c>
      <c r="C19" s="971"/>
      <c r="D19" s="972"/>
      <c r="E19" s="972"/>
      <c r="F19" s="972"/>
      <c r="G19" s="974"/>
    </row>
    <row r="20" spans="1:7" ht="66" customHeight="1" x14ac:dyDescent="0.25">
      <c r="A20" s="34" t="str">
        <f>IF(ISERROR(Berechnung4!G16),"",Berechnung4!G16)</f>
        <v/>
      </c>
      <c r="B20" s="34" t="str">
        <f>IF(ISERROR(Berechnung4!H16),"",Berechnung4!H16)</f>
        <v/>
      </c>
      <c r="C20" s="971"/>
      <c r="D20" s="972"/>
      <c r="E20" s="972"/>
      <c r="F20" s="972"/>
      <c r="G20" s="974"/>
    </row>
    <row r="21" spans="1:7" ht="66" customHeight="1" x14ac:dyDescent="0.25">
      <c r="A21" s="34" t="str">
        <f>IF(ISERROR(Berechnung4!G17),"",Berechnung4!G17)</f>
        <v/>
      </c>
      <c r="B21" s="34" t="str">
        <f>IF(ISERROR(Berechnung4!H17),"",Berechnung4!H17)</f>
        <v/>
      </c>
      <c r="C21" s="971"/>
      <c r="D21" s="972"/>
      <c r="E21" s="972"/>
      <c r="F21" s="972"/>
      <c r="G21" s="974"/>
    </row>
    <row r="22" spans="1:7" ht="66" customHeight="1" x14ac:dyDescent="0.25">
      <c r="A22" s="34" t="str">
        <f>IF(ISERROR(Berechnung4!G18),"",Berechnung4!G18)</f>
        <v/>
      </c>
      <c r="B22" s="34" t="str">
        <f>IF(ISERROR(Berechnung4!H18),"",Berechnung4!H18)</f>
        <v/>
      </c>
      <c r="C22" s="971"/>
      <c r="D22" s="972"/>
      <c r="E22" s="972"/>
      <c r="F22" s="972"/>
      <c r="G22" s="974"/>
    </row>
    <row r="23" spans="1:7" ht="66" customHeight="1" x14ac:dyDescent="0.25">
      <c r="A23" s="34" t="str">
        <f>IF(ISERROR(Berechnung4!G19),"",Berechnung4!G19)</f>
        <v/>
      </c>
      <c r="B23" s="34" t="str">
        <f>IF(ISERROR(Berechnung4!H19),"",Berechnung4!H19)</f>
        <v/>
      </c>
      <c r="C23" s="971"/>
      <c r="D23" s="972"/>
      <c r="E23" s="972"/>
      <c r="F23" s="972"/>
      <c r="G23" s="974"/>
    </row>
    <row r="24" spans="1:7" ht="66" customHeight="1" x14ac:dyDescent="0.25">
      <c r="A24" s="34" t="str">
        <f>IF(ISERROR(Berechnung4!G20),"",Berechnung4!G20)</f>
        <v/>
      </c>
      <c r="B24" s="34" t="str">
        <f>IF(ISERROR(Berechnung4!H20),"",Berechnung4!H20)</f>
        <v/>
      </c>
      <c r="C24" s="971"/>
      <c r="D24" s="972"/>
      <c r="E24" s="972"/>
      <c r="F24" s="972"/>
      <c r="G24" s="974"/>
    </row>
    <row r="25" spans="1:7" ht="66" customHeight="1" x14ac:dyDescent="0.25">
      <c r="A25" s="34" t="str">
        <f>IF(ISERROR(Berechnung4!G21),"",Berechnung4!G21)</f>
        <v/>
      </c>
      <c r="B25" s="34" t="str">
        <f>IF(ISERROR(Berechnung4!H21),"",Berechnung4!H21)</f>
        <v/>
      </c>
      <c r="C25" s="971"/>
      <c r="D25" s="972"/>
      <c r="E25" s="972"/>
      <c r="F25" s="972"/>
      <c r="G25" s="974"/>
    </row>
    <row r="26" spans="1:7" ht="66" customHeight="1" x14ac:dyDescent="0.25">
      <c r="A26" s="34" t="str">
        <f>IF(ISERROR(Berechnung4!G22),"",Berechnung4!G22)</f>
        <v/>
      </c>
      <c r="B26" s="34" t="str">
        <f>IF(ISERROR(Berechnung4!H22),"",Berechnung4!H22)</f>
        <v/>
      </c>
      <c r="C26" s="971"/>
      <c r="D26" s="972"/>
      <c r="E26" s="972"/>
      <c r="F26" s="972"/>
      <c r="G26" s="974"/>
    </row>
    <row r="27" spans="1:7" ht="66" customHeight="1" x14ac:dyDescent="0.25">
      <c r="A27" s="34" t="str">
        <f>IF(ISERROR(Berechnung4!G23),"",Berechnung4!G23)</f>
        <v/>
      </c>
      <c r="B27" s="34" t="str">
        <f>IF(ISERROR(Berechnung4!H23),"",Berechnung4!H23)</f>
        <v/>
      </c>
      <c r="C27" s="971"/>
      <c r="D27" s="972"/>
      <c r="E27" s="972"/>
      <c r="F27" s="972"/>
      <c r="G27" s="974"/>
    </row>
  </sheetData>
  <sheetProtection algorithmName="SHA-512" hashValue="8sdTqXto0KWICa+efF00rSwCpXj6o9SVw7MPqgfRQpL5CO+7cbTVcqdyJHltJsdg70v1HdHB2RImyw7u7akLHA==" saltValue="cfhcwW44uuW2R2JawiEKcQ==" spinCount="100000" sheet="1" objects="1" scenarios="1" selectLockedCells="1"/>
  <mergeCells count="13">
    <mergeCell ref="C27:G27"/>
    <mergeCell ref="C20:G20"/>
    <mergeCell ref="C21:G21"/>
    <mergeCell ref="C22:G22"/>
    <mergeCell ref="C23:G23"/>
    <mergeCell ref="C24:G24"/>
    <mergeCell ref="C25:G25"/>
    <mergeCell ref="C26:G26"/>
    <mergeCell ref="C6:F6"/>
    <mergeCell ref="A17:A18"/>
    <mergeCell ref="B17:B18"/>
    <mergeCell ref="C17:G18"/>
    <mergeCell ref="C19:G19"/>
  </mergeCells>
  <phoneticPr fontId="81" type="noConversion"/>
  <conditionalFormatting sqref="B12">
    <cfRule type="expression" dxfId="16" priority="2" stopIfTrue="1">
      <formula>$B$12="Nicht in Ordnung"</formula>
    </cfRule>
  </conditionalFormatting>
  <conditionalFormatting sqref="B13">
    <cfRule type="expression" dxfId="15" priority="1" stopIfTrue="1">
      <formula>$B$13="die inkorrekten und unvollständigen Einträge beheben"</formula>
    </cfRule>
  </conditionalFormatting>
  <conditionalFormatting sqref="B19:B27">
    <cfRule type="expression" dxfId="14" priority="25" stopIfTrue="1">
      <formula>SEARCH("Unvollständig",$B19,1)</formula>
    </cfRule>
    <cfRule type="expression" dxfId="13" priority="26" stopIfTrue="1">
      <formula>SEARCH($D$12,$B19,1)</formula>
    </cfRule>
    <cfRule type="expression" dxfId="12" priority="27" stopIfTrue="1">
      <formula>SEARCH($C$12,$B19,1)</formula>
    </cfRule>
    <cfRule type="expression" dxfId="11" priority="28" stopIfTrue="1">
      <formula>SEARCH($E$12,$B19,1)</formula>
    </cfRule>
  </conditionalFormatting>
  <conditionalFormatting sqref="C19:C27">
    <cfRule type="notContainsBlanks" dxfId="10" priority="7" stopIfTrue="1">
      <formula>LEN(TRIM(C19))&gt;0</formula>
    </cfRule>
    <cfRule type="expression" dxfId="9" priority="8" stopIfTrue="1">
      <formula>A19&lt;&gt;""</formula>
    </cfRule>
  </conditionalFormatting>
  <dataValidations count="1">
    <dataValidation type="textLength" allowBlank="1" showErrorMessage="1" errorTitle="Zeichenlänge" error="Minimal 30 Zeichen und max. 450 Zeichen." sqref="C19:G27" xr:uid="{00000000-0002-0000-1700-000000000000}">
      <formula1>30</formula1>
      <formula2>450</formula2>
    </dataValidation>
  </dataValidations>
  <pageMargins left="0.39370078740157483" right="3.937007874015748E-2" top="0.59055118110236227" bottom="0.39370078740157483" header="0.11811023622047245" footer="0.11811023622047245"/>
  <pageSetup paperSize="9" orientation="landscape" r:id="rId1"/>
  <headerFooter>
    <oddFooter>&amp;L&amp;"Arial,Standard"&amp;7&amp;F&amp;C&amp;"Arial,Standard"&amp;7 © DKG  Alle Rechte vorbehalten&amp;R&amp;"Arial,Standard"&amp;7&amp;P</oddFooter>
  </headerFooter>
  <drawing r:id="rId2"/>
  <legacyDrawing r:id="rId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Tabelle18"/>
  <dimension ref="A1:W8"/>
  <sheetViews>
    <sheetView workbookViewId="0">
      <selection activeCell="M1" sqref="M1"/>
    </sheetView>
  </sheetViews>
  <sheetFormatPr defaultColWidth="9.140625" defaultRowHeight="11.25" x14ac:dyDescent="0.25"/>
  <cols>
    <col min="1" max="1" width="13.85546875" style="136" customWidth="1"/>
    <col min="2" max="2" width="9.140625" style="114" customWidth="1"/>
    <col min="3" max="3" width="9.140625" style="136" customWidth="1"/>
    <col min="4" max="7" width="7.7109375" style="136" customWidth="1"/>
    <col min="8" max="8" width="10.140625" style="136" customWidth="1"/>
    <col min="9" max="9" width="12.28515625" style="136" customWidth="1"/>
    <col min="10" max="10" width="9.140625" style="136" customWidth="1"/>
    <col min="11" max="11" width="12.5703125" style="136" customWidth="1"/>
    <col min="12" max="19" width="9.140625" style="136" customWidth="1"/>
    <col min="20" max="20" width="12.42578125" style="136" customWidth="1"/>
    <col min="21" max="16384" width="9.140625" style="136"/>
  </cols>
  <sheetData>
    <row r="1" spans="1:23" s="190" customFormat="1" ht="81.75" customHeight="1" x14ac:dyDescent="0.25">
      <c r="A1" s="189" t="str">
        <f>'Matrix-Rektum'!A21</f>
        <v>Relevante Nachsorgejahre</v>
      </c>
      <c r="B1" s="189" t="str">
        <f>'Matrix-Rektum'!B21</f>
        <v>Jahr der Erstdiagnose</v>
      </c>
      <c r="C1" s="189" t="str">
        <f>'Matrix-Rektum'!C21</f>
        <v>Anzahl Primärpat.</v>
      </c>
      <c r="D1" s="189" t="str">
        <f>LEFT('Matrix-Rektum'!D21,6)</f>
        <v>UICC I</v>
      </c>
      <c r="E1" s="189" t="str">
        <f>LEFT('Matrix-Rektum'!E21,7)</f>
        <v>UICC II</v>
      </c>
      <c r="F1" s="189" t="str">
        <f>LEFT('Matrix-Rektum'!F21,8)</f>
        <v>UICC III</v>
      </c>
      <c r="G1" s="189" t="str">
        <f>LEFT('Matrix-Rektum'!G21,9)</f>
        <v xml:space="preserve">UICC IV  </v>
      </c>
      <c r="H1" s="189" t="str">
        <f>LEFT('Matrix-Rektum'!I21,53)</f>
        <v>Pat.  „im Follow-Up“
(aus Grundgesamtheit Primärpat.)</v>
      </c>
      <c r="I1" s="189" t="str">
        <f>LEFT('Matrix-Rektum'!J21,33)</f>
        <v>Follow-Up-Daten vom Krebsregister</v>
      </c>
      <c r="J1" s="189" t="str">
        <f>LEFT('Matrix-Rektum'!K21,57)</f>
        <v>Follow-Up-Daten vom Zentrum  
(bzw. Quelle nicht bekannt)</v>
      </c>
      <c r="K1" s="189" t="str">
        <f>LEFT('Matrix-Rektum'!L21,18)</f>
        <v xml:space="preserve">Keine Rückmeldung </v>
      </c>
      <c r="L1" s="189" t="str">
        <f>'Matrix-Rektum'!M21</f>
        <v>Follow-Up Quote in %
= (J + K) / I</v>
      </c>
      <c r="M1" s="189" t="str">
        <f>LEFT('Matrix-Rektum'!O21,14)</f>
        <v>Pat. tumorfrei</v>
      </c>
      <c r="N1" s="189" t="str">
        <f>'Matrix-Rektum'!P21</f>
        <v>Relative Quote tumorfrei 
= O / (J + K)</v>
      </c>
      <c r="O1" s="189" t="str">
        <f>LEFT('Matrix-Rektum'!Q21,54)</f>
        <v>Pat. mit mindestens 1 der Ereignisse in Spalte R bis T</v>
      </c>
      <c r="P1" s="189" t="str">
        <f>'Matrix-Rektum'!R21</f>
        <v xml:space="preserve"> Pat. mit lokoregionärem Rezidiv</v>
      </c>
      <c r="Q1" s="189" t="str">
        <f>'Matrix-Rektum'!S21</f>
        <v xml:space="preserve"> Pat. mit Lymphknotenrezidiv</v>
      </c>
      <c r="R1" s="189" t="str">
        <f>'Matrix-Rektum'!T21</f>
        <v xml:space="preserve"> Pat. mit Fernmetastasen</v>
      </c>
      <c r="S1" s="189" t="str">
        <f>LEFT('Matrix-Rektum'!U21,33)</f>
        <v>Diagnose Zweitmalignom im Verlauf</v>
      </c>
      <c r="T1" s="189" t="str">
        <f>'Matrix-Rektum'!V21</f>
        <v>Tumorbedingt gestorben (bezüglich jeder Tumorentität)</v>
      </c>
      <c r="U1" s="189" t="str">
        <f>'Matrix-Rektum'!W21</f>
        <v>Nicht tumorbedingt gestorben bzw. Todesursache unbekannt</v>
      </c>
      <c r="V1" s="189" t="str">
        <f>'Matrix-Rektum'!Y21</f>
        <v>DFS nach Kaplan-Meier
(Disease Free Survival) in %</v>
      </c>
      <c r="W1" s="189" t="str">
        <f>'Matrix-Rektum'!Z21</f>
        <v>OAS nach Kaplan-Meier    
(Overall Survival) in %</v>
      </c>
    </row>
    <row r="2" spans="1:23" x14ac:dyDescent="0.25">
      <c r="A2" s="191" t="str">
        <f>'Matrix-Rektum'!A23</f>
        <v>nicht relevant</v>
      </c>
      <c r="B2" s="237">
        <f>'Matrix-Rektum'!B23</f>
        <v>2019</v>
      </c>
      <c r="C2" s="237">
        <f>IF('Matrix-Rektum'!C23="","---",'Matrix-Rektum'!C23)</f>
        <v>0</v>
      </c>
      <c r="D2" s="237" t="str">
        <f>IF('Matrix-Rektum'!D23="","",'Matrix-Rektum'!D23)</f>
        <v/>
      </c>
      <c r="E2" s="237" t="str">
        <f>IF('Matrix-Rektum'!E23="","",'Matrix-Rektum'!E23)</f>
        <v/>
      </c>
      <c r="F2" s="237" t="str">
        <f>IF('Matrix-Rektum'!F23="","",'Matrix-Rektum'!F23)</f>
        <v/>
      </c>
      <c r="G2" s="237" t="str">
        <f>IF('Matrix-Rektum'!G23="","",'Matrix-Rektum'!G23)</f>
        <v/>
      </c>
      <c r="H2" s="237" t="str">
        <f>IF('Matrix-Rektum'!I23="","",'Matrix-Rektum'!I23)</f>
        <v/>
      </c>
      <c r="I2" s="237" t="str">
        <f>IF('Matrix-Rektum'!J23="","",'Matrix-Rektum'!J23)</f>
        <v/>
      </c>
      <c r="J2" s="237" t="str">
        <f>IF('Matrix-Rektum'!K23="","",'Matrix-Rektum'!K23)</f>
        <v/>
      </c>
      <c r="K2" s="237" t="str">
        <f>IF('Matrix-Rektum'!L23="","",'Matrix-Rektum'!L23)</f>
        <v/>
      </c>
      <c r="L2" s="192" t="str">
        <f>IF('Matrix-Rektum'!M23="","",'Matrix-Rektum'!M23*100)</f>
        <v/>
      </c>
      <c r="M2" s="237" t="str">
        <f>IF('Matrix-Rektum'!O23="","",'Matrix-Rektum'!O23)</f>
        <v/>
      </c>
      <c r="N2" s="192" t="str">
        <f>IF('Matrix-Rektum'!P23="","",'Matrix-Rektum'!P23*100)</f>
        <v/>
      </c>
      <c r="O2" s="237" t="str">
        <f>IF('Matrix-Rektum'!Q23="","",'Matrix-Rektum'!Q23)</f>
        <v/>
      </c>
      <c r="P2" s="237" t="str">
        <f>IF('Matrix-Rektum'!R23="","",'Matrix-Rektum'!R23)</f>
        <v/>
      </c>
      <c r="Q2" s="237" t="str">
        <f>IF('Matrix-Rektum'!S23="","",'Matrix-Rektum'!S23)</f>
        <v/>
      </c>
      <c r="R2" s="237" t="str">
        <f>IF('Matrix-Rektum'!T23="","",'Matrix-Rektum'!T23)</f>
        <v/>
      </c>
      <c r="S2" s="237" t="str">
        <f>IF('Matrix-Rektum'!U23="","",'Matrix-Rektum'!U23)</f>
        <v/>
      </c>
      <c r="T2" s="237" t="str">
        <f>IF('Matrix-Rektum'!V23="","",'Matrix-Rektum'!V23)</f>
        <v/>
      </c>
      <c r="U2" s="237" t="str">
        <f>IF('Matrix-Rektum'!W23="","",'Matrix-Rektum'!W23)</f>
        <v/>
      </c>
      <c r="V2" s="192" t="str">
        <f>IF('Matrix-Rektum'!Y23="","",'Matrix-Rektum'!Y23*100)</f>
        <v/>
      </c>
      <c r="W2" s="192" t="str">
        <f>IF('Matrix-Rektum'!Z23="","",'Matrix-Rektum'!Z23*100)</f>
        <v/>
      </c>
    </row>
    <row r="3" spans="1:23" x14ac:dyDescent="0.25">
      <c r="A3" s="232" t="str">
        <f>'Matrix-Rektum'!A24</f>
        <v>nicht relevant</v>
      </c>
      <c r="B3" s="215">
        <f>'Matrix-Rektum'!B24</f>
        <v>2020</v>
      </c>
      <c r="C3" s="215">
        <f>IF('Matrix-Rektum'!C24="","---",'Matrix-Rektum'!C24)</f>
        <v>0</v>
      </c>
      <c r="D3" s="237" t="str">
        <f>IF('Matrix-Rektum'!D24="","",'Matrix-Rektum'!D24)</f>
        <v/>
      </c>
      <c r="E3" s="237" t="str">
        <f>IF('Matrix-Rektum'!E24="","",'Matrix-Rektum'!E24)</f>
        <v/>
      </c>
      <c r="F3" s="237" t="str">
        <f>IF('Matrix-Rektum'!F24="","",'Matrix-Rektum'!F24)</f>
        <v/>
      </c>
      <c r="G3" s="237" t="str">
        <f>IF('Matrix-Rektum'!G24="","",'Matrix-Rektum'!G24)</f>
        <v/>
      </c>
      <c r="H3" s="237" t="str">
        <f>IF('Matrix-Rektum'!I24="","",'Matrix-Rektum'!I24)</f>
        <v/>
      </c>
      <c r="I3" s="237" t="str">
        <f>IF('Matrix-Rektum'!J24="","",'Matrix-Rektum'!J24)</f>
        <v/>
      </c>
      <c r="J3" s="237" t="str">
        <f>IF('Matrix-Rektum'!K24="","",'Matrix-Rektum'!K24)</f>
        <v/>
      </c>
      <c r="K3" s="237" t="str">
        <f>IF('Matrix-Rektum'!L24="","",'Matrix-Rektum'!L24)</f>
        <v/>
      </c>
      <c r="L3" s="192" t="str">
        <f>IF('Matrix-Rektum'!M24="","",'Matrix-Rektum'!M24*100)</f>
        <v/>
      </c>
      <c r="M3" s="237" t="str">
        <f>IF('Matrix-Rektum'!O24="","",'Matrix-Rektum'!O24)</f>
        <v/>
      </c>
      <c r="N3" s="192" t="str">
        <f>IF('Matrix-Rektum'!P24="","",'Matrix-Rektum'!P24*100)</f>
        <v/>
      </c>
      <c r="O3" s="237" t="str">
        <f>IF('Matrix-Rektum'!Q24="","",'Matrix-Rektum'!Q24)</f>
        <v/>
      </c>
      <c r="P3" s="237" t="str">
        <f>IF('Matrix-Rektum'!R24="","",'Matrix-Rektum'!R24)</f>
        <v/>
      </c>
      <c r="Q3" s="237" t="str">
        <f>IF('Matrix-Rektum'!S24="","",'Matrix-Rektum'!S24)</f>
        <v/>
      </c>
      <c r="R3" s="237" t="str">
        <f>IF('Matrix-Rektum'!T24="","",'Matrix-Rektum'!T24)</f>
        <v/>
      </c>
      <c r="S3" s="237" t="str">
        <f>IF('Matrix-Rektum'!U24="","",'Matrix-Rektum'!U24)</f>
        <v/>
      </c>
      <c r="T3" s="237" t="str">
        <f>IF('Matrix-Rektum'!V24="","",'Matrix-Rektum'!V24)</f>
        <v/>
      </c>
      <c r="U3" s="237" t="str">
        <f>IF('Matrix-Rektum'!W24="","",'Matrix-Rektum'!W24)</f>
        <v/>
      </c>
      <c r="V3" s="192" t="str">
        <f>IF('Matrix-Rektum'!Y24="","",'Matrix-Rektum'!Y24*100)</f>
        <v/>
      </c>
      <c r="W3" s="192" t="str">
        <f>IF('Matrix-Rektum'!Z24="","",'Matrix-Rektum'!Z24*100)</f>
        <v/>
      </c>
    </row>
    <row r="4" spans="1:23" x14ac:dyDescent="0.25">
      <c r="A4" s="232" t="str">
        <f>'Matrix-Rektum'!A25</f>
        <v>nicht relevant</v>
      </c>
      <c r="B4" s="215">
        <f>'Matrix-Rektum'!B25</f>
        <v>2021</v>
      </c>
      <c r="C4" s="215">
        <f>IF('Matrix-Rektum'!C25="","---",'Matrix-Rektum'!C25)</f>
        <v>0</v>
      </c>
      <c r="D4" s="237" t="str">
        <f>IF('Matrix-Rektum'!D25="","",'Matrix-Rektum'!D25)</f>
        <v/>
      </c>
      <c r="E4" s="237" t="str">
        <f>IF('Matrix-Rektum'!E25="","",'Matrix-Rektum'!E25)</f>
        <v/>
      </c>
      <c r="F4" s="237" t="str">
        <f>IF('Matrix-Rektum'!F25="","",'Matrix-Rektum'!F25)</f>
        <v/>
      </c>
      <c r="G4" s="237" t="str">
        <f>IF('Matrix-Rektum'!G25="","",'Matrix-Rektum'!G25)</f>
        <v/>
      </c>
      <c r="H4" s="237" t="str">
        <f>IF('Matrix-Rektum'!I25="","",'Matrix-Rektum'!I25)</f>
        <v/>
      </c>
      <c r="I4" s="237" t="str">
        <f>IF('Matrix-Rektum'!J25="","",'Matrix-Rektum'!J25)</f>
        <v/>
      </c>
      <c r="J4" s="237" t="str">
        <f>IF('Matrix-Rektum'!K25="","",'Matrix-Rektum'!K25)</f>
        <v/>
      </c>
      <c r="K4" s="237" t="str">
        <f>IF('Matrix-Rektum'!L25="","",'Matrix-Rektum'!L25)</f>
        <v/>
      </c>
      <c r="L4" s="192" t="str">
        <f>IF('Matrix-Rektum'!M25="","",'Matrix-Rektum'!M25*100)</f>
        <v/>
      </c>
      <c r="M4" s="237" t="str">
        <f>IF('Matrix-Rektum'!O25="","",'Matrix-Rektum'!O25)</f>
        <v/>
      </c>
      <c r="N4" s="192" t="str">
        <f>IF('Matrix-Rektum'!P25="","",'Matrix-Rektum'!P25*100)</f>
        <v/>
      </c>
      <c r="O4" s="237" t="str">
        <f>IF('Matrix-Rektum'!Q25="","",'Matrix-Rektum'!Q25)</f>
        <v/>
      </c>
      <c r="P4" s="237" t="str">
        <f>IF('Matrix-Rektum'!R25="","",'Matrix-Rektum'!R25)</f>
        <v/>
      </c>
      <c r="Q4" s="237" t="str">
        <f>IF('Matrix-Rektum'!S25="","",'Matrix-Rektum'!S25)</f>
        <v/>
      </c>
      <c r="R4" s="237" t="str">
        <f>IF('Matrix-Rektum'!T25="","",'Matrix-Rektum'!T25)</f>
        <v/>
      </c>
      <c r="S4" s="237" t="str">
        <f>IF('Matrix-Rektum'!U25="","",'Matrix-Rektum'!U25)</f>
        <v/>
      </c>
      <c r="T4" s="237" t="str">
        <f>IF('Matrix-Rektum'!V25="","",'Matrix-Rektum'!V25)</f>
        <v/>
      </c>
      <c r="U4" s="237" t="str">
        <f>IF('Matrix-Rektum'!W25="","",'Matrix-Rektum'!W25)</f>
        <v/>
      </c>
      <c r="V4" s="192" t="str">
        <f>IF('Matrix-Rektum'!Y25="","",'Matrix-Rektum'!Y25*100)</f>
        <v/>
      </c>
      <c r="W4" s="192" t="str">
        <f>IF('Matrix-Rektum'!Z25="","",'Matrix-Rektum'!Z25*100)</f>
        <v/>
      </c>
    </row>
    <row r="5" spans="1:23" x14ac:dyDescent="0.25">
      <c r="A5" s="232" t="str">
        <f>'Matrix-Rektum'!A26</f>
        <v>nicht relevant</v>
      </c>
      <c r="B5" s="215">
        <f>'Matrix-Rektum'!B26</f>
        <v>2022</v>
      </c>
      <c r="C5" s="215">
        <f>IF('Matrix-Rektum'!C26="","---",'Matrix-Rektum'!C26)</f>
        <v>0</v>
      </c>
      <c r="D5" s="237" t="str">
        <f>IF('Matrix-Rektum'!D26="","",'Matrix-Rektum'!D26)</f>
        <v/>
      </c>
      <c r="E5" s="237" t="str">
        <f>IF('Matrix-Rektum'!E26="","",'Matrix-Rektum'!E26)</f>
        <v/>
      </c>
      <c r="F5" s="237" t="str">
        <f>IF('Matrix-Rektum'!F26="","",'Matrix-Rektum'!F26)</f>
        <v/>
      </c>
      <c r="G5" s="237" t="str">
        <f>IF('Matrix-Rektum'!G26="","",'Matrix-Rektum'!G26)</f>
        <v/>
      </c>
      <c r="H5" s="237" t="str">
        <f>IF('Matrix-Rektum'!I26="","",'Matrix-Rektum'!I26)</f>
        <v/>
      </c>
      <c r="I5" s="237" t="str">
        <f>IF('Matrix-Rektum'!J26="","",'Matrix-Rektum'!J26)</f>
        <v/>
      </c>
      <c r="J5" s="237" t="str">
        <f>IF('Matrix-Rektum'!K26="","",'Matrix-Rektum'!K26)</f>
        <v/>
      </c>
      <c r="K5" s="237" t="str">
        <f>IF('Matrix-Rektum'!L26="","",'Matrix-Rektum'!L26)</f>
        <v/>
      </c>
      <c r="L5" s="192" t="str">
        <f>IF('Matrix-Rektum'!M26="","",'Matrix-Rektum'!M26*100)</f>
        <v/>
      </c>
      <c r="M5" s="237" t="str">
        <f>IF('Matrix-Rektum'!O26="","",'Matrix-Rektum'!O26)</f>
        <v/>
      </c>
      <c r="N5" s="192" t="str">
        <f>IF('Matrix-Rektum'!P26="","",'Matrix-Rektum'!P26*100)</f>
        <v/>
      </c>
      <c r="O5" s="237" t="str">
        <f>IF('Matrix-Rektum'!Q26="","",'Matrix-Rektum'!Q26)</f>
        <v/>
      </c>
      <c r="P5" s="237" t="str">
        <f>IF('Matrix-Rektum'!R26="","",'Matrix-Rektum'!R26)</f>
        <v/>
      </c>
      <c r="Q5" s="237" t="str">
        <f>IF('Matrix-Rektum'!S26="","",'Matrix-Rektum'!S26)</f>
        <v/>
      </c>
      <c r="R5" s="237" t="str">
        <f>IF('Matrix-Rektum'!T26="","",'Matrix-Rektum'!T26)</f>
        <v/>
      </c>
      <c r="S5" s="237" t="str">
        <f>IF('Matrix-Rektum'!U26="","",'Matrix-Rektum'!U26)</f>
        <v/>
      </c>
      <c r="T5" s="237" t="str">
        <f>IF('Matrix-Rektum'!V26="","",'Matrix-Rektum'!V26)</f>
        <v/>
      </c>
      <c r="U5" s="237" t="str">
        <f>IF('Matrix-Rektum'!W26="","",'Matrix-Rektum'!W26)</f>
        <v/>
      </c>
      <c r="V5" s="192" t="str">
        <f>IF('Matrix-Rektum'!Y26="","",'Matrix-Rektum'!Y26*100)</f>
        <v/>
      </c>
      <c r="W5" s="192" t="str">
        <f>IF('Matrix-Rektum'!Z26="","",'Matrix-Rektum'!Z26*100)</f>
        <v/>
      </c>
    </row>
    <row r="6" spans="1:23" x14ac:dyDescent="0.25">
      <c r="A6" s="232" t="str">
        <f>'Matrix-Rektum'!A27</f>
        <v>nicht relevant</v>
      </c>
      <c r="B6" s="215" t="str">
        <f>LEFT('Matrix-Rektum'!B27,4)</f>
        <v>2023</v>
      </c>
      <c r="C6" s="215">
        <f>IF('Matrix-Rektum'!C27="","---",'Matrix-Rektum'!C27)</f>
        <v>0</v>
      </c>
      <c r="D6" s="237" t="str">
        <f>IF('Matrix-Rektum'!D27="","",'Matrix-Rektum'!D27)</f>
        <v/>
      </c>
      <c r="E6" s="237" t="str">
        <f>IF('Matrix-Rektum'!E27="","",'Matrix-Rektum'!E27)</f>
        <v/>
      </c>
      <c r="F6" s="237" t="str">
        <f>IF('Matrix-Rektum'!F27="","",'Matrix-Rektum'!F27)</f>
        <v/>
      </c>
      <c r="G6" s="237" t="str">
        <f>IF('Matrix-Rektum'!G27="","",'Matrix-Rektum'!G27)</f>
        <v/>
      </c>
      <c r="H6" s="237" t="str">
        <f>IF('Matrix-Rektum'!I27="","",'Matrix-Rektum'!I27)</f>
        <v/>
      </c>
      <c r="I6" s="237" t="str">
        <f>IF('Matrix-Rektum'!J27="","",'Matrix-Rektum'!J27)</f>
        <v/>
      </c>
      <c r="J6" s="237" t="str">
        <f>IF('Matrix-Rektum'!K27="","",'Matrix-Rektum'!K27)</f>
        <v/>
      </c>
      <c r="K6" s="237" t="str">
        <f>IF('Matrix-Rektum'!L27="","",'Matrix-Rektum'!L27)</f>
        <v/>
      </c>
      <c r="L6" s="192" t="str">
        <f>IF('Matrix-Rektum'!M27="","",'Matrix-Rektum'!M27*100)</f>
        <v/>
      </c>
      <c r="M6" s="237" t="str">
        <f>IF('Matrix-Rektum'!O27="","",'Matrix-Rektum'!O27)</f>
        <v/>
      </c>
      <c r="N6" s="192" t="str">
        <f>IF('Matrix-Rektum'!P27="","",'Matrix-Rektum'!P27*100)</f>
        <v/>
      </c>
      <c r="O6" s="237" t="str">
        <f>IF('Matrix-Rektum'!Q27="","",'Matrix-Rektum'!Q27)</f>
        <v/>
      </c>
      <c r="P6" s="237" t="str">
        <f>IF('Matrix-Rektum'!R27="","",'Matrix-Rektum'!R27)</f>
        <v/>
      </c>
      <c r="Q6" s="237" t="str">
        <f>IF('Matrix-Rektum'!S27="","",'Matrix-Rektum'!S27)</f>
        <v/>
      </c>
      <c r="R6" s="237" t="str">
        <f>IF('Matrix-Rektum'!T27="","",'Matrix-Rektum'!T27)</f>
        <v/>
      </c>
      <c r="S6" s="237" t="str">
        <f>IF('Matrix-Rektum'!U27="","",'Matrix-Rektum'!U27)</f>
        <v/>
      </c>
      <c r="T6" s="237" t="str">
        <f>IF('Matrix-Rektum'!V27="","",'Matrix-Rektum'!V27)</f>
        <v/>
      </c>
      <c r="U6" s="237" t="str">
        <f>IF('Matrix-Rektum'!W27="","",'Matrix-Rektum'!W27)</f>
        <v/>
      </c>
      <c r="V6" s="192" t="str">
        <f>IF('Matrix-Rektum'!Y27="","",'Matrix-Rektum'!Y27*100)</f>
        <v/>
      </c>
      <c r="W6" s="192" t="str">
        <f>IF('Matrix-Rektum'!Z27="","",'Matrix-Rektum'!Z27*100)</f>
        <v/>
      </c>
    </row>
    <row r="7" spans="1:23" x14ac:dyDescent="0.25">
      <c r="A7" s="232" t="str">
        <f>'Matrix-Rektum'!A28</f>
        <v>nicht relevant</v>
      </c>
      <c r="B7" s="215" t="str">
        <f>LEFT('Matrix-Rektum'!B28,4)</f>
        <v>2024</v>
      </c>
      <c r="C7" s="215">
        <f>IF('Matrix-Rektum'!C28="","---",'Matrix-Rektum'!C28)</f>
        <v>0</v>
      </c>
      <c r="D7" s="237" t="str">
        <f>IF('Matrix-Rektum'!D28="","",'Matrix-Rektum'!D28)</f>
        <v/>
      </c>
      <c r="E7" s="237" t="str">
        <f>IF('Matrix-Rektum'!E28="","",'Matrix-Rektum'!E28)</f>
        <v/>
      </c>
      <c r="F7" s="237" t="str">
        <f>IF('Matrix-Rektum'!F28="","",'Matrix-Rektum'!F28)</f>
        <v/>
      </c>
      <c r="G7" s="237" t="str">
        <f>IF('Matrix-Rektum'!G28="","",'Matrix-Rektum'!G28)</f>
        <v/>
      </c>
      <c r="H7" s="237" t="str">
        <f>IF('Matrix-Rektum'!I28="","",'Matrix-Rektum'!I28)</f>
        <v/>
      </c>
      <c r="I7" s="237" t="str">
        <f>IF('Matrix-Rektum'!J28="","",'Matrix-Rektum'!J28)</f>
        <v/>
      </c>
      <c r="J7" s="237" t="str">
        <f>IF('Matrix-Rektum'!K28="","",'Matrix-Rektum'!K28)</f>
        <v/>
      </c>
      <c r="K7" s="237" t="str">
        <f>IF('Matrix-Rektum'!L28="","",'Matrix-Rektum'!L28)</f>
        <v/>
      </c>
      <c r="L7" s="192" t="str">
        <f>IF('Matrix-Rektum'!M28="","",'Matrix-Rektum'!M28*100)</f>
        <v/>
      </c>
      <c r="M7" s="237" t="str">
        <f>IF('Matrix-Rektum'!O28="","",'Matrix-Rektum'!O28)</f>
        <v/>
      </c>
      <c r="N7" s="192" t="str">
        <f>IF('Matrix-Rektum'!P28="","",'Matrix-Rektum'!P28*100)</f>
        <v/>
      </c>
      <c r="O7" s="237" t="str">
        <f>IF('Matrix-Rektum'!Q28="","",'Matrix-Rektum'!Q28)</f>
        <v/>
      </c>
      <c r="P7" s="237" t="str">
        <f>IF('Matrix-Rektum'!R28="","",'Matrix-Rektum'!R28)</f>
        <v/>
      </c>
      <c r="Q7" s="237" t="str">
        <f>IF('Matrix-Rektum'!S28="","",'Matrix-Rektum'!S28)</f>
        <v/>
      </c>
      <c r="R7" s="237" t="str">
        <f>IF('Matrix-Rektum'!T28="","",'Matrix-Rektum'!T28)</f>
        <v/>
      </c>
      <c r="S7" s="237" t="str">
        <f>IF('Matrix-Rektum'!U28="","",'Matrix-Rektum'!U28)</f>
        <v/>
      </c>
      <c r="T7" s="237" t="str">
        <f>IF('Matrix-Rektum'!V28="","",'Matrix-Rektum'!V28)</f>
        <v/>
      </c>
      <c r="U7" s="237" t="str">
        <f>IF('Matrix-Rektum'!W28="","",'Matrix-Rektum'!W28)</f>
        <v/>
      </c>
      <c r="V7" s="192" t="str">
        <f>IF('Matrix-Rektum'!Y28="","",'Matrix-Rektum'!Y28*100)</f>
        <v/>
      </c>
      <c r="W7" s="192" t="str">
        <f>IF('Matrix-Rektum'!Z28="","",'Matrix-Rektum'!Z28*100)</f>
        <v/>
      </c>
    </row>
    <row r="8" spans="1:23" x14ac:dyDescent="0.25">
      <c r="A8" s="232" t="str">
        <f>'Matrix-Rektum'!A29</f>
        <v>nicht relevant</v>
      </c>
      <c r="B8" s="215" t="str">
        <f>LEFT('Matrix-Rektum'!B29,4)</f>
        <v>2025</v>
      </c>
      <c r="C8" s="215">
        <f>IF('Matrix-Rektum'!C29="","---",'Matrix-Rektum'!C29)</f>
        <v>0</v>
      </c>
      <c r="D8" s="237" t="str">
        <f>IF('Matrix-Rektum'!D29="","",'Matrix-Rektum'!D29)</f>
        <v/>
      </c>
      <c r="E8" s="237" t="str">
        <f>IF('Matrix-Rektum'!E29="","",'Matrix-Rektum'!E29)</f>
        <v/>
      </c>
      <c r="F8" s="237" t="str">
        <f>IF('Matrix-Rektum'!F29="","",'Matrix-Rektum'!F29)</f>
        <v/>
      </c>
      <c r="G8" s="237" t="str">
        <f>IF('Matrix-Rektum'!G29="","",'Matrix-Rektum'!G29)</f>
        <v/>
      </c>
      <c r="H8" s="237" t="str">
        <f>IF('Matrix-Rektum'!I29="","",'Matrix-Rektum'!I29)</f>
        <v/>
      </c>
      <c r="I8" s="237" t="str">
        <f>IF('Matrix-Rektum'!J29="","",'Matrix-Rektum'!J29)</f>
        <v/>
      </c>
      <c r="J8" s="237" t="str">
        <f>IF('Matrix-Rektum'!K29="","",'Matrix-Rektum'!K29)</f>
        <v/>
      </c>
      <c r="K8" s="237" t="str">
        <f>IF('Matrix-Rektum'!L29="","",'Matrix-Rektum'!L29)</f>
        <v/>
      </c>
      <c r="L8" s="192" t="str">
        <f>IF('Matrix-Rektum'!M29="","",'Matrix-Rektum'!M29*100)</f>
        <v/>
      </c>
      <c r="M8" s="237" t="str">
        <f>IF('Matrix-Rektum'!O29="","",'Matrix-Rektum'!O29)</f>
        <v/>
      </c>
      <c r="N8" s="192" t="str">
        <f>IF('Matrix-Rektum'!P29="","",'Matrix-Rektum'!P29*100)</f>
        <v/>
      </c>
      <c r="O8" s="237" t="str">
        <f>IF('Matrix-Rektum'!Q29="","",'Matrix-Rektum'!Q29)</f>
        <v/>
      </c>
      <c r="P8" s="237" t="str">
        <f>IF('Matrix-Rektum'!R29="","",'Matrix-Rektum'!R29)</f>
        <v/>
      </c>
      <c r="Q8" s="237" t="str">
        <f>IF('Matrix-Rektum'!S29="","",'Matrix-Rektum'!S29)</f>
        <v/>
      </c>
      <c r="R8" s="237" t="str">
        <f>IF('Matrix-Rektum'!T29="","",'Matrix-Rektum'!T29)</f>
        <v/>
      </c>
      <c r="S8" s="237" t="str">
        <f>IF('Matrix-Rektum'!U29="","",'Matrix-Rektum'!U29)</f>
        <v/>
      </c>
      <c r="T8" s="237" t="str">
        <f>IF('Matrix-Rektum'!V29="","",'Matrix-Rektum'!V29)</f>
        <v/>
      </c>
      <c r="U8" s="237" t="str">
        <f>IF('Matrix-Rektum'!W29="","",'Matrix-Rektum'!W29)</f>
        <v/>
      </c>
      <c r="V8" s="192" t="str">
        <f>IF('Matrix-Rektum'!Y29="","",'Matrix-Rektum'!Y29*100)</f>
        <v/>
      </c>
      <c r="W8" s="192" t="str">
        <f>IF('Matrix-Rektum'!Z29="","",'Matrix-Rektum'!Z29*100)</f>
        <v/>
      </c>
    </row>
  </sheetData>
  <phoneticPr fontId="81" type="noConversion"/>
  <pageMargins left="0.7" right="0.7" top="0.78740157499999996" bottom="0.78740157499999996" header="0.3" footer="0.3"/>
  <pageSetup paperSize="9"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Tabelle21"/>
  <dimension ref="A1:D65"/>
  <sheetViews>
    <sheetView workbookViewId="0">
      <selection activeCell="A65" sqref="A65"/>
    </sheetView>
  </sheetViews>
  <sheetFormatPr defaultColWidth="9.140625" defaultRowHeight="12" x14ac:dyDescent="0.25"/>
  <cols>
    <col min="1" max="1" width="19" style="150" customWidth="1"/>
    <col min="2" max="2" width="22.140625" style="150" customWidth="1"/>
    <col min="3" max="3" width="45.5703125" style="182" customWidth="1"/>
    <col min="4" max="4" width="71" style="182" customWidth="1"/>
    <col min="5" max="16384" width="9.140625" style="149"/>
  </cols>
  <sheetData>
    <row r="1" spans="1:4" ht="24" x14ac:dyDescent="0.25">
      <c r="A1" s="151" t="s">
        <v>379</v>
      </c>
      <c r="B1" s="152" t="s">
        <v>238</v>
      </c>
      <c r="C1" s="151" t="s">
        <v>336</v>
      </c>
      <c r="D1" s="151" t="s">
        <v>117</v>
      </c>
    </row>
    <row r="2" spans="1:4" x14ac:dyDescent="0.25">
      <c r="A2" s="150" t="str">
        <f ca="1">Berechnung5!L2</f>
        <v/>
      </c>
      <c r="B2" s="150" t="str">
        <f ca="1">Berechnung5!N2</f>
        <v/>
      </c>
      <c r="C2" s="182" t="str">
        <f ca="1">Berechnung5!O2</f>
        <v/>
      </c>
      <c r="D2" s="182" t="str">
        <f ca="1">Berechnung5!P2</f>
        <v/>
      </c>
    </row>
    <row r="3" spans="1:4" x14ac:dyDescent="0.25">
      <c r="A3" s="150" t="str">
        <f ca="1">Berechnung5!L3</f>
        <v/>
      </c>
      <c r="B3" s="150" t="str">
        <f ca="1">Berechnung5!N3</f>
        <v/>
      </c>
      <c r="C3" s="182" t="str">
        <f ca="1">Berechnung5!O3</f>
        <v/>
      </c>
      <c r="D3" s="182" t="str">
        <f ca="1">Berechnung5!P3</f>
        <v/>
      </c>
    </row>
    <row r="4" spans="1:4" x14ac:dyDescent="0.25">
      <c r="A4" s="150" t="str">
        <f ca="1">Berechnung5!L4</f>
        <v/>
      </c>
      <c r="B4" s="150" t="str">
        <f ca="1">Berechnung5!N4</f>
        <v/>
      </c>
      <c r="C4" s="182" t="str">
        <f ca="1">Berechnung5!O4</f>
        <v/>
      </c>
      <c r="D4" s="182" t="str">
        <f ca="1">Berechnung5!P4</f>
        <v/>
      </c>
    </row>
    <row r="5" spans="1:4" x14ac:dyDescent="0.25">
      <c r="A5" s="150" t="str">
        <f ca="1">Berechnung5!L5</f>
        <v/>
      </c>
      <c r="B5" s="150" t="str">
        <f ca="1">Berechnung5!N5</f>
        <v/>
      </c>
      <c r="C5" s="182" t="str">
        <f ca="1">Berechnung5!O5</f>
        <v/>
      </c>
      <c r="D5" s="182" t="str">
        <f ca="1">Berechnung5!P5</f>
        <v/>
      </c>
    </row>
    <row r="6" spans="1:4" x14ac:dyDescent="0.25">
      <c r="A6" s="150" t="str">
        <f ca="1">Berechnung5!L6</f>
        <v/>
      </c>
      <c r="B6" s="150" t="str">
        <f ca="1">Berechnung5!N6</f>
        <v/>
      </c>
      <c r="C6" s="182" t="str">
        <f ca="1">Berechnung5!O6</f>
        <v/>
      </c>
      <c r="D6" s="182" t="str">
        <f ca="1">Berechnung5!P6</f>
        <v/>
      </c>
    </row>
    <row r="7" spans="1:4" x14ac:dyDescent="0.25">
      <c r="A7" s="150" t="str">
        <f ca="1">Berechnung5!L7</f>
        <v/>
      </c>
      <c r="B7" s="150" t="str">
        <f ca="1">Berechnung5!N7</f>
        <v/>
      </c>
      <c r="C7" s="182" t="str">
        <f ca="1">Berechnung5!O7</f>
        <v/>
      </c>
      <c r="D7" s="182" t="str">
        <f ca="1">Berechnung5!P7</f>
        <v/>
      </c>
    </row>
    <row r="8" spans="1:4" x14ac:dyDescent="0.25">
      <c r="A8" s="150" t="str">
        <f ca="1">Berechnung5!L8</f>
        <v/>
      </c>
      <c r="B8" s="150" t="str">
        <f ca="1">Berechnung5!N8</f>
        <v/>
      </c>
      <c r="C8" s="182" t="str">
        <f ca="1">Berechnung5!O8</f>
        <v/>
      </c>
      <c r="D8" s="182" t="str">
        <f ca="1">Berechnung5!P8</f>
        <v/>
      </c>
    </row>
    <row r="9" spans="1:4" x14ac:dyDescent="0.25">
      <c r="A9" s="150" t="str">
        <f ca="1">Berechnung5!L9</f>
        <v/>
      </c>
      <c r="B9" s="150" t="str">
        <f ca="1">Berechnung5!N9</f>
        <v/>
      </c>
      <c r="C9" s="182" t="str">
        <f ca="1">Berechnung5!O9</f>
        <v/>
      </c>
      <c r="D9" s="182" t="str">
        <f ca="1">Berechnung5!P9</f>
        <v/>
      </c>
    </row>
    <row r="10" spans="1:4" x14ac:dyDescent="0.25">
      <c r="A10" s="150" t="str">
        <f ca="1">Berechnung5!L10</f>
        <v/>
      </c>
      <c r="B10" s="150" t="str">
        <f ca="1">Berechnung5!N10</f>
        <v/>
      </c>
      <c r="C10" s="182" t="str">
        <f ca="1">Berechnung5!O10</f>
        <v/>
      </c>
      <c r="D10" s="182" t="str">
        <f ca="1">Berechnung5!P10</f>
        <v/>
      </c>
    </row>
    <row r="11" spans="1:4" x14ac:dyDescent="0.25">
      <c r="A11" s="150" t="str">
        <f ca="1">Berechnung5!L11</f>
        <v/>
      </c>
      <c r="B11" s="150" t="str">
        <f ca="1">Berechnung5!N11</f>
        <v/>
      </c>
      <c r="C11" s="182" t="str">
        <f ca="1">Berechnung5!O11</f>
        <v/>
      </c>
      <c r="D11" s="182" t="str">
        <f ca="1">Berechnung5!P11</f>
        <v/>
      </c>
    </row>
    <row r="12" spans="1:4" x14ac:dyDescent="0.25">
      <c r="A12" s="150" t="str">
        <f ca="1">Berechnung5!L12</f>
        <v/>
      </c>
      <c r="B12" s="150" t="str">
        <f ca="1">Berechnung5!N12</f>
        <v/>
      </c>
      <c r="C12" s="182" t="str">
        <f ca="1">Berechnung5!O12</f>
        <v/>
      </c>
      <c r="D12" s="182" t="str">
        <f ca="1">Berechnung5!P12</f>
        <v/>
      </c>
    </row>
    <row r="13" spans="1:4" x14ac:dyDescent="0.25">
      <c r="A13" s="150" t="str">
        <f ca="1">Berechnung5!L13</f>
        <v/>
      </c>
      <c r="B13" s="150" t="str">
        <f ca="1">Berechnung5!N13</f>
        <v/>
      </c>
      <c r="C13" s="182" t="str">
        <f ca="1">Berechnung5!O13</f>
        <v/>
      </c>
      <c r="D13" s="182" t="str">
        <f ca="1">Berechnung5!P13</f>
        <v/>
      </c>
    </row>
    <row r="14" spans="1:4" x14ac:dyDescent="0.25">
      <c r="A14" s="150" t="str">
        <f ca="1">Berechnung5!L14</f>
        <v/>
      </c>
      <c r="B14" s="150" t="str">
        <f ca="1">Berechnung5!N14</f>
        <v/>
      </c>
      <c r="C14" s="182" t="str">
        <f ca="1">Berechnung5!O14</f>
        <v/>
      </c>
      <c r="D14" s="182" t="str">
        <f ca="1">Berechnung5!P14</f>
        <v/>
      </c>
    </row>
    <row r="15" spans="1:4" x14ac:dyDescent="0.25">
      <c r="A15" s="150" t="str">
        <f ca="1">Berechnung5!L15</f>
        <v/>
      </c>
      <c r="B15" s="150" t="str">
        <f ca="1">Berechnung5!N15</f>
        <v/>
      </c>
      <c r="C15" s="182" t="str">
        <f ca="1">Berechnung5!O15</f>
        <v/>
      </c>
      <c r="D15" s="182" t="str">
        <f ca="1">Berechnung5!P15</f>
        <v/>
      </c>
    </row>
    <row r="16" spans="1:4" x14ac:dyDescent="0.25">
      <c r="A16" s="150" t="str">
        <f ca="1">Berechnung5!L16</f>
        <v/>
      </c>
      <c r="B16" s="150" t="str">
        <f ca="1">Berechnung5!N16</f>
        <v/>
      </c>
      <c r="C16" s="182" t="str">
        <f ca="1">Berechnung5!O16</f>
        <v/>
      </c>
      <c r="D16" s="182" t="str">
        <f ca="1">Berechnung5!P16</f>
        <v/>
      </c>
    </row>
    <row r="17" spans="1:4" x14ac:dyDescent="0.25">
      <c r="A17" s="150" t="str">
        <f ca="1">Berechnung5!L17</f>
        <v/>
      </c>
      <c r="B17" s="150" t="str">
        <f ca="1">Berechnung5!N17</f>
        <v/>
      </c>
      <c r="C17" s="182" t="str">
        <f ca="1">Berechnung5!O17</f>
        <v/>
      </c>
      <c r="D17" s="182" t="str">
        <f ca="1">Berechnung5!P17</f>
        <v/>
      </c>
    </row>
    <row r="18" spans="1:4" x14ac:dyDescent="0.25">
      <c r="A18" s="150" t="str">
        <f ca="1">Berechnung5!L18</f>
        <v/>
      </c>
      <c r="B18" s="150" t="str">
        <f ca="1">Berechnung5!N18</f>
        <v/>
      </c>
      <c r="C18" s="182" t="str">
        <f ca="1">Berechnung5!O18</f>
        <v/>
      </c>
      <c r="D18" s="182" t="str">
        <f ca="1">Berechnung5!P18</f>
        <v/>
      </c>
    </row>
    <row r="19" spans="1:4" x14ac:dyDescent="0.25">
      <c r="A19" s="150" t="str">
        <f ca="1">Berechnung5!L19</f>
        <v/>
      </c>
      <c r="B19" s="150" t="str">
        <f ca="1">Berechnung5!N19</f>
        <v/>
      </c>
      <c r="C19" s="182" t="str">
        <f ca="1">Berechnung5!O19</f>
        <v/>
      </c>
      <c r="D19" s="182" t="str">
        <f ca="1">Berechnung5!P19</f>
        <v/>
      </c>
    </row>
    <row r="20" spans="1:4" x14ac:dyDescent="0.25">
      <c r="A20" s="150" t="str">
        <f ca="1">Berechnung5!L20</f>
        <v/>
      </c>
      <c r="B20" s="150" t="str">
        <f ca="1">Berechnung5!N20</f>
        <v/>
      </c>
      <c r="C20" s="182" t="str">
        <f ca="1">Berechnung5!O20</f>
        <v/>
      </c>
      <c r="D20" s="182" t="str">
        <f ca="1">Berechnung5!P20</f>
        <v/>
      </c>
    </row>
    <row r="21" spans="1:4" x14ac:dyDescent="0.25">
      <c r="A21" s="150" t="str">
        <f ca="1">Berechnung5!L21</f>
        <v/>
      </c>
      <c r="B21" s="150" t="str">
        <f ca="1">Berechnung5!N21</f>
        <v/>
      </c>
      <c r="C21" s="182" t="str">
        <f ca="1">Berechnung5!O21</f>
        <v/>
      </c>
      <c r="D21" s="182" t="str">
        <f ca="1">Berechnung5!P21</f>
        <v/>
      </c>
    </row>
    <row r="22" spans="1:4" x14ac:dyDescent="0.25">
      <c r="A22" s="150" t="str">
        <f ca="1">Berechnung5!L22</f>
        <v/>
      </c>
      <c r="B22" s="150" t="str">
        <f ca="1">Berechnung5!N22</f>
        <v/>
      </c>
      <c r="C22" s="182" t="str">
        <f ca="1">Berechnung5!O22</f>
        <v/>
      </c>
      <c r="D22" s="182" t="str">
        <f ca="1">Berechnung5!P22</f>
        <v/>
      </c>
    </row>
    <row r="23" spans="1:4" x14ac:dyDescent="0.25">
      <c r="A23" s="150" t="str">
        <f ca="1">Berechnung5!L23</f>
        <v/>
      </c>
      <c r="B23" s="150" t="str">
        <f ca="1">Berechnung5!N23</f>
        <v/>
      </c>
      <c r="C23" s="182" t="str">
        <f ca="1">Berechnung5!O23</f>
        <v/>
      </c>
      <c r="D23" s="182" t="str">
        <f ca="1">Berechnung5!P23</f>
        <v/>
      </c>
    </row>
    <row r="24" spans="1:4" x14ac:dyDescent="0.25">
      <c r="A24" s="150" t="str">
        <f ca="1">Berechnung5!L24</f>
        <v/>
      </c>
      <c r="B24" s="150" t="str">
        <f ca="1">Berechnung5!N24</f>
        <v/>
      </c>
      <c r="C24" s="182" t="str">
        <f ca="1">Berechnung5!O24</f>
        <v/>
      </c>
      <c r="D24" s="182" t="str">
        <f ca="1">Berechnung5!P24</f>
        <v/>
      </c>
    </row>
    <row r="25" spans="1:4" x14ac:dyDescent="0.25">
      <c r="A25" s="150" t="str">
        <f ca="1">Berechnung5!L25</f>
        <v/>
      </c>
      <c r="B25" s="150" t="str">
        <f ca="1">Berechnung5!N25</f>
        <v/>
      </c>
      <c r="C25" s="182" t="str">
        <f ca="1">Berechnung5!O25</f>
        <v/>
      </c>
      <c r="D25" s="182" t="str">
        <f ca="1">Berechnung5!P25</f>
        <v/>
      </c>
    </row>
    <row r="26" spans="1:4" x14ac:dyDescent="0.25">
      <c r="A26" s="150" t="str">
        <f ca="1">Berechnung5!L26</f>
        <v/>
      </c>
      <c r="B26" s="150" t="str">
        <f ca="1">Berechnung5!N26</f>
        <v/>
      </c>
      <c r="C26" s="182" t="str">
        <f ca="1">Berechnung5!O26</f>
        <v/>
      </c>
      <c r="D26" s="182" t="str">
        <f ca="1">Berechnung5!P26</f>
        <v/>
      </c>
    </row>
    <row r="27" spans="1:4" x14ac:dyDescent="0.25">
      <c r="A27" s="150" t="str">
        <f ca="1">Berechnung5!L27</f>
        <v/>
      </c>
      <c r="B27" s="150" t="str">
        <f ca="1">Berechnung5!N27</f>
        <v/>
      </c>
      <c r="C27" s="182" t="str">
        <f ca="1">Berechnung5!O27</f>
        <v/>
      </c>
      <c r="D27" s="182" t="str">
        <f ca="1">Berechnung5!P27</f>
        <v/>
      </c>
    </row>
    <row r="28" spans="1:4" x14ac:dyDescent="0.25">
      <c r="A28" s="150" t="str">
        <f ca="1">Berechnung5!L28</f>
        <v/>
      </c>
      <c r="B28" s="150" t="str">
        <f ca="1">Berechnung5!N28</f>
        <v/>
      </c>
      <c r="C28" s="182" t="str">
        <f ca="1">Berechnung5!O28</f>
        <v/>
      </c>
      <c r="D28" s="182" t="str">
        <f ca="1">Berechnung5!P28</f>
        <v/>
      </c>
    </row>
    <row r="29" spans="1:4" x14ac:dyDescent="0.25">
      <c r="A29" s="150" t="str">
        <f ca="1">Berechnung5!L29</f>
        <v/>
      </c>
      <c r="B29" s="150" t="str">
        <f ca="1">Berechnung5!N29</f>
        <v/>
      </c>
      <c r="C29" s="182" t="str">
        <f ca="1">Berechnung5!O29</f>
        <v/>
      </c>
      <c r="D29" s="182" t="str">
        <f ca="1">Berechnung5!P29</f>
        <v/>
      </c>
    </row>
    <row r="30" spans="1:4" x14ac:dyDescent="0.25">
      <c r="A30" s="150" t="str">
        <f ca="1">Berechnung5!L30</f>
        <v/>
      </c>
      <c r="B30" s="150" t="str">
        <f ca="1">Berechnung5!N30</f>
        <v/>
      </c>
      <c r="C30" s="182" t="str">
        <f ca="1">Berechnung5!O30</f>
        <v/>
      </c>
      <c r="D30" s="182" t="str">
        <f ca="1">Berechnung5!P30</f>
        <v/>
      </c>
    </row>
    <row r="31" spans="1:4" x14ac:dyDescent="0.25">
      <c r="A31" s="150" t="str">
        <f ca="1">Berechnung5!L31</f>
        <v/>
      </c>
      <c r="B31" s="150" t="str">
        <f ca="1">Berechnung5!N31</f>
        <v/>
      </c>
      <c r="C31" s="182" t="str">
        <f ca="1">Berechnung5!O31</f>
        <v/>
      </c>
      <c r="D31" s="182" t="str">
        <f ca="1">Berechnung5!P31</f>
        <v/>
      </c>
    </row>
    <row r="32" spans="1:4" x14ac:dyDescent="0.25">
      <c r="A32" s="150" t="str">
        <f ca="1">Berechnung5!L32</f>
        <v/>
      </c>
      <c r="B32" s="150" t="str">
        <f ca="1">Berechnung5!N32</f>
        <v/>
      </c>
      <c r="C32" s="182" t="str">
        <f ca="1">Berechnung5!O32</f>
        <v/>
      </c>
      <c r="D32" s="182" t="str">
        <f ca="1">Berechnung5!P32</f>
        <v/>
      </c>
    </row>
    <row r="33" spans="1:4" x14ac:dyDescent="0.25">
      <c r="A33" s="150" t="str">
        <f ca="1">Berechnung5!L33</f>
        <v/>
      </c>
      <c r="B33" s="150" t="str">
        <f ca="1">Berechnung5!N33</f>
        <v/>
      </c>
      <c r="C33" s="182" t="str">
        <f ca="1">Berechnung5!O33</f>
        <v/>
      </c>
      <c r="D33" s="182" t="str">
        <f ca="1">Berechnung5!P33</f>
        <v/>
      </c>
    </row>
    <row r="34" spans="1:4" x14ac:dyDescent="0.25">
      <c r="A34" s="150" t="str">
        <f ca="1">Berechnung5!L34</f>
        <v/>
      </c>
      <c r="B34" s="150" t="str">
        <f ca="1">Berechnung5!N34</f>
        <v/>
      </c>
      <c r="C34" s="182" t="str">
        <f ca="1">Berechnung5!O34</f>
        <v/>
      </c>
      <c r="D34" s="182" t="str">
        <f ca="1">Berechnung5!P34</f>
        <v/>
      </c>
    </row>
    <row r="35" spans="1:4" x14ac:dyDescent="0.25">
      <c r="A35" s="150" t="str">
        <f ca="1">Berechnung5!L35</f>
        <v/>
      </c>
      <c r="B35" s="150" t="str">
        <f ca="1">Berechnung5!N35</f>
        <v/>
      </c>
      <c r="C35" s="182" t="str">
        <f ca="1">Berechnung5!O35</f>
        <v/>
      </c>
      <c r="D35" s="182" t="str">
        <f ca="1">Berechnung5!P35</f>
        <v/>
      </c>
    </row>
    <row r="36" spans="1:4" x14ac:dyDescent="0.25">
      <c r="A36" s="150" t="str">
        <f ca="1">Berechnung5!L36</f>
        <v/>
      </c>
      <c r="B36" s="150" t="str">
        <f ca="1">Berechnung5!N36</f>
        <v/>
      </c>
      <c r="C36" s="182" t="str">
        <f ca="1">Berechnung5!O36</f>
        <v/>
      </c>
      <c r="D36" s="182" t="str">
        <f ca="1">Berechnung5!P36</f>
        <v/>
      </c>
    </row>
    <row r="37" spans="1:4" x14ac:dyDescent="0.25">
      <c r="A37" s="150" t="str">
        <f ca="1">Berechnung5!L37</f>
        <v/>
      </c>
      <c r="B37" s="150" t="str">
        <f ca="1">Berechnung5!N37</f>
        <v/>
      </c>
      <c r="C37" s="182" t="str">
        <f ca="1">Berechnung5!O37</f>
        <v/>
      </c>
      <c r="D37" s="182" t="str">
        <f ca="1">Berechnung5!P37</f>
        <v/>
      </c>
    </row>
    <row r="38" spans="1:4" x14ac:dyDescent="0.25">
      <c r="A38" s="150" t="str">
        <f ca="1">Berechnung5!L38</f>
        <v/>
      </c>
      <c r="B38" s="150" t="str">
        <f ca="1">Berechnung5!N38</f>
        <v/>
      </c>
      <c r="C38" s="182" t="str">
        <f ca="1">Berechnung5!O38</f>
        <v/>
      </c>
      <c r="D38" s="182" t="str">
        <f ca="1">Berechnung5!P38</f>
        <v/>
      </c>
    </row>
    <row r="39" spans="1:4" x14ac:dyDescent="0.25">
      <c r="A39" s="150" t="str">
        <f ca="1">Berechnung5!L39</f>
        <v/>
      </c>
      <c r="B39" s="150" t="str">
        <f ca="1">Berechnung5!N39</f>
        <v/>
      </c>
      <c r="C39" s="182" t="str">
        <f ca="1">Berechnung5!O39</f>
        <v/>
      </c>
      <c r="D39" s="182" t="str">
        <f ca="1">Berechnung5!P39</f>
        <v/>
      </c>
    </row>
    <row r="40" spans="1:4" x14ac:dyDescent="0.25">
      <c r="A40" s="150" t="str">
        <f ca="1">Berechnung5!L40</f>
        <v/>
      </c>
      <c r="B40" s="150" t="str">
        <f ca="1">Berechnung5!N40</f>
        <v/>
      </c>
      <c r="C40" s="182" t="str">
        <f ca="1">Berechnung5!O40</f>
        <v/>
      </c>
      <c r="D40" s="182" t="str">
        <f ca="1">Berechnung5!P40</f>
        <v/>
      </c>
    </row>
    <row r="41" spans="1:4" x14ac:dyDescent="0.25">
      <c r="A41" s="150" t="str">
        <f ca="1">Berechnung5!L41</f>
        <v/>
      </c>
      <c r="B41" s="150" t="str">
        <f ca="1">Berechnung5!N41</f>
        <v/>
      </c>
      <c r="C41" s="182" t="str">
        <f ca="1">Berechnung5!O41</f>
        <v/>
      </c>
      <c r="D41" s="182" t="str">
        <f ca="1">Berechnung5!P41</f>
        <v/>
      </c>
    </row>
    <row r="42" spans="1:4" x14ac:dyDescent="0.25">
      <c r="A42" s="150" t="str">
        <f ca="1">Berechnung5!L42</f>
        <v/>
      </c>
      <c r="B42" s="150" t="str">
        <f ca="1">Berechnung5!N42</f>
        <v/>
      </c>
      <c r="C42" s="182" t="str">
        <f ca="1">Berechnung5!O42</f>
        <v/>
      </c>
      <c r="D42" s="182" t="str">
        <f ca="1">Berechnung5!P42</f>
        <v/>
      </c>
    </row>
    <row r="43" spans="1:4" x14ac:dyDescent="0.25">
      <c r="A43" s="150" t="str">
        <f ca="1">Berechnung5!L43</f>
        <v/>
      </c>
      <c r="B43" s="150" t="str">
        <f ca="1">Berechnung5!N43</f>
        <v/>
      </c>
      <c r="C43" s="182" t="str">
        <f ca="1">Berechnung5!O43</f>
        <v/>
      </c>
      <c r="D43" s="182" t="str">
        <f ca="1">Berechnung5!P43</f>
        <v/>
      </c>
    </row>
    <row r="44" spans="1:4" x14ac:dyDescent="0.25">
      <c r="A44" s="150" t="str">
        <f ca="1">Berechnung5!L44</f>
        <v/>
      </c>
      <c r="B44" s="150" t="str">
        <f ca="1">Berechnung5!N44</f>
        <v/>
      </c>
      <c r="C44" s="182" t="str">
        <f ca="1">Berechnung5!O44</f>
        <v/>
      </c>
      <c r="D44" s="182" t="str">
        <f ca="1">Berechnung5!P44</f>
        <v/>
      </c>
    </row>
    <row r="45" spans="1:4" x14ac:dyDescent="0.25">
      <c r="A45" s="150" t="str">
        <f ca="1">Berechnung5!L45</f>
        <v/>
      </c>
      <c r="B45" s="150" t="str">
        <f ca="1">Berechnung5!N45</f>
        <v/>
      </c>
      <c r="C45" s="182" t="str">
        <f ca="1">Berechnung5!O45</f>
        <v/>
      </c>
      <c r="D45" s="182" t="str">
        <f ca="1">Berechnung5!P45</f>
        <v/>
      </c>
    </row>
    <row r="46" spans="1:4" x14ac:dyDescent="0.25">
      <c r="A46" s="150" t="str">
        <f ca="1">Berechnung5!L46</f>
        <v/>
      </c>
      <c r="B46" s="150" t="str">
        <f ca="1">Berechnung5!N46</f>
        <v/>
      </c>
      <c r="C46" s="182" t="str">
        <f ca="1">Berechnung5!O46</f>
        <v/>
      </c>
      <c r="D46" s="182" t="str">
        <f ca="1">Berechnung5!P46</f>
        <v/>
      </c>
    </row>
    <row r="47" spans="1:4" x14ac:dyDescent="0.25">
      <c r="A47" s="150" t="str">
        <f ca="1">Berechnung5!L47</f>
        <v/>
      </c>
      <c r="B47" s="150" t="str">
        <f ca="1">Berechnung5!N47</f>
        <v/>
      </c>
      <c r="C47" s="182" t="str">
        <f ca="1">Berechnung5!O47</f>
        <v/>
      </c>
      <c r="D47" s="182" t="str">
        <f ca="1">Berechnung5!P47</f>
        <v/>
      </c>
    </row>
    <row r="48" spans="1:4" x14ac:dyDescent="0.25">
      <c r="A48" s="150" t="str">
        <f ca="1">Berechnung5!L48</f>
        <v/>
      </c>
      <c r="B48" s="150" t="str">
        <f ca="1">Berechnung5!N48</f>
        <v/>
      </c>
      <c r="C48" s="182" t="str">
        <f ca="1">Berechnung5!O48</f>
        <v/>
      </c>
      <c r="D48" s="182" t="str">
        <f ca="1">Berechnung5!P48</f>
        <v/>
      </c>
    </row>
    <row r="49" spans="1:4" x14ac:dyDescent="0.25">
      <c r="A49" s="150" t="str">
        <f ca="1">Berechnung5!L49</f>
        <v/>
      </c>
      <c r="B49" s="150" t="str">
        <f ca="1">Berechnung5!N49</f>
        <v/>
      </c>
      <c r="C49" s="182" t="str">
        <f ca="1">Berechnung5!O49</f>
        <v/>
      </c>
      <c r="D49" s="182" t="str">
        <f ca="1">Berechnung5!P49</f>
        <v/>
      </c>
    </row>
    <row r="50" spans="1:4" x14ac:dyDescent="0.25">
      <c r="A50" s="150" t="str">
        <f ca="1">Berechnung5!L50</f>
        <v/>
      </c>
      <c r="B50" s="150" t="str">
        <f ca="1">Berechnung5!N50</f>
        <v/>
      </c>
      <c r="C50" s="182" t="str">
        <f ca="1">Berechnung5!O50</f>
        <v/>
      </c>
      <c r="D50" s="182" t="str">
        <f ca="1">Berechnung5!P50</f>
        <v/>
      </c>
    </row>
    <row r="51" spans="1:4" x14ac:dyDescent="0.25">
      <c r="A51" s="150" t="str">
        <f ca="1">Berechnung5!L51</f>
        <v/>
      </c>
      <c r="B51" s="150" t="str">
        <f ca="1">Berechnung5!N51</f>
        <v/>
      </c>
      <c r="C51" s="182" t="str">
        <f ca="1">Berechnung5!O51</f>
        <v/>
      </c>
      <c r="D51" s="182" t="str">
        <f ca="1">Berechnung5!P51</f>
        <v/>
      </c>
    </row>
    <row r="52" spans="1:4" x14ac:dyDescent="0.25">
      <c r="A52" s="150" t="str">
        <f ca="1">Berechnung5!L52</f>
        <v/>
      </c>
      <c r="B52" s="150" t="str">
        <f ca="1">Berechnung5!N52</f>
        <v/>
      </c>
      <c r="C52" s="182" t="str">
        <f ca="1">Berechnung5!O52</f>
        <v/>
      </c>
      <c r="D52" s="182" t="str">
        <f ca="1">Berechnung5!P52</f>
        <v/>
      </c>
    </row>
    <row r="53" spans="1:4" x14ac:dyDescent="0.25">
      <c r="A53" s="150" t="str">
        <f ca="1">Berechnung5!L53</f>
        <v/>
      </c>
      <c r="B53" s="150" t="str">
        <f ca="1">Berechnung5!N53</f>
        <v/>
      </c>
      <c r="C53" s="182" t="str">
        <f ca="1">Berechnung5!O53</f>
        <v/>
      </c>
      <c r="D53" s="182" t="str">
        <f ca="1">Berechnung5!P53</f>
        <v/>
      </c>
    </row>
    <row r="54" spans="1:4" x14ac:dyDescent="0.25">
      <c r="A54" s="150" t="str">
        <f ca="1">Berechnung5!L54</f>
        <v/>
      </c>
      <c r="B54" s="150" t="str">
        <f ca="1">Berechnung5!N54</f>
        <v/>
      </c>
      <c r="C54" s="182" t="str">
        <f ca="1">Berechnung5!O54</f>
        <v/>
      </c>
      <c r="D54" s="182" t="str">
        <f ca="1">Berechnung5!P54</f>
        <v/>
      </c>
    </row>
    <row r="55" spans="1:4" x14ac:dyDescent="0.25">
      <c r="A55" s="150" t="str">
        <f ca="1">Berechnung5!L55</f>
        <v/>
      </c>
      <c r="B55" s="150" t="str">
        <f ca="1">Berechnung5!N55</f>
        <v/>
      </c>
      <c r="C55" s="182" t="str">
        <f ca="1">Berechnung5!O55</f>
        <v/>
      </c>
      <c r="D55" s="182" t="str">
        <f ca="1">Berechnung5!P55</f>
        <v/>
      </c>
    </row>
    <row r="56" spans="1:4" x14ac:dyDescent="0.25">
      <c r="A56" s="150" t="str">
        <f ca="1">Berechnung5!L56</f>
        <v/>
      </c>
      <c r="B56" s="150" t="str">
        <f ca="1">Berechnung5!N56</f>
        <v/>
      </c>
      <c r="C56" s="182" t="str">
        <f ca="1">Berechnung5!O56</f>
        <v/>
      </c>
      <c r="D56" s="182" t="str">
        <f ca="1">Berechnung5!P56</f>
        <v/>
      </c>
    </row>
    <row r="57" spans="1:4" x14ac:dyDescent="0.25">
      <c r="A57" s="150" t="str">
        <f ca="1">Berechnung5!L57</f>
        <v/>
      </c>
      <c r="B57" s="150" t="str">
        <f ca="1">Berechnung5!N57</f>
        <v/>
      </c>
      <c r="C57" s="182" t="str">
        <f ca="1">Berechnung5!O57</f>
        <v/>
      </c>
      <c r="D57" s="182" t="str">
        <f ca="1">Berechnung5!P57</f>
        <v/>
      </c>
    </row>
    <row r="58" spans="1:4" x14ac:dyDescent="0.25">
      <c r="A58" s="150" t="str">
        <f ca="1">Berechnung5!L58</f>
        <v/>
      </c>
      <c r="B58" s="150" t="str">
        <f ca="1">Berechnung5!N58</f>
        <v/>
      </c>
      <c r="C58" s="182" t="str">
        <f ca="1">Berechnung5!O58</f>
        <v/>
      </c>
      <c r="D58" s="182" t="str">
        <f ca="1">Berechnung5!P58</f>
        <v/>
      </c>
    </row>
    <row r="59" spans="1:4" x14ac:dyDescent="0.25">
      <c r="A59" s="150" t="str">
        <f ca="1">Berechnung5!L59</f>
        <v/>
      </c>
      <c r="B59" s="150" t="str">
        <f ca="1">Berechnung5!N59</f>
        <v/>
      </c>
      <c r="C59" s="182" t="str">
        <f ca="1">Berechnung5!O59</f>
        <v/>
      </c>
      <c r="D59" s="182" t="str">
        <f ca="1">Berechnung5!P59</f>
        <v/>
      </c>
    </row>
    <row r="60" spans="1:4" x14ac:dyDescent="0.25">
      <c r="A60" s="150" t="str">
        <f ca="1">Berechnung5!L60</f>
        <v/>
      </c>
      <c r="B60" s="150" t="str">
        <f ca="1">Berechnung5!N60</f>
        <v/>
      </c>
      <c r="C60" s="182" t="str">
        <f ca="1">Berechnung5!O60</f>
        <v/>
      </c>
      <c r="D60" s="182" t="str">
        <f ca="1">Berechnung5!P60</f>
        <v/>
      </c>
    </row>
    <row r="61" spans="1:4" x14ac:dyDescent="0.25">
      <c r="A61" s="150" t="str">
        <f ca="1">Berechnung5!L61</f>
        <v/>
      </c>
      <c r="B61" s="150" t="str">
        <f ca="1">Berechnung5!N61</f>
        <v/>
      </c>
      <c r="C61" s="182" t="str">
        <f ca="1">Berechnung5!O61</f>
        <v/>
      </c>
      <c r="D61" s="182" t="str">
        <f ca="1">Berechnung5!P61</f>
        <v/>
      </c>
    </row>
    <row r="62" spans="1:4" x14ac:dyDescent="0.25">
      <c r="A62" s="150" t="str">
        <f ca="1">Berechnung5!L62</f>
        <v/>
      </c>
      <c r="B62" s="150" t="str">
        <f ca="1">Berechnung5!N62</f>
        <v/>
      </c>
      <c r="C62" s="182" t="str">
        <f ca="1">Berechnung5!O62</f>
        <v/>
      </c>
      <c r="D62" s="182" t="str">
        <f ca="1">Berechnung5!P62</f>
        <v/>
      </c>
    </row>
    <row r="63" spans="1:4" x14ac:dyDescent="0.25">
      <c r="A63" s="150" t="str">
        <f ca="1">Berechnung5!L63</f>
        <v/>
      </c>
      <c r="B63" s="150" t="str">
        <f ca="1">Berechnung5!N63</f>
        <v/>
      </c>
      <c r="C63" s="182" t="str">
        <f ca="1">Berechnung5!O63</f>
        <v/>
      </c>
      <c r="D63" s="182" t="str">
        <f ca="1">Berechnung5!P63</f>
        <v/>
      </c>
    </row>
    <row r="64" spans="1:4" x14ac:dyDescent="0.25">
      <c r="A64" s="150" t="str">
        <f ca="1">Berechnung5!L64</f>
        <v/>
      </c>
      <c r="B64" s="150" t="str">
        <f ca="1">Berechnung5!N64</f>
        <v/>
      </c>
      <c r="C64" s="182" t="str">
        <f ca="1">Berechnung5!O64</f>
        <v/>
      </c>
      <c r="D64" s="182" t="str">
        <f ca="1">Berechnung5!P64</f>
        <v/>
      </c>
    </row>
    <row r="65" spans="1:4" x14ac:dyDescent="0.25">
      <c r="A65" s="150" t="str">
        <f ca="1">Berechnung5!L65</f>
        <v/>
      </c>
      <c r="B65" s="150" t="str">
        <f ca="1">Berechnung5!N65</f>
        <v/>
      </c>
      <c r="C65" s="182" t="str">
        <f ca="1">Berechnung5!O65</f>
        <v/>
      </c>
      <c r="D65" s="182" t="str">
        <f ca="1">Berechnung5!P65</f>
        <v/>
      </c>
    </row>
  </sheetData>
  <phoneticPr fontId="81" type="noConversion"/>
  <pageMargins left="0.7" right="0.7" top="0.78740157499999996" bottom="0.78740157499999996"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Tabelle17"/>
  <dimension ref="A1:W8"/>
  <sheetViews>
    <sheetView workbookViewId="0">
      <selection activeCell="O23" sqref="O23"/>
    </sheetView>
  </sheetViews>
  <sheetFormatPr defaultColWidth="9.140625" defaultRowHeight="11.25" x14ac:dyDescent="0.25"/>
  <cols>
    <col min="1" max="1" width="13.28515625" style="136" customWidth="1"/>
    <col min="2" max="2" width="9.140625" style="136" customWidth="1"/>
    <col min="3" max="3" width="13.5703125" style="136" customWidth="1"/>
    <col min="4" max="7" width="7.42578125" style="136" customWidth="1"/>
    <col min="8" max="8" width="12.85546875" style="136" customWidth="1"/>
    <col min="9" max="9" width="12.140625" style="136" customWidth="1"/>
    <col min="10" max="10" width="9.140625" style="136" customWidth="1"/>
    <col min="11" max="11" width="12.140625" style="136" customWidth="1"/>
    <col min="12" max="19" width="9.140625" style="136" customWidth="1"/>
    <col min="20" max="20" width="12.7109375" style="136" customWidth="1"/>
    <col min="21" max="16384" width="9.140625" style="136"/>
  </cols>
  <sheetData>
    <row r="1" spans="1:23" ht="86.25" customHeight="1" x14ac:dyDescent="0.25">
      <c r="A1" s="189" t="str">
        <f>'Matrix-Kolon'!A21</f>
        <v>Relevante Nachsorgejahre</v>
      </c>
      <c r="B1" s="189" t="str">
        <f>'Matrix-Kolon'!B21</f>
        <v xml:space="preserve">Jahr der Erstdiagnose  </v>
      </c>
      <c r="C1" s="189" t="str">
        <f>'Matrix-Kolon'!C21</f>
        <v>Anzahl Primärpat.</v>
      </c>
      <c r="D1" s="189" t="str">
        <f>LEFT('Matrix-Kolon'!D21,6)</f>
        <v>UICC I</v>
      </c>
      <c r="E1" s="189" t="str">
        <f>LEFT('Matrix-Kolon'!E21,7)</f>
        <v>UICC II</v>
      </c>
      <c r="F1" s="189" t="str">
        <f>LEFT('Matrix-Kolon'!F21,8)</f>
        <v>UICC III</v>
      </c>
      <c r="G1" s="189" t="str">
        <f>LEFT('Matrix-Kolon'!G21,9)</f>
        <v xml:space="preserve">UICC IV  </v>
      </c>
      <c r="H1" s="189" t="str">
        <f>LEFT('Matrix-Kolon'!I21,53)</f>
        <v>Pat.  „im Follow-Up“
(aus Grundgesamtheit Primärpat.)</v>
      </c>
      <c r="I1" s="189" t="str">
        <f>LEFT('Matrix-Kolon'!J21,33)</f>
        <v>Follow-Up-Daten vom Krebsregister</v>
      </c>
      <c r="J1" s="189" t="str">
        <f>LEFT('Matrix-Kolon'!K21,57)</f>
        <v>Follow-Up-Daten vom Zentrum  
(bzw. Quelle nicht bekannt)</v>
      </c>
      <c r="K1" s="189" t="str">
        <f>LEFT('Matrix-Kolon'!L21,18)</f>
        <v xml:space="preserve">Keine Rückmeldung </v>
      </c>
      <c r="L1" s="189" t="str">
        <f>'Matrix-Kolon'!M21</f>
        <v>Follow-Up Quote in %
= (J + K) / I</v>
      </c>
      <c r="M1" s="189" t="str">
        <f>LEFT('Matrix-Kolon'!O21,14)</f>
        <v>Pat. tumorfrei</v>
      </c>
      <c r="N1" s="189" t="str">
        <f>'Matrix-Kolon'!P21</f>
        <v>Relative Quote tumorfrei 
= O / (J + K)</v>
      </c>
      <c r="O1" s="189" t="str">
        <f>LEFT('Matrix-Kolon'!Q21,54)</f>
        <v>Pat. mit mindestens 1 der Ereignisse in Spalte R bis T</v>
      </c>
      <c r="P1" s="189" t="str">
        <f>'Matrix-Kolon'!R21</f>
        <v xml:space="preserve"> Pat. mit lokoregionärem Rezidiv</v>
      </c>
      <c r="Q1" s="189" t="str">
        <f>'Matrix-Kolon'!S21</f>
        <v xml:space="preserve"> Pat. mit Lymphknotenrezidiv</v>
      </c>
      <c r="R1" s="189" t="str">
        <f>'Matrix-Kolon'!T21</f>
        <v xml:space="preserve"> Pat. mit Fernmetastasen</v>
      </c>
      <c r="S1" s="189" t="str">
        <f>LEFT('Matrix-Kolon'!U21,33)</f>
        <v>Diagnose Zweitmalignom im Verlauf</v>
      </c>
      <c r="T1" s="189" t="str">
        <f>'Matrix-Kolon'!V21</f>
        <v>Tumorbedingt gestorben (bezüglich jeder Tumorentität)</v>
      </c>
      <c r="U1" s="189" t="str">
        <f>'Matrix-Kolon'!W21</f>
        <v>Nicht tumorbedingt gestorben bzw. Todesursache unbekannt</v>
      </c>
      <c r="V1" s="189" t="str">
        <f>'Matrix-Kolon'!Y21</f>
        <v>DFS nach Kaplan-Meier
(Disease Free Survival) in %</v>
      </c>
      <c r="W1" s="189" t="str">
        <f>'Matrix-Kolon'!Z21</f>
        <v>OAS nach Kaplan-Meier    
(Overall Survival) in %</v>
      </c>
    </row>
    <row r="2" spans="1:23" x14ac:dyDescent="0.25">
      <c r="A2" s="191" t="str">
        <f>'Matrix-Kolon'!A23</f>
        <v>nicht relevant</v>
      </c>
      <c r="B2" s="237">
        <f>'Matrix-Kolon'!B23</f>
        <v>2019</v>
      </c>
      <c r="C2" s="237">
        <f>IF('Matrix-Kolon'!C23="","---",'Matrix-Kolon'!C23)</f>
        <v>0</v>
      </c>
      <c r="D2" s="237" t="str">
        <f>IF('Matrix-Kolon'!D23="","",'Matrix-Kolon'!D23)</f>
        <v/>
      </c>
      <c r="E2" s="237" t="str">
        <f>IF('Matrix-Kolon'!E23="","",'Matrix-Kolon'!E23)</f>
        <v/>
      </c>
      <c r="F2" s="237" t="str">
        <f>IF('Matrix-Kolon'!F23="","",'Matrix-Kolon'!F23)</f>
        <v/>
      </c>
      <c r="G2" s="237" t="str">
        <f>IF('Matrix-Kolon'!G23="","",'Matrix-Kolon'!G23)</f>
        <v/>
      </c>
      <c r="H2" s="237" t="str">
        <f>IF('Matrix-Kolon'!I23="","",'Matrix-Kolon'!I23)</f>
        <v/>
      </c>
      <c r="I2" s="237" t="str">
        <f>IF('Matrix-Kolon'!J23="","",'Matrix-Kolon'!J23)</f>
        <v/>
      </c>
      <c r="J2" s="237" t="str">
        <f>IF('Matrix-Kolon'!K23="","",'Matrix-Kolon'!K23)</f>
        <v/>
      </c>
      <c r="K2" s="237" t="str">
        <f>IF('Matrix-Kolon'!L23="","",'Matrix-Kolon'!L23)</f>
        <v/>
      </c>
      <c r="L2" s="192" t="str">
        <f>IF('Matrix-Kolon'!M23="","",'Matrix-Kolon'!M23*100)</f>
        <v/>
      </c>
      <c r="M2" s="237" t="str">
        <f>IF('Matrix-Kolon'!O23="","",'Matrix-Kolon'!O23)</f>
        <v/>
      </c>
      <c r="N2" s="192" t="str">
        <f>IF('Matrix-Kolon'!P23="","",'Matrix-Kolon'!P23*100)</f>
        <v/>
      </c>
      <c r="O2" s="237" t="str">
        <f>IF('Matrix-Kolon'!Q23="","",'Matrix-Kolon'!Q23)</f>
        <v/>
      </c>
      <c r="P2" s="237" t="str">
        <f>IF('Matrix-Kolon'!R23="","",'Matrix-Kolon'!R23)</f>
        <v/>
      </c>
      <c r="Q2" s="237" t="str">
        <f>IF('Matrix-Kolon'!S23="","",'Matrix-Kolon'!S23)</f>
        <v/>
      </c>
      <c r="R2" s="237" t="str">
        <f>IF('Matrix-Kolon'!T23="","",'Matrix-Kolon'!T23)</f>
        <v/>
      </c>
      <c r="S2" s="237" t="str">
        <f>IF('Matrix-Kolon'!U23="","",'Matrix-Kolon'!U23)</f>
        <v/>
      </c>
      <c r="T2" s="237" t="str">
        <f>IF('Matrix-Kolon'!V23="","",'Matrix-Kolon'!V23)</f>
        <v/>
      </c>
      <c r="U2" s="237" t="str">
        <f>IF('Matrix-Kolon'!W23="","",'Matrix-Kolon'!W23)</f>
        <v/>
      </c>
      <c r="V2" s="192" t="str">
        <f>IF('Matrix-Kolon'!Y23="","",'Matrix-Kolon'!Y23*100)</f>
        <v/>
      </c>
      <c r="W2" s="192" t="str">
        <f>IF('Matrix-Kolon'!Z23="","",'Matrix-Kolon'!Z23*100)</f>
        <v/>
      </c>
    </row>
    <row r="3" spans="1:23" x14ac:dyDescent="0.25">
      <c r="A3" s="232" t="str">
        <f>'Matrix-Kolon'!A24</f>
        <v>nicht relevant</v>
      </c>
      <c r="B3" s="215">
        <f>'Matrix-Kolon'!B24</f>
        <v>2020</v>
      </c>
      <c r="C3" s="215">
        <f>IF('Matrix-Kolon'!C24="","---",'Matrix-Kolon'!C24)</f>
        <v>0</v>
      </c>
      <c r="D3" s="237" t="str">
        <f>IF('Matrix-Kolon'!D24="","",'Matrix-Kolon'!D24)</f>
        <v/>
      </c>
      <c r="E3" s="237" t="str">
        <f>IF('Matrix-Kolon'!E24="","",'Matrix-Kolon'!E24)</f>
        <v/>
      </c>
      <c r="F3" s="237" t="str">
        <f>IF('Matrix-Kolon'!F24="","",'Matrix-Kolon'!F24)</f>
        <v/>
      </c>
      <c r="G3" s="237" t="str">
        <f>IF('Matrix-Kolon'!G24="","",'Matrix-Kolon'!G24)</f>
        <v/>
      </c>
      <c r="H3" s="237" t="str">
        <f>IF('Matrix-Kolon'!I24="","",'Matrix-Kolon'!I24)</f>
        <v/>
      </c>
      <c r="I3" s="237" t="str">
        <f>IF('Matrix-Kolon'!J24="","",'Matrix-Kolon'!J24)</f>
        <v/>
      </c>
      <c r="J3" s="237" t="str">
        <f>IF('Matrix-Kolon'!K24="","",'Matrix-Kolon'!K24)</f>
        <v/>
      </c>
      <c r="K3" s="237" t="str">
        <f>IF('Matrix-Kolon'!L24="","",'Matrix-Kolon'!L24)</f>
        <v/>
      </c>
      <c r="L3" s="192" t="str">
        <f>IF('Matrix-Kolon'!M24="","",'Matrix-Kolon'!M24*100)</f>
        <v/>
      </c>
      <c r="M3" s="237" t="str">
        <f>IF('Matrix-Kolon'!O24="","",'Matrix-Kolon'!O24)</f>
        <v/>
      </c>
      <c r="N3" s="192" t="str">
        <f>IF('Matrix-Kolon'!P24="","",'Matrix-Kolon'!P24*100)</f>
        <v/>
      </c>
      <c r="O3" s="237" t="str">
        <f>IF('Matrix-Kolon'!Q24="","",'Matrix-Kolon'!Q24)</f>
        <v/>
      </c>
      <c r="P3" s="237" t="str">
        <f>IF('Matrix-Kolon'!R24="","",'Matrix-Kolon'!R24)</f>
        <v/>
      </c>
      <c r="Q3" s="237" t="str">
        <f>IF('Matrix-Kolon'!S24="","",'Matrix-Kolon'!S24)</f>
        <v/>
      </c>
      <c r="R3" s="237" t="str">
        <f>IF('Matrix-Kolon'!T24="","",'Matrix-Kolon'!T24)</f>
        <v/>
      </c>
      <c r="S3" s="237" t="str">
        <f>IF('Matrix-Kolon'!U24="","",'Matrix-Kolon'!U24)</f>
        <v/>
      </c>
      <c r="T3" s="237" t="str">
        <f>IF('Matrix-Kolon'!V24="","",'Matrix-Kolon'!V24)</f>
        <v/>
      </c>
      <c r="U3" s="237" t="str">
        <f>IF('Matrix-Kolon'!W24="","",'Matrix-Kolon'!W24)</f>
        <v/>
      </c>
      <c r="V3" s="192" t="str">
        <f>IF('Matrix-Kolon'!Y24="","",'Matrix-Kolon'!Y24*100)</f>
        <v/>
      </c>
      <c r="W3" s="192" t="str">
        <f>IF('Matrix-Kolon'!Z24="","",'Matrix-Kolon'!Z24*100)</f>
        <v/>
      </c>
    </row>
    <row r="4" spans="1:23" x14ac:dyDescent="0.25">
      <c r="A4" s="232" t="str">
        <f>'Matrix-Kolon'!A25</f>
        <v>nicht relevant</v>
      </c>
      <c r="B4" s="215">
        <f>'Matrix-Kolon'!B25</f>
        <v>2021</v>
      </c>
      <c r="C4" s="215">
        <f>IF('Matrix-Kolon'!C25="","---",'Matrix-Kolon'!C25)</f>
        <v>0</v>
      </c>
      <c r="D4" s="237" t="str">
        <f>IF('Matrix-Kolon'!D25="","",'Matrix-Kolon'!D25)</f>
        <v/>
      </c>
      <c r="E4" s="237" t="str">
        <f>IF('Matrix-Kolon'!E25="","",'Matrix-Kolon'!E25)</f>
        <v/>
      </c>
      <c r="F4" s="237" t="str">
        <f>IF('Matrix-Kolon'!F25="","",'Matrix-Kolon'!F25)</f>
        <v/>
      </c>
      <c r="G4" s="237" t="str">
        <f>IF('Matrix-Kolon'!G25="","",'Matrix-Kolon'!G25)</f>
        <v/>
      </c>
      <c r="H4" s="237" t="str">
        <f>IF('Matrix-Kolon'!I25="","",'Matrix-Kolon'!I25)</f>
        <v/>
      </c>
      <c r="I4" s="237" t="str">
        <f>IF('Matrix-Kolon'!J25="","",'Matrix-Kolon'!J25)</f>
        <v/>
      </c>
      <c r="J4" s="237" t="str">
        <f>IF('Matrix-Kolon'!K25="","",'Matrix-Kolon'!K25)</f>
        <v/>
      </c>
      <c r="K4" s="237" t="str">
        <f>IF('Matrix-Kolon'!L25="","",'Matrix-Kolon'!L25)</f>
        <v/>
      </c>
      <c r="L4" s="192" t="str">
        <f>IF('Matrix-Kolon'!M25="","",'Matrix-Kolon'!M25*100)</f>
        <v/>
      </c>
      <c r="M4" s="237" t="str">
        <f>IF('Matrix-Kolon'!O25="","",'Matrix-Kolon'!O25)</f>
        <v/>
      </c>
      <c r="N4" s="192" t="str">
        <f>IF('Matrix-Kolon'!P25="","",'Matrix-Kolon'!P25*100)</f>
        <v/>
      </c>
      <c r="O4" s="237" t="str">
        <f>IF('Matrix-Kolon'!Q25="","",'Matrix-Kolon'!Q25)</f>
        <v/>
      </c>
      <c r="P4" s="237" t="str">
        <f>IF('Matrix-Kolon'!R25="","",'Matrix-Kolon'!R25)</f>
        <v/>
      </c>
      <c r="Q4" s="237" t="str">
        <f>IF('Matrix-Kolon'!S25="","",'Matrix-Kolon'!S25)</f>
        <v/>
      </c>
      <c r="R4" s="237" t="str">
        <f>IF('Matrix-Kolon'!T25="","",'Matrix-Kolon'!T25)</f>
        <v/>
      </c>
      <c r="S4" s="237" t="str">
        <f>IF('Matrix-Kolon'!U25="","",'Matrix-Kolon'!U25)</f>
        <v/>
      </c>
      <c r="T4" s="237" t="str">
        <f>IF('Matrix-Kolon'!V25="","",'Matrix-Kolon'!V25)</f>
        <v/>
      </c>
      <c r="U4" s="237" t="str">
        <f>IF('Matrix-Kolon'!W25="","",'Matrix-Kolon'!W25)</f>
        <v/>
      </c>
      <c r="V4" s="192" t="str">
        <f>IF('Matrix-Kolon'!Y25="","",'Matrix-Kolon'!Y25*100)</f>
        <v/>
      </c>
      <c r="W4" s="192" t="str">
        <f>IF('Matrix-Kolon'!Z25="","",'Matrix-Kolon'!Z25*100)</f>
        <v/>
      </c>
    </row>
    <row r="5" spans="1:23" x14ac:dyDescent="0.25">
      <c r="A5" s="232" t="str">
        <f>'Matrix-Kolon'!A26</f>
        <v>nicht relevant</v>
      </c>
      <c r="B5" s="215">
        <f>'Matrix-Kolon'!B26</f>
        <v>2022</v>
      </c>
      <c r="C5" s="215">
        <f>IF('Matrix-Kolon'!C26="","---",'Matrix-Kolon'!C26)</f>
        <v>0</v>
      </c>
      <c r="D5" s="237" t="str">
        <f>IF('Matrix-Kolon'!D26="","",'Matrix-Kolon'!D26)</f>
        <v/>
      </c>
      <c r="E5" s="237" t="str">
        <f>IF('Matrix-Kolon'!E26="","",'Matrix-Kolon'!E26)</f>
        <v/>
      </c>
      <c r="F5" s="237" t="str">
        <f>IF('Matrix-Kolon'!F26="","",'Matrix-Kolon'!F26)</f>
        <v/>
      </c>
      <c r="G5" s="237" t="str">
        <f>IF('Matrix-Kolon'!G26="","",'Matrix-Kolon'!G26)</f>
        <v/>
      </c>
      <c r="H5" s="237" t="str">
        <f>IF('Matrix-Kolon'!I26="","",'Matrix-Kolon'!I26)</f>
        <v/>
      </c>
      <c r="I5" s="237" t="str">
        <f>IF('Matrix-Kolon'!J26="","",'Matrix-Kolon'!J26)</f>
        <v/>
      </c>
      <c r="J5" s="237" t="str">
        <f>IF('Matrix-Kolon'!K26="","",'Matrix-Kolon'!K26)</f>
        <v/>
      </c>
      <c r="K5" s="237" t="str">
        <f>IF('Matrix-Kolon'!L26="","",'Matrix-Kolon'!L26)</f>
        <v/>
      </c>
      <c r="L5" s="192" t="str">
        <f>IF('Matrix-Kolon'!M26="","",'Matrix-Kolon'!M26*100)</f>
        <v/>
      </c>
      <c r="M5" s="237" t="str">
        <f>IF('Matrix-Kolon'!O26="","",'Matrix-Kolon'!O26)</f>
        <v/>
      </c>
      <c r="N5" s="192" t="str">
        <f>IF('Matrix-Kolon'!P26="","",'Matrix-Kolon'!P26*100)</f>
        <v/>
      </c>
      <c r="O5" s="237" t="str">
        <f>IF('Matrix-Kolon'!Q26="","",'Matrix-Kolon'!Q26)</f>
        <v/>
      </c>
      <c r="P5" s="237" t="str">
        <f>IF('Matrix-Kolon'!R26="","",'Matrix-Kolon'!R26)</f>
        <v/>
      </c>
      <c r="Q5" s="237" t="str">
        <f>IF('Matrix-Kolon'!S26="","",'Matrix-Kolon'!S26)</f>
        <v/>
      </c>
      <c r="R5" s="237" t="str">
        <f>IF('Matrix-Kolon'!T26="","",'Matrix-Kolon'!T26)</f>
        <v/>
      </c>
      <c r="S5" s="237" t="str">
        <f>IF('Matrix-Kolon'!U26="","",'Matrix-Kolon'!U26)</f>
        <v/>
      </c>
      <c r="T5" s="237" t="str">
        <f>IF('Matrix-Kolon'!V26="","",'Matrix-Kolon'!V26)</f>
        <v/>
      </c>
      <c r="U5" s="237" t="str">
        <f>IF('Matrix-Kolon'!W26="","",'Matrix-Kolon'!W26)</f>
        <v/>
      </c>
      <c r="V5" s="192" t="str">
        <f>IF('Matrix-Kolon'!Y26="","",'Matrix-Kolon'!Y26*100)</f>
        <v/>
      </c>
      <c r="W5" s="192" t="str">
        <f>IF('Matrix-Kolon'!Z26="","",'Matrix-Kolon'!Z26*100)</f>
        <v/>
      </c>
    </row>
    <row r="6" spans="1:23" x14ac:dyDescent="0.25">
      <c r="A6" s="232" t="str">
        <f>'Matrix-Kolon'!A27</f>
        <v>nicht relevant</v>
      </c>
      <c r="B6" s="215" t="str">
        <f>LEFT('Matrix-Kolon'!B27,4)</f>
        <v>2023</v>
      </c>
      <c r="C6" s="215">
        <f>IF('Matrix-Kolon'!C27="","---",'Matrix-Kolon'!C27)</f>
        <v>0</v>
      </c>
      <c r="D6" s="237" t="str">
        <f>IF('Matrix-Kolon'!D27="","",'Matrix-Kolon'!D27)</f>
        <v/>
      </c>
      <c r="E6" s="237" t="str">
        <f>IF('Matrix-Kolon'!E27="","",'Matrix-Kolon'!E27)</f>
        <v/>
      </c>
      <c r="F6" s="237" t="str">
        <f>IF('Matrix-Kolon'!F27="","",'Matrix-Kolon'!F27)</f>
        <v/>
      </c>
      <c r="G6" s="237" t="str">
        <f>IF('Matrix-Kolon'!G27="","",'Matrix-Kolon'!G27)</f>
        <v/>
      </c>
      <c r="H6" s="237" t="str">
        <f>IF('Matrix-Kolon'!I27="","",'Matrix-Kolon'!I27)</f>
        <v/>
      </c>
      <c r="I6" s="237" t="str">
        <f>IF('Matrix-Kolon'!J27="","",'Matrix-Kolon'!J27)</f>
        <v/>
      </c>
      <c r="J6" s="237" t="str">
        <f>IF('Matrix-Kolon'!K27="","",'Matrix-Kolon'!K27)</f>
        <v/>
      </c>
      <c r="K6" s="237" t="str">
        <f>IF('Matrix-Kolon'!L27="","",'Matrix-Kolon'!L27)</f>
        <v/>
      </c>
      <c r="L6" s="192" t="str">
        <f>IF('Matrix-Kolon'!M27="","",'Matrix-Kolon'!M27*100)</f>
        <v/>
      </c>
      <c r="M6" s="237" t="str">
        <f>IF('Matrix-Kolon'!O27="","",'Matrix-Kolon'!O27)</f>
        <v/>
      </c>
      <c r="N6" s="192" t="str">
        <f>IF('Matrix-Kolon'!P27="","",'Matrix-Kolon'!P27*100)</f>
        <v/>
      </c>
      <c r="O6" s="237" t="str">
        <f>IF('Matrix-Kolon'!Q27="","",'Matrix-Kolon'!Q27)</f>
        <v/>
      </c>
      <c r="P6" s="237" t="str">
        <f>IF('Matrix-Kolon'!R27="","",'Matrix-Kolon'!R27)</f>
        <v/>
      </c>
      <c r="Q6" s="237" t="str">
        <f>IF('Matrix-Kolon'!S27="","",'Matrix-Kolon'!S27)</f>
        <v/>
      </c>
      <c r="R6" s="237" t="str">
        <f>IF('Matrix-Kolon'!T27="","",'Matrix-Kolon'!T27)</f>
        <v/>
      </c>
      <c r="S6" s="237" t="str">
        <f>IF('Matrix-Kolon'!U27="","",'Matrix-Kolon'!U27)</f>
        <v/>
      </c>
      <c r="T6" s="237" t="str">
        <f>IF('Matrix-Kolon'!V27="","",'Matrix-Kolon'!V27)</f>
        <v/>
      </c>
      <c r="U6" s="237" t="str">
        <f>IF('Matrix-Kolon'!W27="","",'Matrix-Kolon'!W27)</f>
        <v/>
      </c>
      <c r="V6" s="192" t="str">
        <f>IF('Matrix-Kolon'!Y27="","",'Matrix-Kolon'!Y27*100)</f>
        <v/>
      </c>
      <c r="W6" s="192" t="str">
        <f>IF('Matrix-Kolon'!Z27="","",'Matrix-Kolon'!Z27*100)</f>
        <v/>
      </c>
    </row>
    <row r="7" spans="1:23" x14ac:dyDescent="0.25">
      <c r="A7" s="232" t="str">
        <f>'Matrix-Kolon'!A28</f>
        <v>nicht relevant</v>
      </c>
      <c r="B7" s="215" t="str">
        <f>LEFT('Matrix-Kolon'!B28,4)</f>
        <v>2024</v>
      </c>
      <c r="C7" s="215">
        <f>IF('Matrix-Kolon'!C28="","---",'Matrix-Kolon'!C28)</f>
        <v>0</v>
      </c>
      <c r="D7" s="237" t="str">
        <f>IF('Matrix-Kolon'!D28="","",'Matrix-Kolon'!D28)</f>
        <v/>
      </c>
      <c r="E7" s="237" t="str">
        <f>IF('Matrix-Kolon'!E28="","",'Matrix-Kolon'!E28)</f>
        <v/>
      </c>
      <c r="F7" s="237" t="str">
        <f>IF('Matrix-Kolon'!F28="","",'Matrix-Kolon'!F28)</f>
        <v/>
      </c>
      <c r="G7" s="237" t="str">
        <f>IF('Matrix-Kolon'!G28="","",'Matrix-Kolon'!G28)</f>
        <v/>
      </c>
      <c r="H7" s="237" t="str">
        <f>IF('Matrix-Kolon'!I28="","",'Matrix-Kolon'!I28)</f>
        <v/>
      </c>
      <c r="I7" s="237" t="str">
        <f>IF('Matrix-Kolon'!J28="","",'Matrix-Kolon'!J28)</f>
        <v/>
      </c>
      <c r="J7" s="237" t="str">
        <f>IF('Matrix-Kolon'!K28="","",'Matrix-Kolon'!K28)</f>
        <v/>
      </c>
      <c r="K7" s="237" t="str">
        <f>IF('Matrix-Kolon'!L28="","",'Matrix-Kolon'!L28)</f>
        <v/>
      </c>
      <c r="L7" s="192" t="str">
        <f>IF('Matrix-Kolon'!M28="","",'Matrix-Kolon'!M28*100)</f>
        <v/>
      </c>
      <c r="M7" s="237" t="str">
        <f>IF('Matrix-Kolon'!O28="","",'Matrix-Kolon'!O28)</f>
        <v/>
      </c>
      <c r="N7" s="192" t="str">
        <f>IF('Matrix-Kolon'!P28="","",'Matrix-Kolon'!P28*100)</f>
        <v/>
      </c>
      <c r="O7" s="237" t="str">
        <f>IF('Matrix-Kolon'!Q28="","",'Matrix-Kolon'!Q28)</f>
        <v/>
      </c>
      <c r="P7" s="237" t="str">
        <f>IF('Matrix-Kolon'!R28="","",'Matrix-Kolon'!R28)</f>
        <v/>
      </c>
      <c r="Q7" s="237" t="str">
        <f>IF('Matrix-Kolon'!S28="","",'Matrix-Kolon'!S28)</f>
        <v/>
      </c>
      <c r="R7" s="237" t="str">
        <f>IF('Matrix-Kolon'!T28="","",'Matrix-Kolon'!T28)</f>
        <v/>
      </c>
      <c r="S7" s="237" t="str">
        <f>IF('Matrix-Kolon'!U28="","",'Matrix-Kolon'!U28)</f>
        <v/>
      </c>
      <c r="T7" s="237" t="str">
        <f>IF('Matrix-Kolon'!V28="","",'Matrix-Kolon'!V28)</f>
        <v/>
      </c>
      <c r="U7" s="237" t="str">
        <f>IF('Matrix-Kolon'!W28="","",'Matrix-Kolon'!W28)</f>
        <v/>
      </c>
      <c r="V7" s="192" t="str">
        <f>IF('Matrix-Kolon'!Y28="","",'Matrix-Kolon'!Y28*100)</f>
        <v/>
      </c>
      <c r="W7" s="192" t="str">
        <f>IF('Matrix-Kolon'!Z28="","",'Matrix-Kolon'!Z28*100)</f>
        <v/>
      </c>
    </row>
    <row r="8" spans="1:23" x14ac:dyDescent="0.25">
      <c r="A8" s="232" t="str">
        <f>'Matrix-Kolon'!A29</f>
        <v>nicht relevant</v>
      </c>
      <c r="B8" s="215" t="str">
        <f>LEFT('Matrix-Kolon'!B29,4)</f>
        <v>2025</v>
      </c>
      <c r="C8" s="215">
        <f>IF('Matrix-Kolon'!C29="","---",'Matrix-Kolon'!C29)</f>
        <v>0</v>
      </c>
      <c r="D8" s="237" t="str">
        <f>IF('Matrix-Kolon'!D29="","",'Matrix-Kolon'!D29)</f>
        <v/>
      </c>
      <c r="E8" s="237" t="str">
        <f>IF('Matrix-Kolon'!E29="","",'Matrix-Kolon'!E29)</f>
        <v/>
      </c>
      <c r="F8" s="237" t="str">
        <f>IF('Matrix-Kolon'!F29="","",'Matrix-Kolon'!F29)</f>
        <v/>
      </c>
      <c r="G8" s="237" t="str">
        <f>IF('Matrix-Kolon'!G29="","",'Matrix-Kolon'!G29)</f>
        <v/>
      </c>
      <c r="H8" s="237" t="str">
        <f>IF('Matrix-Kolon'!I29="","",'Matrix-Kolon'!I29)</f>
        <v/>
      </c>
      <c r="I8" s="237" t="str">
        <f>IF('Matrix-Kolon'!J29="","",'Matrix-Kolon'!J29)</f>
        <v/>
      </c>
      <c r="J8" s="237" t="str">
        <f>IF('Matrix-Kolon'!K29="","",'Matrix-Kolon'!K29)</f>
        <v/>
      </c>
      <c r="K8" s="237" t="str">
        <f>IF('Matrix-Kolon'!L29="","",'Matrix-Kolon'!L29)</f>
        <v/>
      </c>
      <c r="L8" s="192" t="str">
        <f>IF('Matrix-Kolon'!M29="","",'Matrix-Kolon'!M29*100)</f>
        <v/>
      </c>
      <c r="M8" s="237" t="str">
        <f>IF('Matrix-Kolon'!O29="","",'Matrix-Kolon'!O29)</f>
        <v/>
      </c>
      <c r="N8" s="192" t="str">
        <f>IF('Matrix-Kolon'!P29="","",'Matrix-Kolon'!P29*100)</f>
        <v/>
      </c>
      <c r="O8" s="237" t="str">
        <f>IF('Matrix-Kolon'!Q29="","",'Matrix-Kolon'!Q29)</f>
        <v/>
      </c>
      <c r="P8" s="237" t="str">
        <f>IF('Matrix-Kolon'!R29="","",'Matrix-Kolon'!R29)</f>
        <v/>
      </c>
      <c r="Q8" s="237" t="str">
        <f>IF('Matrix-Kolon'!S29="","",'Matrix-Kolon'!S29)</f>
        <v/>
      </c>
      <c r="R8" s="237" t="str">
        <f>IF('Matrix-Kolon'!T29="","",'Matrix-Kolon'!T29)</f>
        <v/>
      </c>
      <c r="S8" s="237" t="str">
        <f>IF('Matrix-Kolon'!U29="","",'Matrix-Kolon'!U29)</f>
        <v/>
      </c>
      <c r="T8" s="237" t="str">
        <f>IF('Matrix-Kolon'!V29="","",'Matrix-Kolon'!V29)</f>
        <v/>
      </c>
      <c r="U8" s="237" t="str">
        <f>IF('Matrix-Kolon'!W29="","",'Matrix-Kolon'!W29)</f>
        <v/>
      </c>
      <c r="V8" s="192" t="str">
        <f>IF('Matrix-Kolon'!Y29="","",'Matrix-Kolon'!Y29*100)</f>
        <v/>
      </c>
      <c r="W8" s="192" t="str">
        <f>IF('Matrix-Kolon'!Z29="","",'Matrix-Kolon'!Z29*100)</f>
        <v/>
      </c>
    </row>
  </sheetData>
  <phoneticPr fontId="81" type="noConversion"/>
  <pageMargins left="0.7" right="0.7" top="0.78740157499999996" bottom="0.78740157499999996"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20"/>
  <dimension ref="A1:F9"/>
  <sheetViews>
    <sheetView workbookViewId="0">
      <selection activeCell="C21" sqref="C21"/>
    </sheetView>
  </sheetViews>
  <sheetFormatPr defaultColWidth="9.140625" defaultRowHeight="12.75" x14ac:dyDescent="0.25"/>
  <cols>
    <col min="1" max="1" width="36.5703125" style="325" customWidth="1"/>
    <col min="2" max="2" width="47.140625" style="325" customWidth="1"/>
    <col min="3" max="3" width="44.28515625" style="325" customWidth="1"/>
    <col min="4" max="4" width="38.5703125" style="325" customWidth="1"/>
    <col min="5" max="5" width="39.42578125" style="325" customWidth="1"/>
    <col min="6" max="6" width="41.140625" style="325" customWidth="1"/>
    <col min="7" max="7" width="46.7109375" style="325" customWidth="1"/>
    <col min="8" max="8" width="38.28515625" style="325" customWidth="1"/>
    <col min="9" max="9" width="42.85546875" style="325" customWidth="1"/>
    <col min="10" max="10" width="43.7109375" style="325" customWidth="1"/>
    <col min="11" max="11" width="36" style="325" customWidth="1"/>
    <col min="12" max="12" width="16.5703125" style="325" customWidth="1"/>
    <col min="13" max="13" width="24.140625" style="325" customWidth="1"/>
    <col min="14" max="14" width="35" style="325" customWidth="1"/>
    <col min="15" max="15" width="28.140625" style="325" customWidth="1"/>
    <col min="16" max="16" width="27.7109375" style="325" customWidth="1"/>
    <col min="17" max="17" width="30.140625" style="325" customWidth="1"/>
    <col min="18" max="18" width="28.140625" style="325" customWidth="1"/>
    <col min="19" max="19" width="29.7109375" style="325" customWidth="1"/>
    <col min="20" max="20" width="15.28515625" style="325" customWidth="1"/>
    <col min="21" max="21" width="17.28515625" style="325" customWidth="1"/>
    <col min="22" max="16384" width="9.140625" style="325"/>
  </cols>
  <sheetData>
    <row r="1" spans="1:6" x14ac:dyDescent="0.25">
      <c r="A1" s="359" t="s">
        <v>209</v>
      </c>
      <c r="B1" s="360" t="str">
        <f>IF(Basisdaten!B16=0,"",Basisdaten!B16)</f>
        <v/>
      </c>
    </row>
    <row r="2" spans="1:6" x14ac:dyDescent="0.25">
      <c r="A2" s="359" t="s">
        <v>344</v>
      </c>
      <c r="B2" s="361" t="str">
        <f>IF(Basisdaten!G12=0,"",Basisdaten!G12)</f>
        <v/>
      </c>
    </row>
    <row r="3" spans="1:6" x14ac:dyDescent="0.25">
      <c r="A3" s="359" t="s">
        <v>387</v>
      </c>
      <c r="B3" s="361" t="str">
        <f>IF(Basisdaten!G14=0,"",Basisdaten!G14)</f>
        <v/>
      </c>
    </row>
    <row r="4" spans="1:6" x14ac:dyDescent="0.25">
      <c r="A4" s="326"/>
      <c r="B4" s="324"/>
    </row>
    <row r="5" spans="1:6" x14ac:dyDescent="0.25">
      <c r="A5" s="362" t="s">
        <v>314</v>
      </c>
      <c r="B5" s="362" t="s">
        <v>1488</v>
      </c>
      <c r="C5" s="362" t="s">
        <v>316</v>
      </c>
      <c r="D5" s="362" t="s">
        <v>258</v>
      </c>
      <c r="E5" s="531" t="s">
        <v>1489</v>
      </c>
      <c r="F5" s="360" t="s">
        <v>1490</v>
      </c>
    </row>
    <row r="6" spans="1:6" x14ac:dyDescent="0.25">
      <c r="A6" s="363" t="str">
        <f>IF(Basisdaten!A19=0,"",Basisdaten!A19)</f>
        <v/>
      </c>
      <c r="B6" s="363" t="str">
        <f>IF(Basisdaten!C19=0,"",Basisdaten!C19)</f>
        <v/>
      </c>
      <c r="C6" s="363" t="str">
        <f>IF(Basisdaten!C22=0,"",Basisdaten!C22)</f>
        <v/>
      </c>
      <c r="D6" s="363" t="str">
        <f>IF(Basisdaten!A22=0,"",Basisdaten!A22)</f>
        <v>Nein</v>
      </c>
      <c r="E6" s="360" t="str">
        <f>IF(Basisdaten!B12=0,"",Basisdaten!B12)</f>
        <v/>
      </c>
      <c r="F6" s="360" t="str">
        <f>IF(Basisdaten!B14=0,"",Basisdaten!B14)</f>
        <v/>
      </c>
    </row>
    <row r="7" spans="1:6" x14ac:dyDescent="0.25">
      <c r="A7" s="326"/>
    </row>
    <row r="8" spans="1:6" x14ac:dyDescent="0.25">
      <c r="A8" s="326"/>
      <c r="B8" s="324"/>
    </row>
    <row r="9" spans="1:6" x14ac:dyDescent="0.25">
      <c r="A9" s="326"/>
      <c r="B9" s="324"/>
    </row>
  </sheetData>
  <phoneticPr fontId="81" type="noConversion"/>
  <pageMargins left="0.7" right="0.7" top="0.78740157499999996" bottom="0.78740157499999996"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19"/>
  <dimension ref="A1:IF384"/>
  <sheetViews>
    <sheetView topLeftCell="A20" zoomScaleNormal="100" workbookViewId="0">
      <selection activeCell="I44" sqref="I44"/>
    </sheetView>
  </sheetViews>
  <sheetFormatPr defaultColWidth="9.140625" defaultRowHeight="11.25" x14ac:dyDescent="0.2"/>
  <cols>
    <col min="1" max="1" width="33.140625" style="82" customWidth="1"/>
    <col min="2" max="2" width="56.140625" style="82" customWidth="1"/>
    <col min="3" max="3" width="69.28515625" style="82" customWidth="1"/>
    <col min="4" max="4" width="20.42578125" style="82" customWidth="1"/>
    <col min="5" max="5" width="10.28515625" style="82" customWidth="1"/>
    <col min="6" max="6" width="15.85546875" style="251" customWidth="1"/>
    <col min="7" max="8" width="9.140625" style="82" customWidth="1"/>
    <col min="9" max="9" width="38.42578125" style="82" bestFit="1" customWidth="1"/>
    <col min="10" max="10" width="34" style="82" bestFit="1" customWidth="1"/>
    <col min="11" max="12" width="35" style="82" bestFit="1" customWidth="1"/>
    <col min="13" max="15" width="32.7109375" style="82" bestFit="1" customWidth="1"/>
    <col min="16" max="16" width="33.85546875" style="82" bestFit="1" customWidth="1"/>
    <col min="17" max="17" width="34.85546875" style="82" customWidth="1"/>
    <col min="18" max="18" width="32.7109375" style="82" customWidth="1"/>
    <col min="19" max="20" width="32.7109375" style="82" bestFit="1" customWidth="1"/>
    <col min="21" max="22" width="33.85546875" style="82" bestFit="1" customWidth="1"/>
    <col min="23" max="23" width="37.28515625" style="82" bestFit="1" customWidth="1"/>
    <col min="24" max="24" width="33.85546875" style="82" bestFit="1" customWidth="1"/>
    <col min="25" max="25" width="18.140625" style="82" bestFit="1" customWidth="1"/>
    <col min="26" max="26" width="23" style="82" bestFit="1" customWidth="1"/>
    <col min="27" max="27" width="18.140625" style="82" bestFit="1" customWidth="1"/>
    <col min="28" max="32" width="9.140625" style="82" customWidth="1"/>
    <col min="33" max="33" width="13.5703125" style="82" customWidth="1"/>
    <col min="34" max="93" width="9.140625" style="82" customWidth="1"/>
    <col min="94" max="94" width="19" style="82" customWidth="1"/>
    <col min="95" max="16384" width="9.140625" style="82"/>
  </cols>
  <sheetData>
    <row r="1" spans="1:240" x14ac:dyDescent="0.2">
      <c r="A1" s="452" t="s">
        <v>66</v>
      </c>
      <c r="B1" s="172" t="s">
        <v>69</v>
      </c>
      <c r="C1" s="169"/>
      <c r="D1" s="516"/>
    </row>
    <row r="2" spans="1:240" x14ac:dyDescent="0.2">
      <c r="A2" s="319" t="s">
        <v>1813</v>
      </c>
      <c r="B2" s="172" t="s">
        <v>213</v>
      </c>
      <c r="C2" s="169"/>
      <c r="D2" s="517"/>
      <c r="E2" s="11" t="s">
        <v>334</v>
      </c>
      <c r="F2" s="252"/>
    </row>
    <row r="3" spans="1:240" x14ac:dyDescent="0.2">
      <c r="A3" s="11"/>
      <c r="B3" s="172" t="s">
        <v>1814</v>
      </c>
      <c r="C3" s="169"/>
      <c r="D3" s="517"/>
      <c r="E3" s="13" t="str">
        <f>Basisdaten!G14</f>
        <v/>
      </c>
      <c r="F3" s="252">
        <f>IF(E3&gt;E4,0,DATEDIF(E3,E4,"y"))</f>
        <v>0</v>
      </c>
    </row>
    <row r="4" spans="1:240" x14ac:dyDescent="0.2">
      <c r="A4" s="11"/>
      <c r="B4" s="172" t="s">
        <v>68</v>
      </c>
      <c r="C4" s="169"/>
      <c r="D4" s="517"/>
      <c r="E4" s="14">
        <v>46387</v>
      </c>
      <c r="F4" s="252"/>
      <c r="G4" s="5"/>
    </row>
    <row r="5" spans="1:240" x14ac:dyDescent="0.2">
      <c r="A5" s="11"/>
      <c r="B5" s="172" t="s">
        <v>1815</v>
      </c>
      <c r="C5" s="169"/>
      <c r="D5" s="517"/>
      <c r="E5" s="105"/>
      <c r="G5" s="5"/>
      <c r="H5" s="2"/>
    </row>
    <row r="6" spans="1:240" x14ac:dyDescent="0.2">
      <c r="A6" s="11"/>
      <c r="B6" s="172" t="s">
        <v>70</v>
      </c>
      <c r="C6" s="169"/>
      <c r="D6" s="517"/>
      <c r="E6" s="6"/>
      <c r="G6" s="5"/>
      <c r="J6" s="6"/>
      <c r="K6" s="6"/>
      <c r="M6" s="6"/>
      <c r="N6" s="6"/>
      <c r="P6" s="6"/>
      <c r="Q6" s="6"/>
      <c r="S6" s="6"/>
      <c r="T6" s="6"/>
      <c r="V6" s="6"/>
      <c r="W6" s="6"/>
      <c r="Y6" s="6"/>
      <c r="Z6" s="6"/>
      <c r="AB6" s="6"/>
      <c r="AC6" s="6"/>
      <c r="AE6" s="6"/>
      <c r="AF6" s="6"/>
      <c r="AG6" s="6"/>
      <c r="AI6" s="6"/>
      <c r="AJ6" s="6"/>
      <c r="AL6" s="6"/>
      <c r="AM6" s="6"/>
      <c r="AO6" s="6"/>
      <c r="AP6" s="6"/>
      <c r="AR6" s="6"/>
      <c r="AS6" s="6"/>
      <c r="AU6" s="6"/>
      <c r="AV6" s="6"/>
      <c r="AX6" s="6"/>
      <c r="AY6" s="6"/>
      <c r="BA6" s="6"/>
      <c r="BB6" s="6"/>
      <c r="BD6" s="6"/>
      <c r="BE6" s="6"/>
      <c r="BG6" s="6"/>
      <c r="BH6" s="6"/>
      <c r="BJ6" s="6"/>
      <c r="BK6" s="6"/>
      <c r="BM6" s="6"/>
      <c r="BN6" s="6"/>
      <c r="BP6" s="6"/>
      <c r="BQ6" s="6"/>
      <c r="BS6" s="6"/>
      <c r="BT6" s="6"/>
      <c r="BV6" s="6"/>
      <c r="BW6" s="6"/>
      <c r="BY6" s="6"/>
      <c r="BZ6" s="6"/>
      <c r="CB6" s="6"/>
      <c r="CC6" s="6"/>
      <c r="CE6" s="6"/>
      <c r="CF6" s="6"/>
      <c r="CH6" s="6"/>
      <c r="CI6" s="6"/>
      <c r="CK6" s="6"/>
      <c r="CL6" s="6"/>
      <c r="CN6" s="6"/>
      <c r="CO6" s="6"/>
      <c r="CQ6" s="6"/>
      <c r="CR6" s="6"/>
      <c r="CT6" s="6"/>
      <c r="CU6" s="6"/>
      <c r="CW6" s="6"/>
      <c r="CX6" s="6"/>
      <c r="CZ6" s="6"/>
      <c r="DA6" s="6"/>
      <c r="DC6" s="6"/>
      <c r="DD6" s="6"/>
      <c r="DF6" s="6"/>
      <c r="DG6" s="6"/>
      <c r="DI6" s="6"/>
      <c r="DJ6" s="6"/>
      <c r="DL6" s="6"/>
      <c r="DM6" s="6"/>
      <c r="DO6" s="6"/>
      <c r="DP6" s="6"/>
      <c r="DR6" s="6"/>
      <c r="DS6" s="6"/>
      <c r="DU6" s="6"/>
      <c r="DV6" s="6"/>
      <c r="DX6" s="6"/>
      <c r="DY6" s="6"/>
      <c r="EA6" s="6"/>
      <c r="EB6" s="6"/>
      <c r="ED6" s="6"/>
      <c r="EE6" s="6"/>
      <c r="EG6" s="6"/>
      <c r="EH6" s="6"/>
      <c r="EJ6" s="6"/>
      <c r="EK6" s="6"/>
      <c r="EM6" s="6"/>
      <c r="EN6" s="6"/>
      <c r="EP6" s="6"/>
      <c r="EQ6" s="6"/>
      <c r="ES6" s="6"/>
      <c r="ET6" s="6"/>
      <c r="EV6" s="6"/>
      <c r="EW6" s="6"/>
      <c r="EY6" s="6"/>
      <c r="EZ6" s="6"/>
      <c r="FB6" s="6"/>
      <c r="FC6" s="6"/>
      <c r="FE6" s="6"/>
      <c r="FF6" s="6"/>
      <c r="FH6" s="6"/>
      <c r="FI6" s="6"/>
      <c r="FK6" s="6"/>
      <c r="FL6" s="6"/>
      <c r="FN6" s="6"/>
      <c r="FO6" s="6"/>
      <c r="FQ6" s="6"/>
      <c r="FR6" s="6"/>
      <c r="FT6" s="6"/>
      <c r="FU6" s="6"/>
      <c r="FW6" s="6"/>
      <c r="FX6" s="6"/>
      <c r="FZ6" s="6"/>
      <c r="GA6" s="6"/>
      <c r="GC6" s="6"/>
      <c r="GD6" s="6"/>
      <c r="GF6" s="6"/>
      <c r="GG6" s="6"/>
      <c r="GI6" s="6"/>
      <c r="GJ6" s="6"/>
      <c r="GL6" s="6"/>
      <c r="GM6" s="6"/>
      <c r="GO6" s="6"/>
      <c r="GP6" s="6"/>
      <c r="GR6" s="6"/>
      <c r="GS6" s="6"/>
      <c r="GU6" s="6"/>
      <c r="GV6" s="6"/>
      <c r="GX6" s="6"/>
      <c r="GY6" s="6"/>
      <c r="HA6" s="6"/>
      <c r="HB6" s="6"/>
      <c r="HD6" s="6"/>
      <c r="HE6" s="6"/>
      <c r="HG6" s="6"/>
      <c r="HH6" s="6"/>
      <c r="HJ6" s="6"/>
      <c r="HK6" s="6"/>
      <c r="HM6" s="6"/>
      <c r="HN6" s="6"/>
      <c r="HP6" s="6"/>
      <c r="HQ6" s="6"/>
      <c r="HS6" s="6"/>
      <c r="HT6" s="6"/>
      <c r="HV6" s="6"/>
      <c r="HW6" s="6"/>
      <c r="HY6" s="6"/>
      <c r="HZ6" s="6"/>
      <c r="IB6" s="6"/>
      <c r="IC6" s="6"/>
      <c r="IE6" s="6"/>
      <c r="IF6" s="6"/>
    </row>
    <row r="7" spans="1:240" x14ac:dyDescent="0.2">
      <c r="A7" s="6"/>
      <c r="B7" s="172" t="s">
        <v>71</v>
      </c>
      <c r="C7" s="169"/>
      <c r="D7" s="517"/>
      <c r="E7" s="6"/>
      <c r="G7" s="5"/>
      <c r="H7" s="2"/>
      <c r="J7" s="6"/>
      <c r="K7" s="6"/>
      <c r="M7" s="6"/>
      <c r="N7" s="6"/>
      <c r="P7" s="6"/>
      <c r="Q7" s="6"/>
      <c r="S7" s="6"/>
      <c r="T7" s="6"/>
      <c r="V7" s="6"/>
      <c r="W7" s="6"/>
      <c r="Y7" s="6"/>
      <c r="Z7" s="6"/>
      <c r="AB7" s="6"/>
      <c r="AC7" s="6"/>
      <c r="AE7" s="6"/>
      <c r="AF7" s="6"/>
      <c r="AG7" s="6"/>
      <c r="AI7" s="6"/>
      <c r="AJ7" s="6"/>
      <c r="AL7" s="6"/>
      <c r="AM7" s="6"/>
      <c r="AO7" s="6"/>
      <c r="AP7" s="6"/>
      <c r="AR7" s="6"/>
      <c r="AS7" s="6"/>
      <c r="AU7" s="6"/>
      <c r="AV7" s="6"/>
      <c r="AX7" s="6"/>
      <c r="AY7" s="6"/>
      <c r="BA7" s="6"/>
      <c r="BB7" s="6"/>
      <c r="BD7" s="6"/>
      <c r="BE7" s="6"/>
      <c r="BG7" s="6"/>
      <c r="BH7" s="6"/>
      <c r="BJ7" s="6"/>
      <c r="BK7" s="6"/>
      <c r="BM7" s="6"/>
      <c r="BN7" s="6"/>
      <c r="BP7" s="6"/>
      <c r="BQ7" s="6"/>
      <c r="BS7" s="6"/>
      <c r="BT7" s="6"/>
      <c r="BV7" s="6"/>
      <c r="BW7" s="6"/>
      <c r="BY7" s="6"/>
      <c r="BZ7" s="6"/>
      <c r="CB7" s="6"/>
      <c r="CC7" s="6"/>
      <c r="CE7" s="6"/>
      <c r="CF7" s="6"/>
      <c r="CH7" s="6"/>
      <c r="CI7" s="6"/>
      <c r="CK7" s="6"/>
      <c r="CL7" s="6"/>
      <c r="CN7" s="6"/>
      <c r="CO7" s="6"/>
      <c r="CQ7" s="6"/>
      <c r="CR7" s="6"/>
      <c r="CT7" s="6"/>
      <c r="CU7" s="6"/>
      <c r="CW7" s="6"/>
      <c r="CX7" s="6"/>
      <c r="CZ7" s="6"/>
      <c r="DA7" s="6"/>
      <c r="DC7" s="6"/>
      <c r="DD7" s="6"/>
      <c r="DF7" s="6"/>
      <c r="DG7" s="6"/>
      <c r="DI7" s="6"/>
      <c r="DJ7" s="6"/>
      <c r="DL7" s="6"/>
      <c r="DM7" s="6"/>
      <c r="DO7" s="6"/>
      <c r="DP7" s="6"/>
      <c r="DR7" s="6"/>
      <c r="DS7" s="6"/>
      <c r="DU7" s="6"/>
      <c r="DV7" s="6"/>
      <c r="DX7" s="6"/>
      <c r="DY7" s="6"/>
      <c r="EA7" s="6"/>
      <c r="EB7" s="6"/>
      <c r="ED7" s="6"/>
      <c r="EE7" s="6"/>
      <c r="EG7" s="6"/>
      <c r="EH7" s="6"/>
      <c r="EJ7" s="6"/>
      <c r="EK7" s="6"/>
      <c r="EM7" s="6"/>
      <c r="EN7" s="6"/>
      <c r="EP7" s="6"/>
      <c r="EQ7" s="6"/>
      <c r="ES7" s="6"/>
      <c r="ET7" s="6"/>
      <c r="EV7" s="6"/>
      <c r="EW7" s="6"/>
      <c r="EY7" s="6"/>
      <c r="EZ7" s="6"/>
      <c r="FB7" s="6"/>
      <c r="FC7" s="6"/>
      <c r="FE7" s="6"/>
      <c r="FF7" s="6"/>
      <c r="FH7" s="6"/>
      <c r="FI7" s="6"/>
      <c r="FK7" s="6"/>
      <c r="FL7" s="6"/>
      <c r="FN7" s="6"/>
      <c r="FO7" s="6"/>
      <c r="FQ7" s="6"/>
      <c r="FR7" s="6"/>
      <c r="FT7" s="6"/>
      <c r="FU7" s="6"/>
      <c r="FW7" s="6"/>
      <c r="FX7" s="6"/>
      <c r="FZ7" s="6"/>
      <c r="GA7" s="6"/>
      <c r="GC7" s="6"/>
      <c r="GD7" s="6"/>
      <c r="GF7" s="6"/>
      <c r="GG7" s="6"/>
      <c r="GI7" s="6"/>
      <c r="GJ7" s="6"/>
      <c r="GL7" s="6"/>
      <c r="GM7" s="6"/>
      <c r="GO7" s="6"/>
      <c r="GP7" s="6"/>
      <c r="GR7" s="6"/>
      <c r="GS7" s="6"/>
      <c r="GU7" s="6"/>
      <c r="GV7" s="6"/>
      <c r="GX7" s="6"/>
      <c r="GY7" s="6"/>
      <c r="HA7" s="6"/>
      <c r="HB7" s="6"/>
      <c r="HD7" s="6"/>
      <c r="HE7" s="6"/>
      <c r="HG7" s="6"/>
      <c r="HH7" s="6"/>
      <c r="HJ7" s="6"/>
      <c r="HK7" s="6"/>
      <c r="HM7" s="6"/>
      <c r="HN7" s="6"/>
      <c r="HP7" s="6"/>
      <c r="HQ7" s="6"/>
      <c r="HS7" s="6"/>
      <c r="HT7" s="6"/>
      <c r="HV7" s="6"/>
      <c r="HW7" s="6"/>
      <c r="HY7" s="6"/>
      <c r="HZ7" s="6"/>
      <c r="IB7" s="6"/>
      <c r="IC7" s="6"/>
      <c r="IE7" s="6"/>
      <c r="IF7" s="6"/>
    </row>
    <row r="8" spans="1:240" x14ac:dyDescent="0.2">
      <c r="A8" s="11"/>
      <c r="B8" s="172" t="s">
        <v>214</v>
      </c>
      <c r="C8" s="169"/>
      <c r="D8" s="517"/>
      <c r="E8" s="6"/>
      <c r="G8" s="5"/>
      <c r="H8" s="3"/>
      <c r="J8" s="6"/>
      <c r="K8" s="6"/>
      <c r="M8" s="6"/>
      <c r="N8" s="6"/>
      <c r="P8" s="6"/>
      <c r="Q8" s="6"/>
      <c r="S8" s="6"/>
      <c r="T8" s="6"/>
      <c r="V8" s="6"/>
      <c r="W8" s="6"/>
      <c r="Y8" s="6"/>
      <c r="Z8" s="6"/>
      <c r="AB8" s="6"/>
      <c r="AC8" s="6"/>
      <c r="AE8" s="6"/>
      <c r="AF8" s="6"/>
      <c r="AG8" s="6"/>
      <c r="AI8" s="6"/>
      <c r="AJ8" s="6"/>
      <c r="AL8" s="6"/>
      <c r="AM8" s="6"/>
      <c r="AO8" s="6"/>
      <c r="AP8" s="6"/>
      <c r="AR8" s="6"/>
      <c r="AS8" s="6"/>
      <c r="AU8" s="6"/>
      <c r="AV8" s="6"/>
      <c r="AX8" s="6"/>
      <c r="AY8" s="6"/>
      <c r="BA8" s="6"/>
      <c r="BB8" s="6"/>
      <c r="BD8" s="6"/>
      <c r="BE8" s="6"/>
      <c r="BG8" s="6"/>
      <c r="BH8" s="6"/>
      <c r="BJ8" s="6"/>
      <c r="BK8" s="6"/>
      <c r="BM8" s="6"/>
      <c r="BN8" s="6"/>
      <c r="BP8" s="6"/>
      <c r="BQ8" s="6"/>
      <c r="BS8" s="6"/>
      <c r="BT8" s="6"/>
      <c r="BV8" s="6"/>
      <c r="BW8" s="6"/>
      <c r="BY8" s="6"/>
      <c r="BZ8" s="6"/>
      <c r="CB8" s="6"/>
      <c r="CC8" s="6"/>
      <c r="CE8" s="6"/>
      <c r="CF8" s="6"/>
      <c r="CH8" s="6"/>
      <c r="CI8" s="6"/>
      <c r="CK8" s="6"/>
      <c r="CL8" s="6"/>
      <c r="CN8" s="6"/>
      <c r="CO8" s="6"/>
      <c r="CQ8" s="6"/>
      <c r="CR8" s="6"/>
      <c r="CT8" s="6"/>
      <c r="CU8" s="6"/>
      <c r="CW8" s="6"/>
      <c r="CX8" s="6"/>
      <c r="CZ8" s="6"/>
      <c r="DA8" s="6"/>
      <c r="DC8" s="6"/>
      <c r="DD8" s="6"/>
      <c r="DF8" s="6"/>
      <c r="DG8" s="6"/>
      <c r="DI8" s="6"/>
      <c r="DJ8" s="6"/>
      <c r="DL8" s="6"/>
      <c r="DM8" s="6"/>
      <c r="DO8" s="6"/>
      <c r="DP8" s="6"/>
      <c r="DR8" s="6"/>
      <c r="DS8" s="6"/>
      <c r="DU8" s="6"/>
      <c r="DV8" s="6"/>
      <c r="DX8" s="6"/>
      <c r="DY8" s="6"/>
      <c r="EA8" s="6"/>
      <c r="EB8" s="6"/>
      <c r="ED8" s="6"/>
      <c r="EE8" s="6"/>
      <c r="EG8" s="6"/>
      <c r="EH8" s="6"/>
      <c r="EJ8" s="6"/>
      <c r="EK8" s="6"/>
      <c r="EM8" s="6"/>
      <c r="EN8" s="6"/>
      <c r="EP8" s="6"/>
      <c r="EQ8" s="6"/>
      <c r="ES8" s="6"/>
      <c r="ET8" s="6"/>
      <c r="EV8" s="6"/>
      <c r="EW8" s="6"/>
      <c r="EY8" s="6"/>
      <c r="EZ8" s="6"/>
      <c r="FB8" s="6"/>
      <c r="FC8" s="6"/>
      <c r="FE8" s="6"/>
      <c r="FF8" s="6"/>
      <c r="FH8" s="6"/>
      <c r="FI8" s="6"/>
      <c r="FK8" s="6"/>
      <c r="FL8" s="6"/>
      <c r="FN8" s="6"/>
      <c r="FO8" s="6"/>
      <c r="FQ8" s="6"/>
      <c r="FR8" s="6"/>
      <c r="FT8" s="6"/>
      <c r="FU8" s="6"/>
      <c r="FW8" s="6"/>
      <c r="FX8" s="6"/>
      <c r="FZ8" s="6"/>
      <c r="GA8" s="6"/>
      <c r="GC8" s="6"/>
      <c r="GD8" s="6"/>
      <c r="GF8" s="6"/>
      <c r="GG8" s="6"/>
      <c r="GI8" s="6"/>
      <c r="GJ8" s="6"/>
      <c r="GL8" s="6"/>
      <c r="GM8" s="6"/>
      <c r="GO8" s="6"/>
      <c r="GP8" s="6"/>
      <c r="GR8" s="6"/>
      <c r="GS8" s="6"/>
      <c r="GU8" s="6"/>
      <c r="GV8" s="6"/>
      <c r="GX8" s="6"/>
      <c r="GY8" s="6"/>
      <c r="HA8" s="6"/>
      <c r="HB8" s="6"/>
      <c r="HD8" s="6"/>
      <c r="HE8" s="6"/>
      <c r="HG8" s="6"/>
      <c r="HH8" s="6"/>
      <c r="HJ8" s="6"/>
      <c r="HK8" s="6"/>
      <c r="HM8" s="6"/>
      <c r="HN8" s="6"/>
      <c r="HP8" s="6"/>
      <c r="HQ8" s="6"/>
      <c r="HS8" s="6"/>
      <c r="HT8" s="6"/>
      <c r="HV8" s="6"/>
      <c r="HW8" s="6"/>
      <c r="HY8" s="6"/>
      <c r="HZ8" s="6"/>
      <c r="IB8" s="6"/>
      <c r="IC8" s="6"/>
      <c r="IE8" s="6"/>
      <c r="IF8" s="6"/>
    </row>
    <row r="9" spans="1:240" x14ac:dyDescent="0.2">
      <c r="A9" s="6"/>
      <c r="B9" s="172" t="s">
        <v>72</v>
      </c>
      <c r="C9" s="169"/>
      <c r="D9" s="517"/>
      <c r="E9" s="6"/>
      <c r="G9" s="5"/>
      <c r="H9" s="3"/>
      <c r="J9" s="6"/>
      <c r="K9" s="6"/>
      <c r="M9" s="6"/>
      <c r="N9" s="6"/>
      <c r="P9" s="6"/>
      <c r="Q9" s="6"/>
      <c r="S9" s="6"/>
      <c r="T9" s="6"/>
      <c r="V9" s="6"/>
      <c r="W9" s="6"/>
      <c r="Y9" s="6"/>
      <c r="Z9" s="6"/>
      <c r="AB9" s="6"/>
      <c r="AC9" s="6"/>
      <c r="AE9" s="6"/>
      <c r="AF9" s="6"/>
      <c r="AG9" s="6"/>
      <c r="AI9" s="6"/>
      <c r="AJ9" s="6"/>
      <c r="AL9" s="6"/>
      <c r="AM9" s="6"/>
      <c r="AO9" s="6"/>
      <c r="AP9" s="6"/>
      <c r="AR9" s="6"/>
      <c r="AS9" s="6"/>
      <c r="AU9" s="6"/>
      <c r="AV9" s="6"/>
      <c r="AX9" s="6"/>
      <c r="AY9" s="6"/>
      <c r="BA9" s="6"/>
      <c r="BB9" s="6"/>
      <c r="BD9" s="6"/>
      <c r="BE9" s="6"/>
      <c r="BG9" s="6"/>
      <c r="BH9" s="6"/>
      <c r="BJ9" s="6"/>
      <c r="BK9" s="6"/>
      <c r="BM9" s="6"/>
      <c r="BN9" s="6"/>
      <c r="BP9" s="6"/>
      <c r="BQ9" s="6"/>
      <c r="BS9" s="6"/>
      <c r="BT9" s="6"/>
      <c r="BV9" s="6"/>
      <c r="BW9" s="6"/>
      <c r="BY9" s="6"/>
      <c r="BZ9" s="6"/>
      <c r="CB9" s="6"/>
      <c r="CC9" s="6"/>
      <c r="CE9" s="6"/>
      <c r="CF9" s="6"/>
      <c r="CH9" s="6"/>
      <c r="CI9" s="6"/>
      <c r="CK9" s="6"/>
      <c r="CL9" s="6"/>
      <c r="CN9" s="6"/>
      <c r="CO9" s="6"/>
      <c r="CQ9" s="6"/>
      <c r="CR9" s="6"/>
      <c r="CT9" s="6"/>
      <c r="CU9" s="6"/>
      <c r="CW9" s="6"/>
      <c r="CX9" s="6"/>
      <c r="CZ9" s="6"/>
      <c r="DA9" s="6"/>
      <c r="DC9" s="6"/>
      <c r="DD9" s="6"/>
      <c r="DF9" s="6"/>
      <c r="DG9" s="6"/>
      <c r="DI9" s="6"/>
      <c r="DJ9" s="6"/>
      <c r="DL9" s="6"/>
      <c r="DM9" s="6"/>
      <c r="DO9" s="6"/>
      <c r="DP9" s="6"/>
      <c r="DR9" s="6"/>
      <c r="DS9" s="6"/>
      <c r="DU9" s="6"/>
      <c r="DV9" s="6"/>
      <c r="DX9" s="6"/>
      <c r="DY9" s="6"/>
      <c r="EA9" s="6"/>
      <c r="EB9" s="6"/>
      <c r="ED9" s="6"/>
      <c r="EE9" s="6"/>
      <c r="EG9" s="6"/>
      <c r="EH9" s="6"/>
      <c r="EJ9" s="6"/>
      <c r="EK9" s="6"/>
      <c r="EM9" s="6"/>
      <c r="EN9" s="6"/>
      <c r="EP9" s="6"/>
      <c r="EQ9" s="6"/>
      <c r="ES9" s="6"/>
      <c r="ET9" s="6"/>
      <c r="EV9" s="6"/>
      <c r="EW9" s="6"/>
      <c r="EY9" s="6"/>
      <c r="EZ9" s="6"/>
      <c r="FB9" s="6"/>
      <c r="FC9" s="6"/>
      <c r="FE9" s="6"/>
      <c r="FF9" s="6"/>
      <c r="FH9" s="6"/>
      <c r="FI9" s="6"/>
      <c r="FK9" s="6"/>
      <c r="FL9" s="6"/>
      <c r="FN9" s="6"/>
      <c r="FO9" s="6"/>
      <c r="FQ9" s="6"/>
      <c r="FR9" s="6"/>
      <c r="FT9" s="6"/>
      <c r="FU9" s="6"/>
      <c r="FW9" s="6"/>
      <c r="FX9" s="6"/>
      <c r="FZ9" s="6"/>
      <c r="GA9" s="6"/>
      <c r="GC9" s="6"/>
      <c r="GD9" s="6"/>
      <c r="GF9" s="6"/>
      <c r="GG9" s="6"/>
      <c r="GI9" s="6"/>
      <c r="GJ9" s="6"/>
      <c r="GL9" s="6"/>
      <c r="GM9" s="6"/>
      <c r="GO9" s="6"/>
      <c r="GP9" s="6"/>
      <c r="GR9" s="6"/>
      <c r="GS9" s="6"/>
      <c r="GU9" s="6"/>
      <c r="GV9" s="6"/>
      <c r="GX9" s="6"/>
      <c r="GY9" s="6"/>
      <c r="HA9" s="6"/>
      <c r="HB9" s="6"/>
      <c r="HD9" s="6"/>
      <c r="HE9" s="6"/>
      <c r="HG9" s="6"/>
      <c r="HH9" s="6"/>
      <c r="HJ9" s="6"/>
      <c r="HK9" s="6"/>
      <c r="HM9" s="6"/>
      <c r="HN9" s="6"/>
      <c r="HP9" s="6"/>
      <c r="HQ9" s="6"/>
      <c r="HS9" s="6"/>
      <c r="HT9" s="6"/>
      <c r="HV9" s="6"/>
      <c r="HW9" s="6"/>
      <c r="HY9" s="6"/>
      <c r="HZ9" s="6"/>
      <c r="IB9" s="6"/>
      <c r="IC9" s="6"/>
      <c r="IE9" s="6"/>
      <c r="IF9" s="6"/>
    </row>
    <row r="10" spans="1:240" x14ac:dyDescent="0.2">
      <c r="A10" s="6"/>
      <c r="B10" s="172" t="s">
        <v>73</v>
      </c>
      <c r="C10" s="169"/>
      <c r="D10" s="517"/>
      <c r="E10" s="6"/>
      <c r="G10" s="5"/>
      <c r="H10" s="3"/>
      <c r="J10" s="6"/>
      <c r="K10" s="6"/>
      <c r="M10" s="6"/>
      <c r="N10" s="6"/>
      <c r="P10" s="6"/>
      <c r="Q10" s="6"/>
      <c r="S10" s="6"/>
      <c r="T10" s="6"/>
      <c r="V10" s="6"/>
      <c r="W10" s="6"/>
      <c r="Y10" s="6"/>
      <c r="Z10" s="6"/>
      <c r="AB10" s="6"/>
      <c r="AC10" s="6"/>
      <c r="AE10" s="6"/>
      <c r="AF10" s="6"/>
      <c r="AG10" s="6"/>
      <c r="AI10" s="6"/>
      <c r="AJ10" s="6"/>
      <c r="AL10" s="6"/>
      <c r="AM10" s="6"/>
      <c r="AO10" s="6"/>
      <c r="AP10" s="6"/>
      <c r="AR10" s="6"/>
      <c r="AS10" s="6"/>
      <c r="AU10" s="6"/>
      <c r="AV10" s="6"/>
      <c r="AX10" s="6"/>
      <c r="AY10" s="6"/>
      <c r="BA10" s="6"/>
      <c r="BB10" s="6"/>
      <c r="BD10" s="6"/>
      <c r="BE10" s="6"/>
      <c r="BG10" s="6"/>
      <c r="BH10" s="6"/>
      <c r="BJ10" s="6"/>
      <c r="BK10" s="6"/>
      <c r="BM10" s="6"/>
      <c r="BN10" s="6"/>
      <c r="BP10" s="6"/>
      <c r="BQ10" s="6"/>
      <c r="BS10" s="6"/>
      <c r="BT10" s="6"/>
      <c r="BV10" s="6"/>
      <c r="BW10" s="6"/>
      <c r="BY10" s="6"/>
      <c r="BZ10" s="6"/>
      <c r="CB10" s="6"/>
      <c r="CC10" s="6"/>
      <c r="CE10" s="6"/>
      <c r="CF10" s="6"/>
      <c r="CH10" s="6"/>
      <c r="CI10" s="6"/>
      <c r="CK10" s="6"/>
      <c r="CL10" s="6"/>
      <c r="CN10" s="6"/>
      <c r="CO10" s="6"/>
      <c r="CQ10" s="6"/>
      <c r="CR10" s="6"/>
      <c r="CT10" s="6"/>
      <c r="CU10" s="6"/>
      <c r="CW10" s="6"/>
      <c r="CX10" s="6"/>
      <c r="CZ10" s="6"/>
      <c r="DA10" s="6"/>
      <c r="DC10" s="6"/>
      <c r="DD10" s="6"/>
      <c r="DF10" s="6"/>
      <c r="DG10" s="6"/>
      <c r="DI10" s="6"/>
      <c r="DJ10" s="6"/>
      <c r="DL10" s="6"/>
      <c r="DM10" s="6"/>
      <c r="DO10" s="6"/>
      <c r="DP10" s="6"/>
      <c r="DR10" s="6"/>
      <c r="DS10" s="6"/>
      <c r="DU10" s="6"/>
      <c r="DV10" s="6"/>
      <c r="DX10" s="6"/>
      <c r="DY10" s="6"/>
      <c r="EA10" s="6"/>
      <c r="EB10" s="6"/>
      <c r="ED10" s="6"/>
      <c r="EE10" s="6"/>
      <c r="EG10" s="6"/>
      <c r="EH10" s="6"/>
      <c r="EJ10" s="6"/>
      <c r="EK10" s="6"/>
      <c r="EM10" s="6"/>
      <c r="EN10" s="6"/>
      <c r="EP10" s="6"/>
      <c r="EQ10" s="6"/>
      <c r="ES10" s="6"/>
      <c r="ET10" s="6"/>
      <c r="EV10" s="6"/>
      <c r="EW10" s="6"/>
      <c r="EY10" s="6"/>
      <c r="EZ10" s="6"/>
      <c r="FB10" s="6"/>
      <c r="FC10" s="6"/>
      <c r="FE10" s="6"/>
      <c r="FF10" s="6"/>
      <c r="FH10" s="6"/>
      <c r="FI10" s="6"/>
      <c r="FK10" s="6"/>
      <c r="FL10" s="6"/>
      <c r="FN10" s="6"/>
      <c r="FO10" s="6"/>
      <c r="FQ10" s="6"/>
      <c r="FR10" s="6"/>
      <c r="FT10" s="6"/>
      <c r="FU10" s="6"/>
      <c r="FW10" s="6"/>
      <c r="FX10" s="6"/>
      <c r="FZ10" s="6"/>
      <c r="GA10" s="6"/>
      <c r="GC10" s="6"/>
      <c r="GD10" s="6"/>
      <c r="GF10" s="6"/>
      <c r="GG10" s="6"/>
      <c r="GI10" s="6"/>
      <c r="GJ10" s="6"/>
      <c r="GL10" s="6"/>
      <c r="GM10" s="6"/>
      <c r="GO10" s="6"/>
      <c r="GP10" s="6"/>
      <c r="GR10" s="6"/>
      <c r="GS10" s="6"/>
      <c r="GU10" s="6"/>
      <c r="GV10" s="6"/>
      <c r="GX10" s="6"/>
      <c r="GY10" s="6"/>
      <c r="HA10" s="6"/>
      <c r="HB10" s="6"/>
      <c r="HD10" s="6"/>
      <c r="HE10" s="6"/>
      <c r="HG10" s="6"/>
      <c r="HH10" s="6"/>
      <c r="HJ10" s="6"/>
      <c r="HK10" s="6"/>
      <c r="HM10" s="6"/>
      <c r="HN10" s="6"/>
      <c r="HP10" s="6"/>
      <c r="HQ10" s="6"/>
      <c r="HS10" s="6"/>
      <c r="HT10" s="6"/>
      <c r="HV10" s="6"/>
      <c r="HW10" s="6"/>
      <c r="HY10" s="6"/>
      <c r="HZ10" s="6"/>
      <c r="IB10" s="6"/>
      <c r="IC10" s="6"/>
      <c r="IE10" s="6"/>
      <c r="IF10" s="6"/>
    </row>
    <row r="11" spans="1:240" x14ac:dyDescent="0.2">
      <c r="A11" s="6"/>
      <c r="B11" s="172" t="s">
        <v>553</v>
      </c>
      <c r="C11" s="169"/>
      <c r="D11" s="517"/>
      <c r="E11" s="6"/>
      <c r="G11" s="5"/>
      <c r="H11" s="3"/>
      <c r="J11" s="6"/>
      <c r="K11" s="6"/>
      <c r="M11" s="6"/>
      <c r="N11" s="6"/>
      <c r="P11" s="6"/>
      <c r="Q11" s="6"/>
      <c r="S11" s="6"/>
      <c r="T11" s="6"/>
      <c r="V11" s="6"/>
      <c r="W11" s="6"/>
      <c r="Y11" s="6"/>
      <c r="Z11" s="6"/>
      <c r="AB11" s="6"/>
      <c r="AC11" s="6"/>
      <c r="AE11" s="6"/>
      <c r="AF11" s="6"/>
      <c r="AG11" s="6"/>
      <c r="AI11" s="6"/>
      <c r="AJ11" s="6"/>
      <c r="AL11" s="6"/>
      <c r="AM11" s="6"/>
      <c r="AO11" s="6"/>
      <c r="AP11" s="6"/>
      <c r="AR11" s="6"/>
      <c r="AS11" s="6"/>
      <c r="AU11" s="6"/>
      <c r="AV11" s="6"/>
      <c r="AX11" s="6"/>
      <c r="AY11" s="6"/>
      <c r="BA11" s="6"/>
      <c r="BB11" s="6"/>
      <c r="BD11" s="6"/>
      <c r="BE11" s="6"/>
      <c r="BG11" s="6"/>
      <c r="BH11" s="6"/>
      <c r="BJ11" s="6"/>
      <c r="BK11" s="6"/>
      <c r="BM11" s="6"/>
      <c r="BN11" s="6"/>
      <c r="BP11" s="6"/>
      <c r="BQ11" s="6"/>
      <c r="BS11" s="6"/>
      <c r="BT11" s="6"/>
      <c r="BV11" s="6"/>
      <c r="BW11" s="6"/>
      <c r="BY11" s="6"/>
      <c r="BZ11" s="6"/>
      <c r="CB11" s="6"/>
      <c r="CC11" s="6"/>
      <c r="CE11" s="6"/>
      <c r="CF11" s="6"/>
      <c r="CH11" s="6"/>
      <c r="CI11" s="6"/>
      <c r="CK11" s="6"/>
      <c r="CL11" s="6"/>
      <c r="CN11" s="6"/>
      <c r="CO11" s="6"/>
      <c r="CQ11" s="6"/>
      <c r="CR11" s="6"/>
      <c r="CT11" s="6"/>
      <c r="CU11" s="6"/>
      <c r="CW11" s="6"/>
      <c r="CX11" s="6"/>
      <c r="CZ11" s="6"/>
      <c r="DA11" s="6"/>
      <c r="DC11" s="6"/>
      <c r="DD11" s="6"/>
      <c r="DF11" s="6"/>
      <c r="DG11" s="6"/>
      <c r="DI11" s="6"/>
      <c r="DJ11" s="6"/>
      <c r="DL11" s="6"/>
      <c r="DM11" s="6"/>
      <c r="DO11" s="6"/>
      <c r="DP11" s="6"/>
      <c r="DR11" s="6"/>
      <c r="DS11" s="6"/>
      <c r="DU11" s="6"/>
      <c r="DV11" s="6"/>
      <c r="DX11" s="6"/>
      <c r="DY11" s="6"/>
      <c r="EA11" s="6"/>
      <c r="EB11" s="6"/>
      <c r="ED11" s="6"/>
      <c r="EE11" s="6"/>
      <c r="EG11" s="6"/>
      <c r="EH11" s="6"/>
      <c r="EJ11" s="6"/>
      <c r="EK11" s="6"/>
      <c r="EM11" s="6"/>
      <c r="EN11" s="6"/>
      <c r="EP11" s="6"/>
      <c r="EQ11" s="6"/>
      <c r="ES11" s="6"/>
      <c r="ET11" s="6"/>
      <c r="EV11" s="6"/>
      <c r="EW11" s="6"/>
      <c r="EY11" s="6"/>
      <c r="EZ11" s="6"/>
      <c r="FB11" s="6"/>
      <c r="FC11" s="6"/>
      <c r="FE11" s="6"/>
      <c r="FF11" s="6"/>
      <c r="FH11" s="6"/>
      <c r="FI11" s="6"/>
      <c r="FK11" s="6"/>
      <c r="FL11" s="6"/>
      <c r="FN11" s="6"/>
      <c r="FO11" s="6"/>
      <c r="FQ11" s="6"/>
      <c r="FR11" s="6"/>
      <c r="FT11" s="6"/>
      <c r="FU11" s="6"/>
      <c r="FW11" s="6"/>
      <c r="FX11" s="6"/>
      <c r="FZ11" s="6"/>
      <c r="GA11" s="6"/>
      <c r="GC11" s="6"/>
      <c r="GD11" s="6"/>
      <c r="GF11" s="6"/>
      <c r="GG11" s="6"/>
      <c r="GI11" s="6"/>
      <c r="GJ11" s="6"/>
      <c r="GL11" s="6"/>
      <c r="GM11" s="6"/>
      <c r="GO11" s="6"/>
      <c r="GP11" s="6"/>
      <c r="GR11" s="6"/>
      <c r="GS11" s="6"/>
      <c r="GU11" s="6"/>
      <c r="GV11" s="6"/>
      <c r="GX11" s="6"/>
      <c r="GY11" s="6"/>
      <c r="HA11" s="6"/>
      <c r="HB11" s="6"/>
      <c r="HD11" s="6"/>
      <c r="HE11" s="6"/>
      <c r="HG11" s="6"/>
      <c r="HH11" s="6"/>
      <c r="HJ11" s="6"/>
      <c r="HK11" s="6"/>
      <c r="HM11" s="6"/>
      <c r="HN11" s="6"/>
      <c r="HP11" s="6"/>
      <c r="HQ11" s="6"/>
      <c r="HS11" s="6"/>
      <c r="HT11" s="6"/>
      <c r="HV11" s="6"/>
      <c r="HW11" s="6"/>
      <c r="HY11" s="6"/>
      <c r="HZ11" s="6"/>
      <c r="IB11" s="6"/>
      <c r="IC11" s="6"/>
      <c r="IE11" s="6"/>
      <c r="IF11" s="6"/>
    </row>
    <row r="12" spans="1:240" x14ac:dyDescent="0.2">
      <c r="A12" s="6"/>
      <c r="B12" s="172" t="s">
        <v>1165</v>
      </c>
      <c r="C12" s="169"/>
      <c r="D12" s="517"/>
      <c r="E12" s="6"/>
      <c r="G12" s="5"/>
      <c r="H12" s="3"/>
      <c r="J12" s="6"/>
      <c r="K12" s="6"/>
      <c r="M12" s="6"/>
      <c r="N12" s="6"/>
      <c r="P12" s="6"/>
      <c r="Q12" s="6"/>
      <c r="S12" s="6"/>
      <c r="T12" s="6"/>
      <c r="V12" s="6"/>
      <c r="W12" s="6"/>
      <c r="Y12" s="6"/>
      <c r="Z12" s="6"/>
      <c r="AB12" s="6"/>
      <c r="AC12" s="6"/>
      <c r="AE12" s="6"/>
      <c r="AF12" s="6"/>
      <c r="AG12" s="6"/>
      <c r="AI12" s="6"/>
      <c r="AJ12" s="6"/>
      <c r="AL12" s="6"/>
      <c r="AM12" s="6"/>
      <c r="AO12" s="6"/>
      <c r="AP12" s="6"/>
      <c r="AR12" s="6"/>
      <c r="AS12" s="6"/>
      <c r="AU12" s="6"/>
      <c r="AV12" s="6"/>
      <c r="AX12" s="6"/>
      <c r="AY12" s="6"/>
      <c r="BA12" s="6"/>
      <c r="BB12" s="6"/>
      <c r="BD12" s="6"/>
      <c r="BE12" s="6"/>
      <c r="BG12" s="6"/>
      <c r="BH12" s="6"/>
      <c r="BJ12" s="6"/>
      <c r="BK12" s="6"/>
      <c r="BM12" s="6"/>
      <c r="BN12" s="6"/>
      <c r="BP12" s="6"/>
      <c r="BQ12" s="6"/>
      <c r="BS12" s="6"/>
      <c r="BT12" s="6"/>
      <c r="BV12" s="6"/>
      <c r="BW12" s="6"/>
      <c r="BY12" s="6"/>
      <c r="BZ12" s="6"/>
      <c r="CB12" s="6"/>
      <c r="CC12" s="6"/>
      <c r="CE12" s="6"/>
      <c r="CF12" s="6"/>
      <c r="CH12" s="6"/>
      <c r="CI12" s="6"/>
      <c r="CK12" s="6"/>
      <c r="CL12" s="6"/>
      <c r="CN12" s="6"/>
      <c r="CO12" s="6"/>
      <c r="CQ12" s="6"/>
      <c r="CR12" s="6"/>
      <c r="CT12" s="6"/>
      <c r="CU12" s="6"/>
      <c r="CW12" s="6"/>
      <c r="CX12" s="6"/>
      <c r="CZ12" s="6"/>
      <c r="DA12" s="6"/>
      <c r="DC12" s="6"/>
      <c r="DD12" s="6"/>
      <c r="DF12" s="6"/>
      <c r="DG12" s="6"/>
      <c r="DI12" s="6"/>
      <c r="DJ12" s="6"/>
      <c r="DL12" s="6"/>
      <c r="DM12" s="6"/>
      <c r="DO12" s="6"/>
      <c r="DP12" s="6"/>
      <c r="DR12" s="6"/>
      <c r="DS12" s="6"/>
      <c r="DU12" s="6"/>
      <c r="DV12" s="6"/>
      <c r="DX12" s="6"/>
      <c r="DY12" s="6"/>
      <c r="EA12" s="6"/>
      <c r="EB12" s="6"/>
      <c r="ED12" s="6"/>
      <c r="EE12" s="6"/>
      <c r="EG12" s="6"/>
      <c r="EH12" s="6"/>
      <c r="EJ12" s="6"/>
      <c r="EK12" s="6"/>
      <c r="EM12" s="6"/>
      <c r="EN12" s="6"/>
      <c r="EP12" s="6"/>
      <c r="EQ12" s="6"/>
      <c r="ES12" s="6"/>
      <c r="ET12" s="6"/>
      <c r="EV12" s="6"/>
      <c r="EW12" s="6"/>
      <c r="EY12" s="6"/>
      <c r="EZ12" s="6"/>
      <c r="FB12" s="6"/>
      <c r="FC12" s="6"/>
      <c r="FE12" s="6"/>
      <c r="FF12" s="6"/>
      <c r="FH12" s="6"/>
      <c r="FI12" s="6"/>
      <c r="FK12" s="6"/>
      <c r="FL12" s="6"/>
      <c r="FN12" s="6"/>
      <c r="FO12" s="6"/>
      <c r="FQ12" s="6"/>
      <c r="FR12" s="6"/>
      <c r="FT12" s="6"/>
      <c r="FU12" s="6"/>
      <c r="FW12" s="6"/>
      <c r="FX12" s="6"/>
      <c r="FZ12" s="6"/>
      <c r="GA12" s="6"/>
      <c r="GC12" s="6"/>
      <c r="GD12" s="6"/>
      <c r="GF12" s="6"/>
      <c r="GG12" s="6"/>
      <c r="GI12" s="6"/>
      <c r="GJ12" s="6"/>
      <c r="GL12" s="6"/>
      <c r="GM12" s="6"/>
      <c r="GO12" s="6"/>
      <c r="GP12" s="6"/>
      <c r="GR12" s="6"/>
      <c r="GS12" s="6"/>
      <c r="GU12" s="6"/>
      <c r="GV12" s="6"/>
      <c r="GX12" s="6"/>
      <c r="GY12" s="6"/>
      <c r="HA12" s="6"/>
      <c r="HB12" s="6"/>
      <c r="HD12" s="6"/>
      <c r="HE12" s="6"/>
      <c r="HG12" s="6"/>
      <c r="HH12" s="6"/>
      <c r="HJ12" s="6"/>
      <c r="HK12" s="6"/>
      <c r="HM12" s="6"/>
      <c r="HN12" s="6"/>
      <c r="HP12" s="6"/>
      <c r="HQ12" s="6"/>
      <c r="HS12" s="6"/>
      <c r="HT12" s="6"/>
      <c r="HV12" s="6"/>
      <c r="HW12" s="6"/>
      <c r="HY12" s="6"/>
      <c r="HZ12" s="6"/>
      <c r="IB12" s="6"/>
      <c r="IC12" s="6"/>
      <c r="IE12" s="6"/>
      <c r="IF12" s="6"/>
    </row>
    <row r="13" spans="1:240" x14ac:dyDescent="0.2">
      <c r="A13" s="6"/>
      <c r="B13" s="172" t="s">
        <v>556</v>
      </c>
      <c r="C13" s="169"/>
      <c r="D13" s="517"/>
      <c r="E13" s="6"/>
      <c r="G13" s="5"/>
      <c r="H13" s="3"/>
      <c r="J13" s="6"/>
      <c r="K13" s="6"/>
      <c r="M13" s="6"/>
      <c r="N13" s="6"/>
      <c r="P13" s="6"/>
      <c r="Q13" s="6"/>
      <c r="S13" s="6"/>
      <c r="T13" s="6"/>
      <c r="V13" s="6"/>
      <c r="W13" s="6"/>
      <c r="Y13" s="6"/>
      <c r="Z13" s="6"/>
      <c r="AB13" s="6"/>
      <c r="AC13" s="6"/>
      <c r="AE13" s="6"/>
      <c r="AF13" s="6"/>
      <c r="AG13" s="6"/>
      <c r="AI13" s="6"/>
      <c r="AJ13" s="6"/>
      <c r="AL13" s="6"/>
      <c r="AM13" s="6"/>
      <c r="AO13" s="6"/>
      <c r="AP13" s="6"/>
      <c r="AR13" s="6"/>
      <c r="AS13" s="6"/>
      <c r="AU13" s="6"/>
      <c r="AV13" s="6"/>
      <c r="AX13" s="6"/>
      <c r="AY13" s="6"/>
      <c r="BA13" s="6"/>
      <c r="BB13" s="6"/>
      <c r="BD13" s="6"/>
      <c r="BE13" s="6"/>
      <c r="BG13" s="6"/>
      <c r="BH13" s="6"/>
      <c r="BJ13" s="6"/>
      <c r="BK13" s="6"/>
      <c r="BM13" s="6"/>
      <c r="BN13" s="6"/>
      <c r="BP13" s="6"/>
      <c r="BQ13" s="6"/>
      <c r="BS13" s="6"/>
      <c r="BT13" s="6"/>
      <c r="BV13" s="6"/>
      <c r="BW13" s="6"/>
      <c r="BY13" s="6"/>
      <c r="BZ13" s="6"/>
      <c r="CB13" s="6"/>
      <c r="CC13" s="6"/>
      <c r="CE13" s="6"/>
      <c r="CF13" s="6"/>
      <c r="CH13" s="6"/>
      <c r="CI13" s="6"/>
      <c r="CK13" s="6"/>
      <c r="CL13" s="6"/>
      <c r="CN13" s="6"/>
      <c r="CO13" s="6"/>
      <c r="CQ13" s="6"/>
      <c r="CR13" s="6"/>
      <c r="CT13" s="6"/>
      <c r="CU13" s="6"/>
      <c r="CW13" s="6"/>
      <c r="CX13" s="6"/>
      <c r="CZ13" s="6"/>
      <c r="DA13" s="6"/>
      <c r="DC13" s="6"/>
      <c r="DD13" s="6"/>
      <c r="DF13" s="6"/>
      <c r="DG13" s="6"/>
      <c r="DI13" s="6"/>
      <c r="DJ13" s="6"/>
      <c r="DL13" s="6"/>
      <c r="DM13" s="6"/>
      <c r="DO13" s="6"/>
      <c r="DP13" s="6"/>
      <c r="DR13" s="6"/>
      <c r="DS13" s="6"/>
      <c r="DU13" s="6"/>
      <c r="DV13" s="6"/>
      <c r="DX13" s="6"/>
      <c r="DY13" s="6"/>
      <c r="EA13" s="6"/>
      <c r="EB13" s="6"/>
      <c r="ED13" s="6"/>
      <c r="EE13" s="6"/>
      <c r="EG13" s="6"/>
      <c r="EH13" s="6"/>
      <c r="EJ13" s="6"/>
      <c r="EK13" s="6"/>
      <c r="EM13" s="6"/>
      <c r="EN13" s="6"/>
      <c r="EP13" s="6"/>
      <c r="EQ13" s="6"/>
      <c r="ES13" s="6"/>
      <c r="ET13" s="6"/>
      <c r="EV13" s="6"/>
      <c r="EW13" s="6"/>
      <c r="EY13" s="6"/>
      <c r="EZ13" s="6"/>
      <c r="FB13" s="6"/>
      <c r="FC13" s="6"/>
      <c r="FE13" s="6"/>
      <c r="FF13" s="6"/>
      <c r="FH13" s="6"/>
      <c r="FI13" s="6"/>
      <c r="FK13" s="6"/>
      <c r="FL13" s="6"/>
      <c r="FN13" s="6"/>
      <c r="FO13" s="6"/>
      <c r="FQ13" s="6"/>
      <c r="FR13" s="6"/>
      <c r="FT13" s="6"/>
      <c r="FU13" s="6"/>
      <c r="FW13" s="6"/>
      <c r="FX13" s="6"/>
      <c r="FZ13" s="6"/>
      <c r="GA13" s="6"/>
      <c r="GC13" s="6"/>
      <c r="GD13" s="6"/>
      <c r="GF13" s="6"/>
      <c r="GG13" s="6"/>
      <c r="GI13" s="6"/>
      <c r="GJ13" s="6"/>
      <c r="GL13" s="6"/>
      <c r="GM13" s="6"/>
      <c r="GO13" s="6"/>
      <c r="GP13" s="6"/>
      <c r="GR13" s="6"/>
      <c r="GS13" s="6"/>
      <c r="GU13" s="6"/>
      <c r="GV13" s="6"/>
      <c r="GX13" s="6"/>
      <c r="GY13" s="6"/>
      <c r="HA13" s="6"/>
      <c r="HB13" s="6"/>
      <c r="HD13" s="6"/>
      <c r="HE13" s="6"/>
      <c r="HG13" s="6"/>
      <c r="HH13" s="6"/>
      <c r="HJ13" s="6"/>
      <c r="HK13" s="6"/>
      <c r="HM13" s="6"/>
      <c r="HN13" s="6"/>
      <c r="HP13" s="6"/>
      <c r="HQ13" s="6"/>
      <c r="HS13" s="6"/>
      <c r="HT13" s="6"/>
      <c r="HV13" s="6"/>
      <c r="HW13" s="6"/>
      <c r="HY13" s="6"/>
      <c r="HZ13" s="6"/>
      <c r="IB13" s="6"/>
      <c r="IC13" s="6"/>
      <c r="IE13" s="6"/>
      <c r="IF13" s="6"/>
    </row>
    <row r="14" spans="1:240" x14ac:dyDescent="0.2">
      <c r="A14" s="6"/>
      <c r="B14" s="172" t="s">
        <v>74</v>
      </c>
      <c r="C14" s="169"/>
      <c r="D14" s="517"/>
      <c r="E14" s="6"/>
      <c r="G14" s="5"/>
      <c r="H14" s="3"/>
      <c r="J14" s="6"/>
      <c r="K14" s="6"/>
      <c r="M14" s="6"/>
      <c r="N14" s="6"/>
      <c r="P14" s="6"/>
      <c r="Q14" s="6"/>
      <c r="S14" s="6"/>
      <c r="T14" s="6"/>
      <c r="V14" s="6"/>
      <c r="W14" s="6"/>
      <c r="Y14" s="6"/>
      <c r="Z14" s="6"/>
      <c r="AB14" s="6"/>
      <c r="AC14" s="6"/>
      <c r="AE14" s="6"/>
      <c r="AF14" s="6"/>
      <c r="AG14" s="6"/>
      <c r="AI14" s="6"/>
      <c r="AJ14" s="6"/>
      <c r="AL14" s="6"/>
      <c r="AM14" s="6"/>
      <c r="AO14" s="6"/>
      <c r="AP14" s="6"/>
      <c r="AR14" s="6"/>
      <c r="AS14" s="6"/>
      <c r="AU14" s="6"/>
      <c r="AV14" s="6"/>
      <c r="AX14" s="6"/>
      <c r="AY14" s="6"/>
      <c r="BA14" s="6"/>
      <c r="BB14" s="6"/>
      <c r="BD14" s="6"/>
      <c r="BE14" s="6"/>
      <c r="BG14" s="6"/>
      <c r="BH14" s="6"/>
      <c r="BJ14" s="6"/>
      <c r="BK14" s="6"/>
      <c r="BM14" s="6"/>
      <c r="BN14" s="6"/>
      <c r="BP14" s="6"/>
      <c r="BQ14" s="6"/>
      <c r="BS14" s="6"/>
      <c r="BT14" s="6"/>
      <c r="BV14" s="6"/>
      <c r="BW14" s="6"/>
      <c r="BY14" s="6"/>
      <c r="BZ14" s="6"/>
      <c r="CB14" s="6"/>
      <c r="CC14" s="6"/>
      <c r="CE14" s="6"/>
      <c r="CF14" s="6"/>
      <c r="CH14" s="6"/>
      <c r="CI14" s="6"/>
      <c r="CK14" s="6"/>
      <c r="CL14" s="6"/>
      <c r="CN14" s="6"/>
      <c r="CO14" s="6"/>
      <c r="CQ14" s="6"/>
      <c r="CR14" s="6"/>
      <c r="CT14" s="6"/>
      <c r="CU14" s="6"/>
      <c r="CW14" s="6"/>
      <c r="CX14" s="6"/>
      <c r="CZ14" s="6"/>
      <c r="DA14" s="6"/>
      <c r="DC14" s="6"/>
      <c r="DD14" s="6"/>
      <c r="DF14" s="6"/>
      <c r="DG14" s="6"/>
      <c r="DI14" s="6"/>
      <c r="DJ14" s="6"/>
      <c r="DL14" s="6"/>
      <c r="DM14" s="6"/>
      <c r="DO14" s="6"/>
      <c r="DP14" s="6"/>
      <c r="DR14" s="6"/>
      <c r="DS14" s="6"/>
      <c r="DU14" s="6"/>
      <c r="DV14" s="6"/>
      <c r="DX14" s="6"/>
      <c r="DY14" s="6"/>
      <c r="EA14" s="6"/>
      <c r="EB14" s="6"/>
      <c r="ED14" s="6"/>
      <c r="EE14" s="6"/>
      <c r="EG14" s="6"/>
      <c r="EH14" s="6"/>
      <c r="EJ14" s="6"/>
      <c r="EK14" s="6"/>
      <c r="EM14" s="6"/>
      <c r="EN14" s="6"/>
      <c r="EP14" s="6"/>
      <c r="EQ14" s="6"/>
      <c r="ES14" s="6"/>
      <c r="ET14" s="6"/>
      <c r="EV14" s="6"/>
      <c r="EW14" s="6"/>
      <c r="EY14" s="6"/>
      <c r="EZ14" s="6"/>
      <c r="FB14" s="6"/>
      <c r="FC14" s="6"/>
      <c r="FE14" s="6"/>
      <c r="FF14" s="6"/>
      <c r="FH14" s="6"/>
      <c r="FI14" s="6"/>
      <c r="FK14" s="6"/>
      <c r="FL14" s="6"/>
      <c r="FN14" s="6"/>
      <c r="FO14" s="6"/>
      <c r="FQ14" s="6"/>
      <c r="FR14" s="6"/>
      <c r="FT14" s="6"/>
      <c r="FU14" s="6"/>
      <c r="FW14" s="6"/>
      <c r="FX14" s="6"/>
      <c r="FZ14" s="6"/>
      <c r="GA14" s="6"/>
      <c r="GC14" s="6"/>
      <c r="GD14" s="6"/>
      <c r="GF14" s="6"/>
      <c r="GG14" s="6"/>
      <c r="GI14" s="6"/>
      <c r="GJ14" s="6"/>
      <c r="GL14" s="6"/>
      <c r="GM14" s="6"/>
      <c r="GO14" s="6"/>
      <c r="GP14" s="6"/>
      <c r="GR14" s="6"/>
      <c r="GS14" s="6"/>
      <c r="GU14" s="6"/>
      <c r="GV14" s="6"/>
      <c r="GX14" s="6"/>
      <c r="GY14" s="6"/>
      <c r="HA14" s="6"/>
      <c r="HB14" s="6"/>
      <c r="HD14" s="6"/>
      <c r="HE14" s="6"/>
      <c r="HG14" s="6"/>
      <c r="HH14" s="6"/>
      <c r="HJ14" s="6"/>
      <c r="HK14" s="6"/>
      <c r="HM14" s="6"/>
      <c r="HN14" s="6"/>
      <c r="HP14" s="6"/>
      <c r="HQ14" s="6"/>
      <c r="HS14" s="6"/>
      <c r="HT14" s="6"/>
      <c r="HV14" s="6"/>
      <c r="HW14" s="6"/>
      <c r="HY14" s="6"/>
      <c r="HZ14" s="6"/>
      <c r="IB14" s="6"/>
      <c r="IC14" s="6"/>
      <c r="IE14" s="6"/>
      <c r="IF14" s="6"/>
    </row>
    <row r="15" spans="1:240" x14ac:dyDescent="0.2">
      <c r="A15" s="6"/>
      <c r="B15" s="172" t="s">
        <v>555</v>
      </c>
      <c r="C15" s="169"/>
      <c r="D15" s="517"/>
      <c r="E15" s="6"/>
      <c r="G15" s="5"/>
      <c r="H15" s="3"/>
      <c r="J15" s="6"/>
      <c r="K15" s="6"/>
      <c r="M15" s="6"/>
      <c r="N15" s="6"/>
      <c r="P15" s="6"/>
      <c r="Q15" s="6"/>
      <c r="S15" s="6"/>
      <c r="T15" s="6"/>
      <c r="V15" s="6"/>
      <c r="W15" s="6"/>
      <c r="Y15" s="6"/>
      <c r="Z15" s="6"/>
      <c r="AB15" s="6"/>
      <c r="AC15" s="6"/>
      <c r="AE15" s="6"/>
      <c r="AF15" s="6"/>
      <c r="AG15" s="6"/>
      <c r="AI15" s="6"/>
      <c r="AJ15" s="6"/>
      <c r="AL15" s="6"/>
      <c r="AM15" s="6"/>
      <c r="AO15" s="6"/>
      <c r="AP15" s="6"/>
      <c r="AR15" s="6"/>
      <c r="AS15" s="6"/>
      <c r="AU15" s="6"/>
      <c r="AV15" s="6"/>
      <c r="AX15" s="6"/>
      <c r="AY15" s="6"/>
      <c r="BA15" s="6"/>
      <c r="BB15" s="6"/>
      <c r="BD15" s="6"/>
      <c r="BE15" s="6"/>
      <c r="BG15" s="6"/>
      <c r="BH15" s="6"/>
      <c r="BJ15" s="6"/>
      <c r="BK15" s="6"/>
      <c r="BM15" s="6"/>
      <c r="BN15" s="6"/>
      <c r="BP15" s="6"/>
      <c r="BQ15" s="6"/>
      <c r="BS15" s="6"/>
      <c r="BT15" s="6"/>
      <c r="BV15" s="6"/>
      <c r="BW15" s="6"/>
      <c r="BY15" s="6"/>
      <c r="BZ15" s="6"/>
      <c r="CB15" s="6"/>
      <c r="CC15" s="6"/>
      <c r="CE15" s="6"/>
      <c r="CF15" s="6"/>
      <c r="CH15" s="6"/>
      <c r="CI15" s="6"/>
      <c r="CK15" s="6"/>
      <c r="CL15" s="6"/>
      <c r="CN15" s="6"/>
      <c r="CO15" s="6"/>
      <c r="CQ15" s="6"/>
      <c r="CR15" s="6"/>
      <c r="CT15" s="6"/>
      <c r="CU15" s="6"/>
      <c r="CW15" s="6"/>
      <c r="CX15" s="6"/>
      <c r="CZ15" s="6"/>
      <c r="DA15" s="6"/>
      <c r="DC15" s="6"/>
      <c r="DD15" s="6"/>
      <c r="DF15" s="6"/>
      <c r="DG15" s="6"/>
      <c r="DI15" s="6"/>
      <c r="DJ15" s="6"/>
      <c r="DL15" s="6"/>
      <c r="DM15" s="6"/>
      <c r="DO15" s="6"/>
      <c r="DP15" s="6"/>
      <c r="DR15" s="6"/>
      <c r="DS15" s="6"/>
      <c r="DU15" s="6"/>
      <c r="DV15" s="6"/>
      <c r="DX15" s="6"/>
      <c r="DY15" s="6"/>
      <c r="EA15" s="6"/>
      <c r="EB15" s="6"/>
      <c r="ED15" s="6"/>
      <c r="EE15" s="6"/>
      <c r="EG15" s="6"/>
      <c r="EH15" s="6"/>
      <c r="EJ15" s="6"/>
      <c r="EK15" s="6"/>
      <c r="EM15" s="6"/>
      <c r="EN15" s="6"/>
      <c r="EP15" s="6"/>
      <c r="EQ15" s="6"/>
      <c r="ES15" s="6"/>
      <c r="ET15" s="6"/>
      <c r="EV15" s="6"/>
      <c r="EW15" s="6"/>
      <c r="EY15" s="6"/>
      <c r="EZ15" s="6"/>
      <c r="FB15" s="6"/>
      <c r="FC15" s="6"/>
      <c r="FE15" s="6"/>
      <c r="FF15" s="6"/>
      <c r="FH15" s="6"/>
      <c r="FI15" s="6"/>
      <c r="FK15" s="6"/>
      <c r="FL15" s="6"/>
      <c r="FN15" s="6"/>
      <c r="FO15" s="6"/>
      <c r="FQ15" s="6"/>
      <c r="FR15" s="6"/>
      <c r="FT15" s="6"/>
      <c r="FU15" s="6"/>
      <c r="FW15" s="6"/>
      <c r="FX15" s="6"/>
      <c r="FZ15" s="6"/>
      <c r="GA15" s="6"/>
      <c r="GC15" s="6"/>
      <c r="GD15" s="6"/>
      <c r="GF15" s="6"/>
      <c r="GG15" s="6"/>
      <c r="GI15" s="6"/>
      <c r="GJ15" s="6"/>
      <c r="GL15" s="6"/>
      <c r="GM15" s="6"/>
      <c r="GO15" s="6"/>
      <c r="GP15" s="6"/>
      <c r="GR15" s="6"/>
      <c r="GS15" s="6"/>
      <c r="GU15" s="6"/>
      <c r="GV15" s="6"/>
      <c r="GX15" s="6"/>
      <c r="GY15" s="6"/>
      <c r="HA15" s="6"/>
      <c r="HB15" s="6"/>
      <c r="HD15" s="6"/>
      <c r="HE15" s="6"/>
      <c r="HG15" s="6"/>
      <c r="HH15" s="6"/>
      <c r="HJ15" s="6"/>
      <c r="HK15" s="6"/>
      <c r="HM15" s="6"/>
      <c r="HN15" s="6"/>
      <c r="HP15" s="6"/>
      <c r="HQ15" s="6"/>
      <c r="HS15" s="6"/>
      <c r="HT15" s="6"/>
      <c r="HV15" s="6"/>
      <c r="HW15" s="6"/>
      <c r="HY15" s="6"/>
      <c r="HZ15" s="6"/>
      <c r="IB15" s="6"/>
      <c r="IC15" s="6"/>
      <c r="IE15" s="6"/>
      <c r="IF15" s="6"/>
    </row>
    <row r="16" spans="1:240" x14ac:dyDescent="0.2">
      <c r="A16" s="6"/>
      <c r="B16" s="172" t="s">
        <v>554</v>
      </c>
      <c r="C16" s="169"/>
      <c r="D16" s="517"/>
      <c r="E16" s="6"/>
      <c r="G16" s="5"/>
      <c r="H16" s="3"/>
      <c r="J16" s="6"/>
      <c r="K16" s="6"/>
      <c r="M16" s="6"/>
      <c r="N16" s="6"/>
      <c r="P16" s="6"/>
      <c r="Q16" s="6"/>
      <c r="S16" s="6"/>
      <c r="T16" s="6"/>
      <c r="V16" s="6"/>
      <c r="W16" s="6"/>
      <c r="Y16" s="6"/>
      <c r="Z16" s="6"/>
      <c r="AB16" s="6"/>
      <c r="AC16" s="6"/>
      <c r="AE16" s="6"/>
      <c r="AF16" s="6"/>
      <c r="AG16" s="6"/>
      <c r="AI16" s="6"/>
      <c r="AJ16" s="6"/>
      <c r="AL16" s="6"/>
      <c r="AM16" s="6"/>
      <c r="AO16" s="6"/>
      <c r="AP16" s="6"/>
      <c r="AR16" s="6"/>
      <c r="AS16" s="6"/>
      <c r="AU16" s="6"/>
      <c r="AV16" s="6"/>
      <c r="AX16" s="6"/>
      <c r="AY16" s="6"/>
      <c r="BA16" s="6"/>
      <c r="BB16" s="6"/>
      <c r="BD16" s="6"/>
      <c r="BE16" s="6"/>
      <c r="BG16" s="6"/>
      <c r="BH16" s="6"/>
      <c r="BJ16" s="6"/>
      <c r="BK16" s="6"/>
      <c r="BM16" s="6"/>
      <c r="BN16" s="6"/>
      <c r="BP16" s="6"/>
      <c r="BQ16" s="6"/>
      <c r="BS16" s="6"/>
      <c r="BT16" s="6"/>
      <c r="BV16" s="6"/>
      <c r="BW16" s="6"/>
      <c r="BY16" s="6"/>
      <c r="BZ16" s="6"/>
      <c r="CB16" s="6"/>
      <c r="CC16" s="6"/>
      <c r="CE16" s="6"/>
      <c r="CF16" s="6"/>
      <c r="CH16" s="6"/>
      <c r="CI16" s="6"/>
      <c r="CK16" s="6"/>
      <c r="CL16" s="6"/>
      <c r="CN16" s="6"/>
      <c r="CO16" s="6"/>
      <c r="CQ16" s="6"/>
      <c r="CR16" s="6"/>
      <c r="CT16" s="6"/>
      <c r="CU16" s="6"/>
      <c r="CW16" s="6"/>
      <c r="CX16" s="6"/>
      <c r="CZ16" s="6"/>
      <c r="DA16" s="6"/>
      <c r="DC16" s="6"/>
      <c r="DD16" s="6"/>
      <c r="DF16" s="6"/>
      <c r="DG16" s="6"/>
      <c r="DI16" s="6"/>
      <c r="DJ16" s="6"/>
      <c r="DL16" s="6"/>
      <c r="DM16" s="6"/>
      <c r="DO16" s="6"/>
      <c r="DP16" s="6"/>
      <c r="DR16" s="6"/>
      <c r="DS16" s="6"/>
      <c r="DU16" s="6"/>
      <c r="DV16" s="6"/>
      <c r="DX16" s="6"/>
      <c r="DY16" s="6"/>
      <c r="EA16" s="6"/>
      <c r="EB16" s="6"/>
      <c r="ED16" s="6"/>
      <c r="EE16" s="6"/>
      <c r="EG16" s="6"/>
      <c r="EH16" s="6"/>
      <c r="EJ16" s="6"/>
      <c r="EK16" s="6"/>
      <c r="EM16" s="6"/>
      <c r="EN16" s="6"/>
      <c r="EP16" s="6"/>
      <c r="EQ16" s="6"/>
      <c r="ES16" s="6"/>
      <c r="ET16" s="6"/>
      <c r="EV16" s="6"/>
      <c r="EW16" s="6"/>
      <c r="EY16" s="6"/>
      <c r="EZ16" s="6"/>
      <c r="FB16" s="6"/>
      <c r="FC16" s="6"/>
      <c r="FE16" s="6"/>
      <c r="FF16" s="6"/>
      <c r="FH16" s="6"/>
      <c r="FI16" s="6"/>
      <c r="FK16" s="6"/>
      <c r="FL16" s="6"/>
      <c r="FN16" s="6"/>
      <c r="FO16" s="6"/>
      <c r="FQ16" s="6"/>
      <c r="FR16" s="6"/>
      <c r="FT16" s="6"/>
      <c r="FU16" s="6"/>
      <c r="FW16" s="6"/>
      <c r="FX16" s="6"/>
      <c r="FZ16" s="6"/>
      <c r="GA16" s="6"/>
      <c r="GC16" s="6"/>
      <c r="GD16" s="6"/>
      <c r="GF16" s="6"/>
      <c r="GG16" s="6"/>
      <c r="GI16" s="6"/>
      <c r="GJ16" s="6"/>
      <c r="GL16" s="6"/>
      <c r="GM16" s="6"/>
      <c r="GO16" s="6"/>
      <c r="GP16" s="6"/>
      <c r="GR16" s="6"/>
      <c r="GS16" s="6"/>
      <c r="GU16" s="6"/>
      <c r="GV16" s="6"/>
      <c r="GX16" s="6"/>
      <c r="GY16" s="6"/>
      <c r="HA16" s="6"/>
      <c r="HB16" s="6"/>
      <c r="HD16" s="6"/>
      <c r="HE16" s="6"/>
      <c r="HG16" s="6"/>
      <c r="HH16" s="6"/>
      <c r="HJ16" s="6"/>
      <c r="HK16" s="6"/>
      <c r="HM16" s="6"/>
      <c r="HN16" s="6"/>
      <c r="HP16" s="6"/>
      <c r="HQ16" s="6"/>
      <c r="HS16" s="6"/>
      <c r="HT16" s="6"/>
      <c r="HV16" s="6"/>
      <c r="HW16" s="6"/>
      <c r="HY16" s="6"/>
      <c r="HZ16" s="6"/>
      <c r="IB16" s="6"/>
      <c r="IC16" s="6"/>
      <c r="IE16" s="6"/>
      <c r="IF16" s="6"/>
    </row>
    <row r="17" spans="1:240" x14ac:dyDescent="0.2">
      <c r="A17" s="6"/>
      <c r="B17" s="172" t="s">
        <v>257</v>
      </c>
      <c r="C17" s="169"/>
      <c r="D17" s="517"/>
      <c r="E17" s="6"/>
      <c r="G17" s="5"/>
      <c r="H17" s="3"/>
      <c r="J17" s="6"/>
      <c r="K17" s="6"/>
      <c r="M17" s="6"/>
      <c r="N17" s="6"/>
      <c r="P17" s="6"/>
      <c r="Q17" s="6"/>
      <c r="S17" s="6"/>
      <c r="T17" s="6"/>
      <c r="V17" s="6"/>
      <c r="W17" s="6"/>
      <c r="Y17" s="6"/>
      <c r="Z17" s="6"/>
      <c r="AB17" s="6"/>
      <c r="AC17" s="6"/>
      <c r="AE17" s="6"/>
      <c r="AF17" s="6"/>
      <c r="AG17" s="6"/>
      <c r="AI17" s="6"/>
      <c r="AJ17" s="6"/>
      <c r="AL17" s="6"/>
      <c r="AM17" s="6"/>
      <c r="AO17" s="6"/>
      <c r="AP17" s="6"/>
      <c r="AR17" s="6"/>
      <c r="AS17" s="6"/>
      <c r="AU17" s="6"/>
      <c r="AV17" s="6"/>
      <c r="AX17" s="6"/>
      <c r="AY17" s="6"/>
      <c r="BA17" s="6"/>
      <c r="BB17" s="6"/>
      <c r="BD17" s="6"/>
      <c r="BE17" s="6"/>
      <c r="BG17" s="6"/>
      <c r="BH17" s="6"/>
      <c r="BJ17" s="6"/>
      <c r="BK17" s="6"/>
      <c r="BM17" s="6"/>
      <c r="BN17" s="6"/>
      <c r="BP17" s="6"/>
      <c r="BQ17" s="6"/>
      <c r="BS17" s="6"/>
      <c r="BT17" s="6"/>
      <c r="BV17" s="6"/>
      <c r="BW17" s="6"/>
      <c r="BY17" s="6"/>
      <c r="BZ17" s="6"/>
      <c r="CB17" s="6"/>
      <c r="CC17" s="6"/>
      <c r="CE17" s="6"/>
      <c r="CF17" s="6"/>
      <c r="CH17" s="6"/>
      <c r="CI17" s="6"/>
      <c r="CK17" s="6"/>
      <c r="CL17" s="6"/>
      <c r="CN17" s="6"/>
      <c r="CO17" s="6"/>
      <c r="CQ17" s="6"/>
      <c r="CR17" s="6"/>
      <c r="CT17" s="6"/>
      <c r="CU17" s="6"/>
      <c r="CW17" s="6"/>
      <c r="CX17" s="6"/>
      <c r="CZ17" s="6"/>
      <c r="DA17" s="6"/>
      <c r="DC17" s="6"/>
      <c r="DD17" s="6"/>
      <c r="DF17" s="6"/>
      <c r="DG17" s="6"/>
      <c r="DI17" s="6"/>
      <c r="DJ17" s="6"/>
      <c r="DL17" s="6"/>
      <c r="DM17" s="6"/>
      <c r="DO17" s="6"/>
      <c r="DP17" s="6"/>
      <c r="DR17" s="6"/>
      <c r="DS17" s="6"/>
      <c r="DU17" s="6"/>
      <c r="DV17" s="6"/>
      <c r="DX17" s="6"/>
      <c r="DY17" s="6"/>
      <c r="EA17" s="6"/>
      <c r="EB17" s="6"/>
      <c r="ED17" s="6"/>
      <c r="EE17" s="6"/>
      <c r="EG17" s="6"/>
      <c r="EH17" s="6"/>
      <c r="EJ17" s="6"/>
      <c r="EK17" s="6"/>
      <c r="EM17" s="6"/>
      <c r="EN17" s="6"/>
      <c r="EP17" s="6"/>
      <c r="EQ17" s="6"/>
      <c r="ES17" s="6"/>
      <c r="ET17" s="6"/>
      <c r="EV17" s="6"/>
      <c r="EW17" s="6"/>
      <c r="EY17" s="6"/>
      <c r="EZ17" s="6"/>
      <c r="FB17" s="6"/>
      <c r="FC17" s="6"/>
      <c r="FE17" s="6"/>
      <c r="FF17" s="6"/>
      <c r="FH17" s="6"/>
      <c r="FI17" s="6"/>
      <c r="FK17" s="6"/>
      <c r="FL17" s="6"/>
      <c r="FN17" s="6"/>
      <c r="FO17" s="6"/>
      <c r="FQ17" s="6"/>
      <c r="FR17" s="6"/>
      <c r="FT17" s="6"/>
      <c r="FU17" s="6"/>
      <c r="FW17" s="6"/>
      <c r="FX17" s="6"/>
      <c r="FZ17" s="6"/>
      <c r="GA17" s="6"/>
      <c r="GC17" s="6"/>
      <c r="GD17" s="6"/>
      <c r="GF17" s="6"/>
      <c r="GG17" s="6"/>
      <c r="GI17" s="6"/>
      <c r="GJ17" s="6"/>
      <c r="GL17" s="6"/>
      <c r="GM17" s="6"/>
      <c r="GO17" s="6"/>
      <c r="GP17" s="6"/>
      <c r="GR17" s="6"/>
      <c r="GS17" s="6"/>
      <c r="GU17" s="6"/>
      <c r="GV17" s="6"/>
      <c r="GX17" s="6"/>
      <c r="GY17" s="6"/>
      <c r="HA17" s="6"/>
      <c r="HB17" s="6"/>
      <c r="HD17" s="6"/>
      <c r="HE17" s="6"/>
      <c r="HG17" s="6"/>
      <c r="HH17" s="6"/>
      <c r="HJ17" s="6"/>
      <c r="HK17" s="6"/>
      <c r="HM17" s="6"/>
      <c r="HN17" s="6"/>
      <c r="HP17" s="6"/>
      <c r="HQ17" s="6"/>
      <c r="HS17" s="6"/>
      <c r="HT17" s="6"/>
      <c r="HV17" s="6"/>
      <c r="HW17" s="6"/>
      <c r="HY17" s="6"/>
      <c r="HZ17" s="6"/>
      <c r="IB17" s="6"/>
      <c r="IC17" s="6"/>
      <c r="IE17" s="6"/>
      <c r="IF17" s="6"/>
    </row>
    <row r="18" spans="1:240" x14ac:dyDescent="0.2">
      <c r="A18" s="6"/>
      <c r="B18" s="172" t="s">
        <v>557</v>
      </c>
      <c r="C18" s="169"/>
      <c r="D18" s="518"/>
      <c r="E18" s="6"/>
      <c r="G18" s="5"/>
      <c r="H18" s="3"/>
      <c r="J18" s="6"/>
      <c r="K18" s="6"/>
      <c r="M18" s="6"/>
      <c r="N18" s="6"/>
      <c r="P18" s="6"/>
      <c r="Q18" s="6"/>
      <c r="S18" s="6"/>
      <c r="T18" s="6"/>
      <c r="V18" s="6"/>
      <c r="W18" s="6"/>
      <c r="Y18" s="6"/>
      <c r="Z18" s="6"/>
      <c r="AB18" s="6"/>
      <c r="AC18" s="6"/>
      <c r="AE18" s="6"/>
      <c r="AF18" s="6"/>
      <c r="AG18" s="6"/>
      <c r="AI18" s="6"/>
      <c r="AJ18" s="6"/>
      <c r="AL18" s="6"/>
      <c r="AM18" s="6"/>
      <c r="AO18" s="6"/>
      <c r="AP18" s="6"/>
      <c r="AR18" s="6"/>
      <c r="AS18" s="6"/>
      <c r="AU18" s="6"/>
      <c r="AV18" s="6"/>
      <c r="AX18" s="6"/>
      <c r="AY18" s="6"/>
      <c r="BA18" s="6"/>
      <c r="BB18" s="6"/>
      <c r="BD18" s="6"/>
      <c r="BE18" s="6"/>
      <c r="BG18" s="6"/>
      <c r="BH18" s="6"/>
      <c r="BJ18" s="6"/>
      <c r="BK18" s="6"/>
      <c r="BM18" s="6"/>
      <c r="BN18" s="6"/>
      <c r="BP18" s="6"/>
      <c r="BQ18" s="6"/>
      <c r="BS18" s="6"/>
      <c r="BT18" s="6"/>
      <c r="BV18" s="6"/>
      <c r="BW18" s="6"/>
      <c r="BY18" s="6"/>
      <c r="BZ18" s="6"/>
      <c r="CB18" s="6"/>
      <c r="CC18" s="6"/>
      <c r="CE18" s="6"/>
      <c r="CF18" s="6"/>
      <c r="CH18" s="6"/>
      <c r="CI18" s="6"/>
      <c r="CK18" s="6"/>
      <c r="CL18" s="6"/>
      <c r="CN18" s="6"/>
      <c r="CO18" s="6"/>
      <c r="CQ18" s="6"/>
      <c r="CR18" s="6"/>
      <c r="CT18" s="6"/>
      <c r="CU18" s="6"/>
      <c r="CW18" s="6"/>
      <c r="CX18" s="6"/>
      <c r="CZ18" s="6"/>
      <c r="DA18" s="6"/>
      <c r="DC18" s="6"/>
      <c r="DD18" s="6"/>
      <c r="DF18" s="6"/>
      <c r="DG18" s="6"/>
      <c r="DI18" s="6"/>
      <c r="DJ18" s="6"/>
      <c r="DL18" s="6"/>
      <c r="DM18" s="6"/>
      <c r="DO18" s="6"/>
      <c r="DP18" s="6"/>
      <c r="DR18" s="6"/>
      <c r="DS18" s="6"/>
      <c r="DU18" s="6"/>
      <c r="DV18" s="6"/>
      <c r="DX18" s="6"/>
      <c r="DY18" s="6"/>
      <c r="EA18" s="6"/>
      <c r="EB18" s="6"/>
      <c r="ED18" s="6"/>
      <c r="EE18" s="6"/>
      <c r="EG18" s="6"/>
      <c r="EH18" s="6"/>
      <c r="EJ18" s="6"/>
      <c r="EK18" s="6"/>
      <c r="EM18" s="6"/>
      <c r="EN18" s="6"/>
      <c r="EP18" s="6"/>
      <c r="EQ18" s="6"/>
      <c r="ES18" s="6"/>
      <c r="ET18" s="6"/>
      <c r="EV18" s="6"/>
      <c r="EW18" s="6"/>
      <c r="EY18" s="6"/>
      <c r="EZ18" s="6"/>
      <c r="FB18" s="6"/>
      <c r="FC18" s="6"/>
      <c r="FE18" s="6"/>
      <c r="FF18" s="6"/>
      <c r="FH18" s="6"/>
      <c r="FI18" s="6"/>
      <c r="FK18" s="6"/>
      <c r="FL18" s="6"/>
      <c r="FN18" s="6"/>
      <c r="FO18" s="6"/>
      <c r="FQ18" s="6"/>
      <c r="FR18" s="6"/>
      <c r="FT18" s="6"/>
      <c r="FU18" s="6"/>
      <c r="FW18" s="6"/>
      <c r="FX18" s="6"/>
      <c r="FZ18" s="6"/>
      <c r="GA18" s="6"/>
      <c r="GC18" s="6"/>
      <c r="GD18" s="6"/>
      <c r="GF18" s="6"/>
      <c r="GG18" s="6"/>
      <c r="GI18" s="6"/>
      <c r="GJ18" s="6"/>
      <c r="GL18" s="6"/>
      <c r="GM18" s="6"/>
      <c r="GO18" s="6"/>
      <c r="GP18" s="6"/>
      <c r="GR18" s="6"/>
      <c r="GS18" s="6"/>
      <c r="GU18" s="6"/>
      <c r="GV18" s="6"/>
      <c r="GX18" s="6"/>
      <c r="GY18" s="6"/>
      <c r="HA18" s="6"/>
      <c r="HB18" s="6"/>
      <c r="HD18" s="6"/>
      <c r="HE18" s="6"/>
      <c r="HG18" s="6"/>
      <c r="HH18" s="6"/>
      <c r="HJ18" s="6"/>
      <c r="HK18" s="6"/>
      <c r="HM18" s="6"/>
      <c r="HN18" s="6"/>
      <c r="HP18" s="6"/>
      <c r="HQ18" s="6"/>
      <c r="HS18" s="6"/>
      <c r="HT18" s="6"/>
      <c r="HV18" s="6"/>
      <c r="HW18" s="6"/>
      <c r="HY18" s="6"/>
      <c r="HZ18" s="6"/>
      <c r="IB18" s="6"/>
      <c r="IC18" s="6"/>
      <c r="IE18" s="6"/>
      <c r="IF18" s="6"/>
    </row>
    <row r="19" spans="1:240" x14ac:dyDescent="0.2">
      <c r="A19" s="6"/>
      <c r="B19" s="172" t="s">
        <v>1198</v>
      </c>
      <c r="C19" s="169"/>
      <c r="D19" s="517"/>
      <c r="E19" s="6"/>
      <c r="G19" s="5"/>
      <c r="H19" s="3"/>
      <c r="J19" s="6"/>
      <c r="K19" s="6"/>
      <c r="M19" s="6"/>
      <c r="N19" s="6"/>
      <c r="P19" s="6"/>
      <c r="Q19" s="6"/>
      <c r="S19" s="6"/>
      <c r="T19" s="6"/>
      <c r="V19" s="6"/>
      <c r="W19" s="6"/>
      <c r="Y19" s="6"/>
      <c r="Z19" s="6"/>
      <c r="AB19" s="6"/>
      <c r="AC19" s="6"/>
      <c r="AE19" s="6"/>
      <c r="AF19" s="6"/>
      <c r="AG19" s="6"/>
      <c r="AI19" s="6"/>
      <c r="AJ19" s="6"/>
      <c r="AL19" s="6"/>
      <c r="AM19" s="6"/>
      <c r="AO19" s="6"/>
      <c r="AP19" s="6"/>
      <c r="AR19" s="6"/>
      <c r="AS19" s="6"/>
      <c r="AU19" s="6"/>
      <c r="AV19" s="6"/>
      <c r="AX19" s="6"/>
      <c r="AY19" s="6"/>
      <c r="BA19" s="6"/>
      <c r="BB19" s="6"/>
      <c r="BD19" s="6"/>
      <c r="BE19" s="6"/>
      <c r="BG19" s="6"/>
      <c r="BH19" s="6"/>
      <c r="BJ19" s="6"/>
      <c r="BK19" s="6"/>
      <c r="BM19" s="6"/>
      <c r="BN19" s="6"/>
      <c r="BP19" s="6"/>
      <c r="BQ19" s="6"/>
      <c r="BS19" s="6"/>
      <c r="BT19" s="6"/>
      <c r="BV19" s="6"/>
      <c r="BW19" s="6"/>
      <c r="BY19" s="6"/>
      <c r="BZ19" s="6"/>
      <c r="CB19" s="6"/>
      <c r="CC19" s="6"/>
      <c r="CE19" s="6"/>
      <c r="CF19" s="6"/>
      <c r="CH19" s="6"/>
      <c r="CI19" s="6"/>
      <c r="CK19" s="6"/>
      <c r="CL19" s="6"/>
      <c r="CN19" s="6"/>
      <c r="CO19" s="6"/>
      <c r="CQ19" s="6"/>
      <c r="CR19" s="6"/>
      <c r="CT19" s="6"/>
      <c r="CU19" s="6"/>
      <c r="CW19" s="6"/>
      <c r="CX19" s="6"/>
      <c r="CZ19" s="6"/>
      <c r="DA19" s="6"/>
      <c r="DC19" s="6"/>
      <c r="DD19" s="6"/>
      <c r="DF19" s="6"/>
      <c r="DG19" s="6"/>
      <c r="DI19" s="6"/>
      <c r="DJ19" s="6"/>
      <c r="DL19" s="6"/>
      <c r="DM19" s="6"/>
      <c r="DO19" s="6"/>
      <c r="DP19" s="6"/>
      <c r="DR19" s="6"/>
      <c r="DS19" s="6"/>
      <c r="DU19" s="6"/>
      <c r="DV19" s="6"/>
      <c r="DX19" s="6"/>
      <c r="DY19" s="6"/>
      <c r="EA19" s="6"/>
      <c r="EB19" s="6"/>
      <c r="ED19" s="6"/>
      <c r="EE19" s="6"/>
      <c r="EG19" s="6"/>
      <c r="EH19" s="6"/>
      <c r="EJ19" s="6"/>
      <c r="EK19" s="6"/>
      <c r="EM19" s="6"/>
      <c r="EN19" s="6"/>
      <c r="EP19" s="6"/>
      <c r="EQ19" s="6"/>
      <c r="ES19" s="6"/>
      <c r="ET19" s="6"/>
      <c r="EV19" s="6"/>
      <c r="EW19" s="6"/>
      <c r="EY19" s="6"/>
      <c r="EZ19" s="6"/>
      <c r="FB19" s="6"/>
      <c r="FC19" s="6"/>
      <c r="FE19" s="6"/>
      <c r="FF19" s="6"/>
      <c r="FH19" s="6"/>
      <c r="FI19" s="6"/>
      <c r="FK19" s="6"/>
      <c r="FL19" s="6"/>
      <c r="FN19" s="6"/>
      <c r="FO19" s="6"/>
      <c r="FQ19" s="6"/>
      <c r="FR19" s="6"/>
      <c r="FT19" s="6"/>
      <c r="FU19" s="6"/>
      <c r="FW19" s="6"/>
      <c r="FX19" s="6"/>
      <c r="FZ19" s="6"/>
      <c r="GA19" s="6"/>
      <c r="GC19" s="6"/>
      <c r="GD19" s="6"/>
      <c r="GF19" s="6"/>
      <c r="GG19" s="6"/>
      <c r="GI19" s="6"/>
      <c r="GJ19" s="6"/>
      <c r="GL19" s="6"/>
      <c r="GM19" s="6"/>
      <c r="GO19" s="6"/>
      <c r="GP19" s="6"/>
      <c r="GR19" s="6"/>
      <c r="GS19" s="6"/>
      <c r="GU19" s="6"/>
      <c r="GV19" s="6"/>
      <c r="GX19" s="6"/>
      <c r="GY19" s="6"/>
      <c r="HA19" s="6"/>
      <c r="HB19" s="6"/>
      <c r="HD19" s="6"/>
      <c r="HE19" s="6"/>
      <c r="HG19" s="6"/>
      <c r="HH19" s="6"/>
      <c r="HJ19" s="6"/>
      <c r="HK19" s="6"/>
      <c r="HM19" s="6"/>
      <c r="HN19" s="6"/>
      <c r="HP19" s="6"/>
      <c r="HQ19" s="6"/>
      <c r="HS19" s="6"/>
      <c r="HT19" s="6"/>
      <c r="HV19" s="6"/>
      <c r="HW19" s="6"/>
      <c r="HY19" s="6"/>
      <c r="HZ19" s="6"/>
      <c r="IB19" s="6"/>
      <c r="IC19" s="6"/>
      <c r="IE19" s="6"/>
      <c r="IF19" s="6"/>
    </row>
    <row r="20" spans="1:240" x14ac:dyDescent="0.2">
      <c r="A20" s="6"/>
      <c r="B20" s="172" t="s">
        <v>558</v>
      </c>
      <c r="C20" s="169"/>
      <c r="D20" s="517"/>
      <c r="E20" s="6"/>
      <c r="G20" s="5"/>
      <c r="H20" s="3"/>
      <c r="J20" s="6"/>
      <c r="K20" s="6"/>
      <c r="M20" s="6"/>
      <c r="N20" s="6"/>
      <c r="P20" s="6"/>
      <c r="Q20" s="6"/>
      <c r="S20" s="6"/>
      <c r="T20" s="6"/>
      <c r="V20" s="6"/>
      <c r="W20" s="6"/>
      <c r="Y20" s="6"/>
      <c r="Z20" s="6"/>
      <c r="AB20" s="6"/>
      <c r="AC20" s="6"/>
      <c r="AE20" s="6"/>
      <c r="AF20" s="6"/>
      <c r="AG20" s="6"/>
      <c r="AI20" s="6"/>
      <c r="AJ20" s="6"/>
      <c r="AL20" s="6"/>
      <c r="AM20" s="6"/>
      <c r="AO20" s="6"/>
      <c r="AP20" s="6"/>
      <c r="AR20" s="6"/>
      <c r="AS20" s="6"/>
      <c r="AU20" s="6"/>
      <c r="AV20" s="6"/>
      <c r="AX20" s="6"/>
      <c r="AY20" s="6"/>
      <c r="BA20" s="6"/>
      <c r="BB20" s="6"/>
      <c r="BD20" s="6"/>
      <c r="BE20" s="6"/>
      <c r="BG20" s="6"/>
      <c r="BH20" s="6"/>
      <c r="BJ20" s="6"/>
      <c r="BK20" s="6"/>
      <c r="BM20" s="6"/>
      <c r="BN20" s="6"/>
      <c r="BP20" s="6"/>
      <c r="BQ20" s="6"/>
      <c r="BS20" s="6"/>
      <c r="BT20" s="6"/>
      <c r="BV20" s="6"/>
      <c r="BW20" s="6"/>
      <c r="BY20" s="6"/>
      <c r="BZ20" s="6"/>
      <c r="CB20" s="6"/>
      <c r="CC20" s="6"/>
      <c r="CE20" s="6"/>
      <c r="CF20" s="6"/>
      <c r="CH20" s="6"/>
      <c r="CI20" s="6"/>
      <c r="CK20" s="6"/>
      <c r="CL20" s="6"/>
      <c r="CN20" s="6"/>
      <c r="CO20" s="6"/>
      <c r="CQ20" s="6"/>
      <c r="CR20" s="6"/>
      <c r="CT20" s="6"/>
      <c r="CU20" s="6"/>
      <c r="CW20" s="6"/>
      <c r="CX20" s="6"/>
      <c r="CZ20" s="6"/>
      <c r="DA20" s="6"/>
      <c r="DC20" s="6"/>
      <c r="DD20" s="6"/>
      <c r="DF20" s="6"/>
      <c r="DG20" s="6"/>
      <c r="DI20" s="6"/>
      <c r="DJ20" s="6"/>
      <c r="DL20" s="6"/>
      <c r="DM20" s="6"/>
      <c r="DO20" s="6"/>
      <c r="DP20" s="6"/>
      <c r="DR20" s="6"/>
      <c r="DS20" s="6"/>
      <c r="DU20" s="6"/>
      <c r="DV20" s="6"/>
      <c r="DX20" s="6"/>
      <c r="DY20" s="6"/>
      <c r="EA20" s="6"/>
      <c r="EB20" s="6"/>
      <c r="ED20" s="6"/>
      <c r="EE20" s="6"/>
      <c r="EG20" s="6"/>
      <c r="EH20" s="6"/>
      <c r="EJ20" s="6"/>
      <c r="EK20" s="6"/>
      <c r="EM20" s="6"/>
      <c r="EN20" s="6"/>
      <c r="EP20" s="6"/>
      <c r="EQ20" s="6"/>
      <c r="ES20" s="6"/>
      <c r="ET20" s="6"/>
      <c r="EV20" s="6"/>
      <c r="EW20" s="6"/>
      <c r="EY20" s="6"/>
      <c r="EZ20" s="6"/>
      <c r="FB20" s="6"/>
      <c r="FC20" s="6"/>
      <c r="FE20" s="6"/>
      <c r="FF20" s="6"/>
      <c r="FH20" s="6"/>
      <c r="FI20" s="6"/>
      <c r="FK20" s="6"/>
      <c r="FL20" s="6"/>
      <c r="FN20" s="6"/>
      <c r="FO20" s="6"/>
      <c r="FQ20" s="6"/>
      <c r="FR20" s="6"/>
      <c r="FT20" s="6"/>
      <c r="FU20" s="6"/>
      <c r="FW20" s="6"/>
      <c r="FX20" s="6"/>
      <c r="FZ20" s="6"/>
      <c r="GA20" s="6"/>
      <c r="GC20" s="6"/>
      <c r="GD20" s="6"/>
      <c r="GF20" s="6"/>
      <c r="GG20" s="6"/>
      <c r="GI20" s="6"/>
      <c r="GJ20" s="6"/>
      <c r="GL20" s="6"/>
      <c r="GM20" s="6"/>
      <c r="GO20" s="6"/>
      <c r="GP20" s="6"/>
      <c r="GR20" s="6"/>
      <c r="GS20" s="6"/>
      <c r="GU20" s="6"/>
      <c r="GV20" s="6"/>
      <c r="GX20" s="6"/>
      <c r="GY20" s="6"/>
      <c r="HA20" s="6"/>
      <c r="HB20" s="6"/>
      <c r="HD20" s="6"/>
      <c r="HE20" s="6"/>
      <c r="HG20" s="6"/>
      <c r="HH20" s="6"/>
      <c r="HJ20" s="6"/>
      <c r="HK20" s="6"/>
      <c r="HM20" s="6"/>
      <c r="HN20" s="6"/>
      <c r="HP20" s="6"/>
      <c r="HQ20" s="6"/>
      <c r="HS20" s="6"/>
      <c r="HT20" s="6"/>
      <c r="HV20" s="6"/>
      <c r="HW20" s="6"/>
      <c r="HY20" s="6"/>
      <c r="HZ20" s="6"/>
      <c r="IB20" s="6"/>
      <c r="IC20" s="6"/>
      <c r="IE20" s="6"/>
      <c r="IF20" s="6"/>
    </row>
    <row r="21" spans="1:240" x14ac:dyDescent="0.2">
      <c r="A21" s="6"/>
      <c r="B21" s="172" t="s">
        <v>559</v>
      </c>
      <c r="C21" s="11"/>
      <c r="D21" s="517"/>
      <c r="E21" s="6"/>
      <c r="G21" s="5"/>
      <c r="H21" s="3"/>
      <c r="J21" s="6"/>
      <c r="K21" s="6"/>
      <c r="M21" s="6"/>
      <c r="N21" s="6"/>
      <c r="P21" s="6"/>
      <c r="Q21" s="6"/>
      <c r="S21" s="6"/>
      <c r="T21" s="6"/>
      <c r="V21" s="6"/>
      <c r="W21" s="6"/>
      <c r="Y21" s="6"/>
      <c r="Z21" s="6"/>
      <c r="AB21" s="6"/>
      <c r="AC21" s="6"/>
      <c r="AE21" s="6"/>
      <c r="AF21" s="6"/>
      <c r="AG21" s="6"/>
      <c r="AI21" s="6"/>
      <c r="AJ21" s="6"/>
      <c r="AL21" s="6"/>
      <c r="AM21" s="6"/>
      <c r="AO21" s="6"/>
      <c r="AP21" s="6"/>
      <c r="AR21" s="6"/>
      <c r="AS21" s="6"/>
      <c r="AU21" s="6"/>
      <c r="AV21" s="6"/>
      <c r="AX21" s="6"/>
      <c r="AY21" s="6"/>
      <c r="BA21" s="6"/>
      <c r="BB21" s="6"/>
      <c r="BD21" s="6"/>
      <c r="BE21" s="6"/>
      <c r="BG21" s="6"/>
      <c r="BH21" s="6"/>
      <c r="BJ21" s="6"/>
      <c r="BK21" s="6"/>
      <c r="BM21" s="6"/>
      <c r="BN21" s="6"/>
      <c r="BP21" s="6"/>
      <c r="BQ21" s="6"/>
      <c r="BS21" s="6"/>
      <c r="BT21" s="6"/>
      <c r="BV21" s="6"/>
      <c r="BW21" s="6"/>
      <c r="BY21" s="6"/>
      <c r="BZ21" s="6"/>
      <c r="CB21" s="6"/>
      <c r="CC21" s="6"/>
      <c r="CE21" s="6"/>
      <c r="CF21" s="6"/>
      <c r="CH21" s="6"/>
      <c r="CI21" s="6"/>
      <c r="CK21" s="6"/>
      <c r="CL21" s="6"/>
      <c r="CN21" s="6"/>
      <c r="CO21" s="6"/>
      <c r="CQ21" s="6"/>
      <c r="CR21" s="6"/>
      <c r="CT21" s="6"/>
      <c r="CU21" s="6"/>
      <c r="CW21" s="6"/>
      <c r="CX21" s="6"/>
      <c r="CZ21" s="6"/>
      <c r="DA21" s="6"/>
      <c r="DC21" s="6"/>
      <c r="DD21" s="6"/>
      <c r="DF21" s="6"/>
      <c r="DG21" s="6"/>
      <c r="DI21" s="6"/>
      <c r="DJ21" s="6"/>
      <c r="DL21" s="6"/>
      <c r="DM21" s="6"/>
      <c r="DO21" s="6"/>
      <c r="DP21" s="6"/>
      <c r="DR21" s="6"/>
      <c r="DS21" s="6"/>
      <c r="DU21" s="6"/>
      <c r="DV21" s="6"/>
      <c r="DX21" s="6"/>
      <c r="DY21" s="6"/>
      <c r="EA21" s="6"/>
      <c r="EB21" s="6"/>
      <c r="ED21" s="6"/>
      <c r="EE21" s="6"/>
      <c r="EG21" s="6"/>
      <c r="EH21" s="6"/>
      <c r="EJ21" s="6"/>
      <c r="EK21" s="6"/>
      <c r="EM21" s="6"/>
      <c r="EN21" s="6"/>
      <c r="EP21" s="6"/>
      <c r="EQ21" s="6"/>
      <c r="ES21" s="6"/>
      <c r="ET21" s="6"/>
      <c r="EV21" s="6"/>
      <c r="EW21" s="6"/>
      <c r="EY21" s="6"/>
      <c r="EZ21" s="6"/>
      <c r="FB21" s="6"/>
      <c r="FC21" s="6"/>
      <c r="FE21" s="6"/>
      <c r="FF21" s="6"/>
      <c r="FH21" s="6"/>
      <c r="FI21" s="6"/>
      <c r="FK21" s="6"/>
      <c r="FL21" s="6"/>
      <c r="FN21" s="6"/>
      <c r="FO21" s="6"/>
      <c r="FQ21" s="6"/>
      <c r="FR21" s="6"/>
      <c r="FT21" s="6"/>
      <c r="FU21" s="6"/>
      <c r="FW21" s="6"/>
      <c r="FX21" s="6"/>
      <c r="FZ21" s="6"/>
      <c r="GA21" s="6"/>
      <c r="GC21" s="6"/>
      <c r="GD21" s="6"/>
      <c r="GF21" s="6"/>
      <c r="GG21" s="6"/>
      <c r="GI21" s="6"/>
      <c r="GJ21" s="6"/>
      <c r="GL21" s="6"/>
      <c r="GM21" s="6"/>
      <c r="GO21" s="6"/>
      <c r="GP21" s="6"/>
      <c r="GR21" s="6"/>
      <c r="GS21" s="6"/>
      <c r="GU21" s="6"/>
      <c r="GV21" s="6"/>
      <c r="GX21" s="6"/>
      <c r="GY21" s="6"/>
      <c r="HA21" s="6"/>
      <c r="HB21" s="6"/>
      <c r="HD21" s="6"/>
      <c r="HE21" s="6"/>
      <c r="HG21" s="6"/>
      <c r="HH21" s="6"/>
      <c r="HJ21" s="6"/>
      <c r="HK21" s="6"/>
      <c r="HM21" s="6"/>
      <c r="HN21" s="6"/>
      <c r="HP21" s="6"/>
      <c r="HQ21" s="6"/>
      <c r="HS21" s="6"/>
      <c r="HT21" s="6"/>
      <c r="HV21" s="6"/>
      <c r="HW21" s="6"/>
      <c r="HY21" s="6"/>
      <c r="HZ21" s="6"/>
      <c r="IB21" s="6"/>
      <c r="IC21" s="6"/>
      <c r="IE21" s="6"/>
      <c r="IF21" s="6"/>
    </row>
    <row r="22" spans="1:240" x14ac:dyDescent="0.2">
      <c r="A22" s="6"/>
      <c r="B22" s="172" t="s">
        <v>215</v>
      </c>
      <c r="C22" s="169"/>
      <c r="D22" s="517"/>
      <c r="E22" s="6"/>
      <c r="G22" s="5"/>
      <c r="H22" s="3"/>
      <c r="J22" s="6"/>
      <c r="K22" s="6"/>
      <c r="M22" s="6"/>
      <c r="N22" s="6"/>
      <c r="P22" s="6"/>
      <c r="Q22" s="6"/>
      <c r="S22" s="6"/>
      <c r="T22" s="6"/>
      <c r="V22" s="6"/>
      <c r="W22" s="6"/>
      <c r="Y22" s="6"/>
      <c r="Z22" s="6"/>
      <c r="AB22" s="6"/>
      <c r="AC22" s="6"/>
      <c r="AE22" s="6"/>
      <c r="AF22" s="6"/>
      <c r="AG22" s="6"/>
      <c r="AI22" s="6"/>
      <c r="AJ22" s="6"/>
      <c r="AL22" s="6"/>
      <c r="AM22" s="6"/>
      <c r="AO22" s="6"/>
      <c r="AP22" s="6"/>
      <c r="AR22" s="6"/>
      <c r="AS22" s="6"/>
      <c r="AU22" s="6"/>
      <c r="AV22" s="6"/>
      <c r="AX22" s="6"/>
      <c r="AY22" s="6"/>
      <c r="BA22" s="6"/>
      <c r="BB22" s="6"/>
      <c r="BD22" s="6"/>
      <c r="BE22" s="6"/>
      <c r="BG22" s="6"/>
      <c r="BH22" s="6"/>
      <c r="BJ22" s="6"/>
      <c r="BK22" s="6"/>
      <c r="BM22" s="6"/>
      <c r="BN22" s="6"/>
      <c r="BP22" s="6"/>
      <c r="BQ22" s="6"/>
      <c r="BS22" s="6"/>
      <c r="BT22" s="6"/>
      <c r="BV22" s="6"/>
      <c r="BW22" s="6"/>
      <c r="BY22" s="6"/>
      <c r="BZ22" s="6"/>
      <c r="CB22" s="6"/>
      <c r="CC22" s="6"/>
      <c r="CE22" s="6"/>
      <c r="CF22" s="6"/>
      <c r="CH22" s="6"/>
      <c r="CI22" s="6"/>
      <c r="CK22" s="6"/>
      <c r="CL22" s="6"/>
      <c r="CN22" s="6"/>
      <c r="CO22" s="6"/>
      <c r="CQ22" s="6"/>
      <c r="CR22" s="6"/>
      <c r="CT22" s="6"/>
      <c r="CU22" s="6"/>
      <c r="CW22" s="6"/>
      <c r="CX22" s="6"/>
      <c r="CZ22" s="6"/>
      <c r="DA22" s="6"/>
      <c r="DC22" s="6"/>
      <c r="DD22" s="6"/>
      <c r="DF22" s="6"/>
      <c r="DG22" s="6"/>
      <c r="DI22" s="6"/>
      <c r="DJ22" s="6"/>
      <c r="DL22" s="6"/>
      <c r="DM22" s="6"/>
      <c r="DO22" s="6"/>
      <c r="DP22" s="6"/>
      <c r="DR22" s="6"/>
      <c r="DS22" s="6"/>
      <c r="DU22" s="6"/>
      <c r="DV22" s="6"/>
      <c r="DX22" s="6"/>
      <c r="DY22" s="6"/>
      <c r="EA22" s="6"/>
      <c r="EB22" s="6"/>
      <c r="ED22" s="6"/>
      <c r="EE22" s="6"/>
      <c r="EG22" s="6"/>
      <c r="EH22" s="6"/>
      <c r="EJ22" s="6"/>
      <c r="EK22" s="6"/>
      <c r="EM22" s="6"/>
      <c r="EN22" s="6"/>
      <c r="EP22" s="6"/>
      <c r="EQ22" s="6"/>
      <c r="ES22" s="6"/>
      <c r="ET22" s="6"/>
      <c r="EV22" s="6"/>
      <c r="EW22" s="6"/>
      <c r="EY22" s="6"/>
      <c r="EZ22" s="6"/>
      <c r="FB22" s="6"/>
      <c r="FC22" s="6"/>
      <c r="FE22" s="6"/>
      <c r="FF22" s="6"/>
      <c r="FH22" s="6"/>
      <c r="FI22" s="6"/>
      <c r="FK22" s="6"/>
      <c r="FL22" s="6"/>
      <c r="FN22" s="6"/>
      <c r="FO22" s="6"/>
      <c r="FQ22" s="6"/>
      <c r="FR22" s="6"/>
      <c r="FT22" s="6"/>
      <c r="FU22" s="6"/>
      <c r="FW22" s="6"/>
      <c r="FX22" s="6"/>
      <c r="FZ22" s="6"/>
      <c r="GA22" s="6"/>
      <c r="GC22" s="6"/>
      <c r="GD22" s="6"/>
      <c r="GF22" s="6"/>
      <c r="GG22" s="6"/>
      <c r="GI22" s="6"/>
      <c r="GJ22" s="6"/>
      <c r="GL22" s="6"/>
      <c r="GM22" s="6"/>
      <c r="GO22" s="6"/>
      <c r="GP22" s="6"/>
      <c r="GR22" s="6"/>
      <c r="GS22" s="6"/>
      <c r="GU22" s="6"/>
      <c r="GV22" s="6"/>
      <c r="GX22" s="6"/>
      <c r="GY22" s="6"/>
      <c r="HA22" s="6"/>
      <c r="HB22" s="6"/>
      <c r="HD22" s="6"/>
      <c r="HE22" s="6"/>
      <c r="HG22" s="6"/>
      <c r="HH22" s="6"/>
      <c r="HJ22" s="6"/>
      <c r="HK22" s="6"/>
      <c r="HM22" s="6"/>
      <c r="HN22" s="6"/>
      <c r="HP22" s="6"/>
      <c r="HQ22" s="6"/>
      <c r="HS22" s="6"/>
      <c r="HT22" s="6"/>
      <c r="HV22" s="6"/>
      <c r="HW22" s="6"/>
      <c r="HY22" s="6"/>
      <c r="HZ22" s="6"/>
      <c r="IB22" s="6"/>
      <c r="IC22" s="6"/>
      <c r="IE22" s="6"/>
      <c r="IF22" s="6"/>
    </row>
    <row r="23" spans="1:240" x14ac:dyDescent="0.2">
      <c r="A23" s="6"/>
      <c r="B23" s="172" t="s">
        <v>560</v>
      </c>
      <c r="C23" s="169"/>
      <c r="D23" s="517"/>
      <c r="E23" s="6"/>
      <c r="G23" s="5"/>
      <c r="H23" s="3"/>
      <c r="J23" s="6"/>
      <c r="K23" s="6"/>
      <c r="M23" s="6"/>
      <c r="N23" s="6"/>
      <c r="P23" s="6"/>
      <c r="Q23" s="6"/>
      <c r="S23" s="6"/>
      <c r="T23" s="6"/>
      <c r="V23" s="6"/>
      <c r="W23" s="6"/>
      <c r="Y23" s="6"/>
      <c r="Z23" s="6"/>
      <c r="AB23" s="6"/>
      <c r="AC23" s="6"/>
      <c r="AE23" s="6"/>
      <c r="AF23" s="6"/>
      <c r="AG23" s="6"/>
      <c r="AI23" s="6"/>
      <c r="AJ23" s="6"/>
      <c r="AL23" s="6"/>
      <c r="AM23" s="6"/>
      <c r="AO23" s="6"/>
      <c r="AP23" s="6"/>
      <c r="AR23" s="6"/>
      <c r="AS23" s="6"/>
      <c r="AU23" s="6"/>
      <c r="AV23" s="6"/>
      <c r="AX23" s="6"/>
      <c r="AY23" s="6"/>
      <c r="BA23" s="6"/>
      <c r="BB23" s="6"/>
      <c r="BD23" s="6"/>
      <c r="BE23" s="6"/>
      <c r="BG23" s="6"/>
      <c r="BH23" s="6"/>
      <c r="BJ23" s="6"/>
      <c r="BK23" s="6"/>
      <c r="BM23" s="6"/>
      <c r="BN23" s="6"/>
      <c r="BP23" s="6"/>
      <c r="BQ23" s="6"/>
      <c r="BS23" s="6"/>
      <c r="BT23" s="6"/>
      <c r="BV23" s="6"/>
      <c r="BW23" s="6"/>
      <c r="BY23" s="6"/>
      <c r="BZ23" s="6"/>
      <c r="CB23" s="6"/>
      <c r="CC23" s="6"/>
      <c r="CE23" s="6"/>
      <c r="CF23" s="6"/>
      <c r="CH23" s="6"/>
      <c r="CI23" s="6"/>
      <c r="CK23" s="6"/>
      <c r="CL23" s="6"/>
      <c r="CN23" s="6"/>
      <c r="CO23" s="6"/>
      <c r="CQ23" s="6"/>
      <c r="CR23" s="6"/>
      <c r="CT23" s="6"/>
      <c r="CU23" s="6"/>
      <c r="CW23" s="6"/>
      <c r="CX23" s="6"/>
      <c r="CZ23" s="6"/>
      <c r="DA23" s="6"/>
      <c r="DC23" s="6"/>
      <c r="DD23" s="6"/>
      <c r="DF23" s="6"/>
      <c r="DG23" s="6"/>
      <c r="DI23" s="6"/>
      <c r="DJ23" s="6"/>
      <c r="DL23" s="6"/>
      <c r="DM23" s="6"/>
      <c r="DO23" s="6"/>
      <c r="DP23" s="6"/>
      <c r="DR23" s="6"/>
      <c r="DS23" s="6"/>
      <c r="DU23" s="6"/>
      <c r="DV23" s="6"/>
      <c r="DX23" s="6"/>
      <c r="DY23" s="6"/>
      <c r="EA23" s="6"/>
      <c r="EB23" s="6"/>
      <c r="ED23" s="6"/>
      <c r="EE23" s="6"/>
      <c r="EG23" s="6"/>
      <c r="EH23" s="6"/>
      <c r="EJ23" s="6"/>
      <c r="EK23" s="6"/>
      <c r="EM23" s="6"/>
      <c r="EN23" s="6"/>
      <c r="EP23" s="6"/>
      <c r="EQ23" s="6"/>
      <c r="ES23" s="6"/>
      <c r="ET23" s="6"/>
      <c r="EV23" s="6"/>
      <c r="EW23" s="6"/>
      <c r="EY23" s="6"/>
      <c r="EZ23" s="6"/>
      <c r="FB23" s="6"/>
      <c r="FC23" s="6"/>
      <c r="FE23" s="6"/>
      <c r="FF23" s="6"/>
      <c r="FH23" s="6"/>
      <c r="FI23" s="6"/>
      <c r="FK23" s="6"/>
      <c r="FL23" s="6"/>
      <c r="FN23" s="6"/>
      <c r="FO23" s="6"/>
      <c r="FQ23" s="6"/>
      <c r="FR23" s="6"/>
      <c r="FT23" s="6"/>
      <c r="FU23" s="6"/>
      <c r="FW23" s="6"/>
      <c r="FX23" s="6"/>
      <c r="FZ23" s="6"/>
      <c r="GA23" s="6"/>
      <c r="GC23" s="6"/>
      <c r="GD23" s="6"/>
      <c r="GF23" s="6"/>
      <c r="GG23" s="6"/>
      <c r="GI23" s="6"/>
      <c r="GJ23" s="6"/>
      <c r="GL23" s="6"/>
      <c r="GM23" s="6"/>
      <c r="GO23" s="6"/>
      <c r="GP23" s="6"/>
      <c r="GR23" s="6"/>
      <c r="GS23" s="6"/>
      <c r="GU23" s="6"/>
      <c r="GV23" s="6"/>
      <c r="GX23" s="6"/>
      <c r="GY23" s="6"/>
      <c r="HA23" s="6"/>
      <c r="HB23" s="6"/>
      <c r="HD23" s="6"/>
      <c r="HE23" s="6"/>
      <c r="HG23" s="6"/>
      <c r="HH23" s="6"/>
      <c r="HJ23" s="6"/>
      <c r="HK23" s="6"/>
      <c r="HM23" s="6"/>
      <c r="HN23" s="6"/>
      <c r="HP23" s="6"/>
      <c r="HQ23" s="6"/>
      <c r="HS23" s="6"/>
      <c r="HT23" s="6"/>
      <c r="HV23" s="6"/>
      <c r="HW23" s="6"/>
      <c r="HY23" s="6"/>
      <c r="HZ23" s="6"/>
      <c r="IB23" s="6"/>
      <c r="IC23" s="6"/>
      <c r="IE23" s="6"/>
      <c r="IF23" s="6"/>
    </row>
    <row r="24" spans="1:240" x14ac:dyDescent="0.2">
      <c r="A24" s="6"/>
      <c r="B24" s="172" t="s">
        <v>611</v>
      </c>
      <c r="C24" s="169"/>
      <c r="D24" s="517"/>
      <c r="E24" s="6"/>
      <c r="G24" s="5"/>
      <c r="H24" s="3"/>
      <c r="J24" s="6"/>
      <c r="K24" s="6"/>
      <c r="M24" s="6"/>
      <c r="N24" s="6"/>
      <c r="P24" s="6"/>
      <c r="Q24" s="6"/>
      <c r="S24" s="6"/>
      <c r="T24" s="6"/>
      <c r="V24" s="6"/>
      <c r="W24" s="6"/>
      <c r="Y24" s="6"/>
      <c r="Z24" s="6"/>
      <c r="AB24" s="6"/>
      <c r="AC24" s="6"/>
      <c r="AE24" s="6"/>
      <c r="AF24" s="6"/>
      <c r="AG24" s="6"/>
      <c r="AI24" s="6"/>
      <c r="AJ24" s="6"/>
      <c r="AL24" s="6"/>
      <c r="AM24" s="6"/>
      <c r="AO24" s="6"/>
      <c r="AP24" s="6"/>
      <c r="AR24" s="6"/>
      <c r="AS24" s="6"/>
      <c r="AU24" s="6"/>
      <c r="AV24" s="6"/>
      <c r="AX24" s="6"/>
      <c r="AY24" s="6"/>
      <c r="BA24" s="6"/>
      <c r="BB24" s="6"/>
      <c r="BD24" s="6"/>
      <c r="BE24" s="6"/>
      <c r="BG24" s="6"/>
      <c r="BH24" s="6"/>
      <c r="BJ24" s="6"/>
      <c r="BK24" s="6"/>
      <c r="BM24" s="6"/>
      <c r="BN24" s="6"/>
      <c r="BP24" s="6"/>
      <c r="BQ24" s="6"/>
      <c r="BS24" s="6"/>
      <c r="BT24" s="6"/>
      <c r="BV24" s="6"/>
      <c r="BW24" s="6"/>
      <c r="BY24" s="6"/>
      <c r="BZ24" s="6"/>
      <c r="CB24" s="6"/>
      <c r="CC24" s="6"/>
      <c r="CE24" s="6"/>
      <c r="CF24" s="6"/>
      <c r="CH24" s="6"/>
      <c r="CI24" s="6"/>
      <c r="CK24" s="6"/>
      <c r="CL24" s="6"/>
      <c r="CN24" s="6"/>
      <c r="CO24" s="6"/>
      <c r="CQ24" s="6"/>
      <c r="CR24" s="6"/>
      <c r="CT24" s="6"/>
      <c r="CU24" s="6"/>
      <c r="CW24" s="6"/>
      <c r="CX24" s="6"/>
      <c r="CZ24" s="6"/>
      <c r="DA24" s="6"/>
      <c r="DC24" s="6"/>
      <c r="DD24" s="6"/>
      <c r="DF24" s="6"/>
      <c r="DG24" s="6"/>
      <c r="DI24" s="6"/>
      <c r="DJ24" s="6"/>
      <c r="DL24" s="6"/>
      <c r="DM24" s="6"/>
      <c r="DO24" s="6"/>
      <c r="DP24" s="6"/>
      <c r="DR24" s="6"/>
      <c r="DS24" s="6"/>
      <c r="DU24" s="6"/>
      <c r="DV24" s="6"/>
      <c r="DX24" s="6"/>
      <c r="DY24" s="6"/>
      <c r="EA24" s="6"/>
      <c r="EB24" s="6"/>
      <c r="ED24" s="6"/>
      <c r="EE24" s="6"/>
      <c r="EG24" s="6"/>
      <c r="EH24" s="6"/>
      <c r="EJ24" s="6"/>
      <c r="EK24" s="6"/>
      <c r="EM24" s="6"/>
      <c r="EN24" s="6"/>
      <c r="EP24" s="6"/>
      <c r="EQ24" s="6"/>
      <c r="ES24" s="6"/>
      <c r="ET24" s="6"/>
      <c r="EV24" s="6"/>
      <c r="EW24" s="6"/>
      <c r="EY24" s="6"/>
      <c r="EZ24" s="6"/>
      <c r="FB24" s="6"/>
      <c r="FC24" s="6"/>
      <c r="FE24" s="6"/>
      <c r="FF24" s="6"/>
      <c r="FH24" s="6"/>
      <c r="FI24" s="6"/>
      <c r="FK24" s="6"/>
      <c r="FL24" s="6"/>
      <c r="FN24" s="6"/>
      <c r="FO24" s="6"/>
      <c r="FQ24" s="6"/>
      <c r="FR24" s="6"/>
      <c r="FT24" s="6"/>
      <c r="FU24" s="6"/>
      <c r="FW24" s="6"/>
      <c r="FX24" s="6"/>
      <c r="FZ24" s="6"/>
      <c r="GA24" s="6"/>
      <c r="GC24" s="6"/>
      <c r="GD24" s="6"/>
      <c r="GF24" s="6"/>
      <c r="GG24" s="6"/>
      <c r="GI24" s="6"/>
      <c r="GJ24" s="6"/>
      <c r="GL24" s="6"/>
      <c r="GM24" s="6"/>
      <c r="GO24" s="6"/>
      <c r="GP24" s="6"/>
      <c r="GR24" s="6"/>
      <c r="GS24" s="6"/>
      <c r="GU24" s="6"/>
      <c r="GV24" s="6"/>
      <c r="GX24" s="6"/>
      <c r="GY24" s="6"/>
      <c r="HA24" s="6"/>
      <c r="HB24" s="6"/>
      <c r="HD24" s="6"/>
      <c r="HE24" s="6"/>
      <c r="HG24" s="6"/>
      <c r="HH24" s="6"/>
      <c r="HJ24" s="6"/>
      <c r="HK24" s="6"/>
      <c r="HM24" s="6"/>
      <c r="HN24" s="6"/>
      <c r="HP24" s="6"/>
      <c r="HQ24" s="6"/>
      <c r="HS24" s="6"/>
      <c r="HT24" s="6"/>
      <c r="HV24" s="6"/>
      <c r="HW24" s="6"/>
      <c r="HY24" s="6"/>
      <c r="HZ24" s="6"/>
      <c r="IB24" s="6"/>
      <c r="IC24" s="6"/>
      <c r="IE24" s="6"/>
      <c r="IF24" s="6"/>
    </row>
    <row r="25" spans="1:240" x14ac:dyDescent="0.2">
      <c r="A25" s="6"/>
      <c r="B25" s="284" t="s">
        <v>80</v>
      </c>
      <c r="C25" s="169"/>
      <c r="D25" s="517"/>
      <c r="E25" s="6"/>
      <c r="G25" s="5"/>
      <c r="J25" s="6"/>
      <c r="K25" s="6"/>
      <c r="M25" s="6"/>
      <c r="N25" s="6"/>
      <c r="P25" s="6"/>
      <c r="Q25" s="6"/>
      <c r="S25" s="6"/>
      <c r="T25" s="6"/>
      <c r="V25" s="6"/>
      <c r="W25" s="6"/>
      <c r="Y25" s="6"/>
      <c r="Z25" s="6"/>
      <c r="AB25" s="6"/>
      <c r="AC25" s="6"/>
      <c r="AE25" s="6"/>
      <c r="AF25" s="6"/>
      <c r="AG25" s="6"/>
      <c r="AI25" s="6"/>
      <c r="AJ25" s="6"/>
      <c r="AL25" s="6"/>
      <c r="AM25" s="6"/>
      <c r="AO25" s="6"/>
      <c r="AP25" s="6"/>
      <c r="AR25" s="6"/>
      <c r="AS25" s="6"/>
      <c r="AU25" s="6"/>
      <c r="AV25" s="6"/>
      <c r="AX25" s="6"/>
      <c r="AY25" s="6"/>
      <c r="BA25" s="6"/>
      <c r="BB25" s="6"/>
      <c r="BD25" s="6"/>
      <c r="BE25" s="6"/>
      <c r="BG25" s="6"/>
      <c r="BH25" s="6"/>
      <c r="BJ25" s="6"/>
      <c r="BK25" s="6"/>
      <c r="BM25" s="6"/>
      <c r="BN25" s="6"/>
      <c r="BP25" s="6"/>
      <c r="BQ25" s="6"/>
      <c r="BS25" s="6"/>
      <c r="BT25" s="6"/>
      <c r="BV25" s="6"/>
      <c r="BW25" s="6"/>
      <c r="BY25" s="6"/>
      <c r="BZ25" s="6"/>
      <c r="CB25" s="6"/>
      <c r="CC25" s="6"/>
      <c r="CE25" s="6"/>
      <c r="CF25" s="6"/>
      <c r="CH25" s="6"/>
      <c r="CI25" s="6"/>
      <c r="CK25" s="6"/>
      <c r="CL25" s="6"/>
      <c r="CN25" s="6"/>
      <c r="CO25" s="6"/>
      <c r="CQ25" s="6"/>
      <c r="CR25" s="6"/>
      <c r="CT25" s="6"/>
      <c r="CU25" s="6"/>
      <c r="CW25" s="6"/>
      <c r="CX25" s="6"/>
      <c r="CZ25" s="6"/>
      <c r="DA25" s="6"/>
      <c r="DC25" s="6"/>
      <c r="DD25" s="6"/>
      <c r="DF25" s="6"/>
      <c r="DG25" s="6"/>
      <c r="DI25" s="6"/>
      <c r="DJ25" s="6"/>
      <c r="DL25" s="6"/>
      <c r="DM25" s="6"/>
      <c r="DO25" s="6"/>
      <c r="DP25" s="6"/>
      <c r="DR25" s="6"/>
      <c r="DS25" s="6"/>
      <c r="DU25" s="6"/>
      <c r="DV25" s="6"/>
      <c r="DX25" s="6"/>
      <c r="DY25" s="6"/>
      <c r="EA25" s="6"/>
      <c r="EB25" s="6"/>
      <c r="ED25" s="6"/>
      <c r="EE25" s="6"/>
      <c r="EG25" s="6"/>
      <c r="EH25" s="6"/>
      <c r="EJ25" s="6"/>
      <c r="EK25" s="6"/>
      <c r="EM25" s="6"/>
      <c r="EN25" s="6"/>
      <c r="EP25" s="6"/>
      <c r="EQ25" s="6"/>
      <c r="ES25" s="6"/>
      <c r="ET25" s="6"/>
      <c r="EV25" s="6"/>
      <c r="EW25" s="6"/>
      <c r="EY25" s="6"/>
      <c r="EZ25" s="6"/>
      <c r="FB25" s="6"/>
      <c r="FC25" s="6"/>
      <c r="FE25" s="6"/>
      <c r="FF25" s="6"/>
      <c r="FH25" s="6"/>
      <c r="FI25" s="6"/>
      <c r="FK25" s="6"/>
      <c r="FL25" s="6"/>
      <c r="FN25" s="6"/>
      <c r="FO25" s="6"/>
      <c r="FQ25" s="6"/>
      <c r="FR25" s="6"/>
      <c r="FT25" s="6"/>
      <c r="FU25" s="6"/>
      <c r="FW25" s="6"/>
      <c r="FX25" s="6"/>
      <c r="FZ25" s="6"/>
      <c r="GA25" s="6"/>
      <c r="GC25" s="6"/>
      <c r="GD25" s="6"/>
      <c r="GF25" s="6"/>
      <c r="GG25" s="6"/>
      <c r="GI25" s="6"/>
      <c r="GJ25" s="6"/>
      <c r="GL25" s="6"/>
      <c r="GM25" s="6"/>
      <c r="GO25" s="6"/>
      <c r="GP25" s="6"/>
      <c r="GR25" s="6"/>
      <c r="GS25" s="6"/>
      <c r="GU25" s="6"/>
      <c r="GV25" s="6"/>
      <c r="GX25" s="6"/>
      <c r="GY25" s="6"/>
      <c r="HA25" s="6"/>
      <c r="HB25" s="6"/>
      <c r="HD25" s="6"/>
      <c r="HE25" s="6"/>
      <c r="HG25" s="6"/>
      <c r="HH25" s="6"/>
      <c r="HJ25" s="6"/>
      <c r="HK25" s="6"/>
      <c r="HM25" s="6"/>
      <c r="HN25" s="6"/>
      <c r="HP25" s="6"/>
      <c r="HQ25" s="6"/>
      <c r="HS25" s="6"/>
      <c r="HT25" s="6"/>
      <c r="HV25" s="6"/>
      <c r="HW25" s="6"/>
      <c r="HY25" s="6"/>
      <c r="HZ25" s="6"/>
      <c r="IB25" s="6"/>
      <c r="IC25" s="6"/>
      <c r="IE25" s="6"/>
      <c r="IF25" s="6"/>
    </row>
    <row r="26" spans="1:240" x14ac:dyDescent="0.2">
      <c r="A26" s="6"/>
      <c r="B26" s="172" t="s">
        <v>81</v>
      </c>
      <c r="E26" s="6"/>
      <c r="G26" s="5"/>
      <c r="J26" s="6"/>
      <c r="K26" s="6"/>
      <c r="M26" s="6"/>
      <c r="N26" s="6"/>
      <c r="P26" s="6"/>
      <c r="Q26" s="6"/>
      <c r="S26" s="6"/>
      <c r="T26" s="6"/>
      <c r="V26" s="6"/>
      <c r="W26" s="6"/>
      <c r="Y26" s="6"/>
      <c r="Z26" s="6"/>
      <c r="AB26" s="6"/>
      <c r="AC26" s="6"/>
      <c r="AE26" s="6"/>
      <c r="AF26" s="6"/>
      <c r="AG26" s="6"/>
      <c r="AI26" s="6"/>
      <c r="AJ26" s="6"/>
      <c r="AL26" s="6"/>
      <c r="AM26" s="6"/>
      <c r="AO26" s="6"/>
      <c r="AP26" s="6"/>
      <c r="AR26" s="6"/>
      <c r="AS26" s="6"/>
      <c r="AU26" s="6"/>
      <c r="AV26" s="6"/>
      <c r="AX26" s="6"/>
      <c r="AY26" s="6"/>
      <c r="BA26" s="6"/>
      <c r="BB26" s="6"/>
      <c r="BD26" s="6"/>
      <c r="BE26" s="6"/>
      <c r="BG26" s="6"/>
      <c r="BH26" s="6"/>
      <c r="BJ26" s="6"/>
      <c r="BK26" s="6"/>
      <c r="BM26" s="6"/>
      <c r="BN26" s="6"/>
      <c r="BP26" s="6"/>
      <c r="BQ26" s="6"/>
      <c r="BS26" s="6"/>
      <c r="BT26" s="6"/>
      <c r="BV26" s="6"/>
      <c r="BW26" s="6"/>
      <c r="BY26" s="6"/>
      <c r="BZ26" s="6"/>
      <c r="CB26" s="6"/>
      <c r="CC26" s="6"/>
      <c r="CE26" s="6"/>
      <c r="CF26" s="6"/>
      <c r="CH26" s="6"/>
      <c r="CI26" s="6"/>
      <c r="CK26" s="6"/>
      <c r="CL26" s="6"/>
      <c r="CN26" s="6"/>
      <c r="CO26" s="6"/>
      <c r="CQ26" s="6"/>
      <c r="CR26" s="6"/>
      <c r="CT26" s="6"/>
      <c r="CU26" s="6"/>
      <c r="CW26" s="6"/>
      <c r="CX26" s="6"/>
      <c r="CZ26" s="6"/>
      <c r="DA26" s="6"/>
      <c r="DC26" s="6"/>
      <c r="DD26" s="6"/>
      <c r="DF26" s="6"/>
      <c r="DG26" s="6"/>
      <c r="DI26" s="6"/>
      <c r="DJ26" s="6"/>
      <c r="DL26" s="6"/>
      <c r="DM26" s="6"/>
      <c r="DO26" s="6"/>
      <c r="DP26" s="6"/>
      <c r="DR26" s="6"/>
      <c r="DS26" s="6"/>
      <c r="DU26" s="6"/>
      <c r="DV26" s="6"/>
      <c r="DX26" s="6"/>
      <c r="DY26" s="6"/>
      <c r="EA26" s="6"/>
      <c r="EB26" s="6"/>
      <c r="ED26" s="6"/>
      <c r="EE26" s="6"/>
      <c r="EG26" s="6"/>
      <c r="EH26" s="6"/>
      <c r="EJ26" s="6"/>
      <c r="EK26" s="6"/>
      <c r="EM26" s="6"/>
      <c r="EN26" s="6"/>
      <c r="EP26" s="6"/>
      <c r="EQ26" s="6"/>
      <c r="ES26" s="6"/>
      <c r="ET26" s="6"/>
      <c r="EV26" s="6"/>
      <c r="EW26" s="6"/>
      <c r="EY26" s="6"/>
      <c r="EZ26" s="6"/>
      <c r="FB26" s="6"/>
      <c r="FC26" s="6"/>
      <c r="FE26" s="6"/>
      <c r="FF26" s="6"/>
      <c r="FH26" s="6"/>
      <c r="FI26" s="6"/>
      <c r="FK26" s="6"/>
      <c r="FL26" s="6"/>
      <c r="FN26" s="6"/>
      <c r="FO26" s="6"/>
      <c r="FQ26" s="6"/>
      <c r="FR26" s="6"/>
      <c r="FT26" s="6"/>
      <c r="FU26" s="6"/>
      <c r="FW26" s="6"/>
      <c r="FX26" s="6"/>
      <c r="FZ26" s="6"/>
      <c r="GA26" s="6"/>
      <c r="GC26" s="6"/>
      <c r="GD26" s="6"/>
      <c r="GF26" s="6"/>
      <c r="GG26" s="6"/>
      <c r="GI26" s="6"/>
      <c r="GJ26" s="6"/>
      <c r="GL26" s="6"/>
      <c r="GM26" s="6"/>
      <c r="GO26" s="6"/>
      <c r="GP26" s="6"/>
      <c r="GR26" s="6"/>
      <c r="GS26" s="6"/>
      <c r="GU26" s="6"/>
      <c r="GV26" s="6"/>
      <c r="GX26" s="6"/>
      <c r="GY26" s="6"/>
      <c r="HA26" s="6"/>
      <c r="HB26" s="6"/>
      <c r="HD26" s="6"/>
      <c r="HE26" s="6"/>
      <c r="HG26" s="6"/>
      <c r="HH26" s="6"/>
      <c r="HJ26" s="6"/>
      <c r="HK26" s="6"/>
      <c r="HM26" s="6"/>
      <c r="HN26" s="6"/>
      <c r="HP26" s="6"/>
      <c r="HQ26" s="6"/>
      <c r="HS26" s="6"/>
      <c r="HT26" s="6"/>
      <c r="HV26" s="6"/>
      <c r="HW26" s="6"/>
      <c r="HY26" s="6"/>
      <c r="HZ26" s="6"/>
      <c r="IB26" s="6"/>
      <c r="IC26" s="6"/>
      <c r="IE26" s="6"/>
      <c r="IF26" s="6"/>
    </row>
    <row r="27" spans="1:240" x14ac:dyDescent="0.2">
      <c r="A27" s="6"/>
      <c r="B27" s="169"/>
      <c r="D27" s="104"/>
      <c r="E27" s="6"/>
      <c r="G27" s="5"/>
      <c r="J27" s="6"/>
      <c r="K27" s="6"/>
      <c r="M27" s="6"/>
      <c r="N27" s="6"/>
      <c r="P27" s="6"/>
      <c r="Q27" s="6"/>
      <c r="S27" s="6"/>
      <c r="T27" s="6"/>
      <c r="V27" s="6"/>
      <c r="W27" s="6"/>
      <c r="Y27" s="6"/>
      <c r="Z27" s="6"/>
      <c r="AB27" s="6"/>
      <c r="AC27" s="6"/>
      <c r="AE27" s="6"/>
      <c r="AF27" s="6"/>
      <c r="AG27" s="6"/>
      <c r="AI27" s="6"/>
      <c r="AJ27" s="6"/>
      <c r="AL27" s="6"/>
      <c r="AM27" s="6"/>
      <c r="AO27" s="6"/>
      <c r="AP27" s="6"/>
      <c r="AR27" s="6"/>
      <c r="AS27" s="6"/>
      <c r="AU27" s="6"/>
      <c r="AV27" s="6"/>
      <c r="AX27" s="6"/>
      <c r="AY27" s="6"/>
      <c r="BA27" s="6"/>
      <c r="BB27" s="6"/>
      <c r="BD27" s="6"/>
      <c r="BE27" s="6"/>
      <c r="BG27" s="6"/>
      <c r="BH27" s="6"/>
      <c r="BJ27" s="6"/>
      <c r="BK27" s="6"/>
      <c r="BM27" s="6"/>
      <c r="BN27" s="6"/>
      <c r="BP27" s="6"/>
      <c r="BQ27" s="6"/>
      <c r="BS27" s="6"/>
      <c r="BT27" s="6"/>
      <c r="BV27" s="6"/>
      <c r="BW27" s="6"/>
      <c r="BY27" s="6"/>
      <c r="BZ27" s="6"/>
      <c r="CB27" s="6"/>
      <c r="CC27" s="6"/>
      <c r="CE27" s="6"/>
      <c r="CF27" s="6"/>
      <c r="CH27" s="6"/>
      <c r="CI27" s="6"/>
      <c r="CK27" s="6"/>
      <c r="CL27" s="6"/>
      <c r="CN27" s="6"/>
      <c r="CO27" s="6"/>
      <c r="CQ27" s="6"/>
      <c r="CR27" s="6"/>
      <c r="CT27" s="6"/>
      <c r="CU27" s="6"/>
      <c r="CW27" s="6"/>
      <c r="CX27" s="6"/>
      <c r="CZ27" s="6"/>
      <c r="DA27" s="6"/>
      <c r="DC27" s="6"/>
      <c r="DD27" s="6"/>
      <c r="DF27" s="6"/>
      <c r="DG27" s="6"/>
      <c r="DI27" s="6"/>
      <c r="DJ27" s="6"/>
      <c r="DL27" s="6"/>
      <c r="DM27" s="6"/>
      <c r="DO27" s="6"/>
      <c r="DP27" s="6"/>
      <c r="DR27" s="6"/>
      <c r="DS27" s="6"/>
      <c r="DU27" s="6"/>
      <c r="DV27" s="6"/>
      <c r="DX27" s="6"/>
      <c r="DY27" s="6"/>
      <c r="EA27" s="6"/>
      <c r="EB27" s="6"/>
      <c r="ED27" s="6"/>
      <c r="EE27" s="6"/>
      <c r="EG27" s="6"/>
      <c r="EH27" s="6"/>
      <c r="EJ27" s="6"/>
      <c r="EK27" s="6"/>
      <c r="EM27" s="6"/>
      <c r="EN27" s="6"/>
      <c r="EP27" s="6"/>
      <c r="EQ27" s="6"/>
      <c r="ES27" s="6"/>
      <c r="ET27" s="6"/>
      <c r="EV27" s="6"/>
      <c r="EW27" s="6"/>
      <c r="EY27" s="6"/>
      <c r="EZ27" s="6"/>
      <c r="FB27" s="6"/>
      <c r="FC27" s="6"/>
      <c r="FE27" s="6"/>
      <c r="FF27" s="6"/>
      <c r="FH27" s="6"/>
      <c r="FI27" s="6"/>
      <c r="FK27" s="6"/>
      <c r="FL27" s="6"/>
      <c r="FN27" s="6"/>
      <c r="FO27" s="6"/>
      <c r="FQ27" s="6"/>
      <c r="FR27" s="6"/>
      <c r="FT27" s="6"/>
      <c r="FU27" s="6"/>
      <c r="FW27" s="6"/>
      <c r="FX27" s="6"/>
      <c r="FZ27" s="6"/>
      <c r="GA27" s="6"/>
      <c r="GC27" s="6"/>
      <c r="GD27" s="6"/>
      <c r="GF27" s="6"/>
      <c r="GG27" s="6"/>
      <c r="GI27" s="6"/>
      <c r="GJ27" s="6"/>
      <c r="GL27" s="6"/>
      <c r="GM27" s="6"/>
      <c r="GO27" s="6"/>
      <c r="GP27" s="6"/>
      <c r="GR27" s="6"/>
      <c r="GS27" s="6"/>
      <c r="GU27" s="6"/>
      <c r="GV27" s="6"/>
      <c r="GX27" s="6"/>
      <c r="GY27" s="6"/>
      <c r="HA27" s="6"/>
      <c r="HB27" s="6"/>
      <c r="HD27" s="6"/>
      <c r="HE27" s="6"/>
      <c r="HG27" s="6"/>
      <c r="HH27" s="6"/>
      <c r="HJ27" s="6"/>
      <c r="HK27" s="6"/>
      <c r="HM27" s="6"/>
      <c r="HN27" s="6"/>
      <c r="HP27" s="6"/>
      <c r="HQ27" s="6"/>
      <c r="HS27" s="6"/>
      <c r="HT27" s="6"/>
      <c r="HV27" s="6"/>
      <c r="HW27" s="6"/>
      <c r="HY27" s="6"/>
      <c r="HZ27" s="6"/>
      <c r="IB27" s="6"/>
      <c r="IC27" s="6"/>
      <c r="IE27" s="6"/>
      <c r="IF27" s="6"/>
    </row>
    <row r="28" spans="1:240" x14ac:dyDescent="0.2">
      <c r="A28" s="6"/>
      <c r="B28" s="4"/>
      <c r="C28" s="4"/>
      <c r="D28" s="104"/>
      <c r="E28" s="4"/>
      <c r="F28" s="253"/>
    </row>
    <row r="29" spans="1:240" x14ac:dyDescent="0.2">
      <c r="A29" s="6"/>
      <c r="B29" s="4"/>
      <c r="C29" s="4"/>
      <c r="D29" s="104"/>
      <c r="E29" s="4"/>
      <c r="F29" s="253"/>
      <c r="I29" s="4"/>
    </row>
    <row r="30" spans="1:240" x14ac:dyDescent="0.2">
      <c r="A30" s="6" t="s">
        <v>258</v>
      </c>
      <c r="B30" s="4" t="s">
        <v>340</v>
      </c>
      <c r="C30" s="4"/>
      <c r="D30" s="104"/>
      <c r="E30" s="4"/>
      <c r="F30" s="253"/>
    </row>
    <row r="31" spans="1:240" x14ac:dyDescent="0.2">
      <c r="A31" s="6"/>
      <c r="B31" s="4" t="s">
        <v>341</v>
      </c>
      <c r="C31" s="4"/>
      <c r="D31" s="104"/>
      <c r="E31" s="4"/>
      <c r="F31" s="253"/>
    </row>
    <row r="32" spans="1:240" x14ac:dyDescent="0.2">
      <c r="A32" s="6"/>
      <c r="B32" s="4"/>
      <c r="C32" s="4"/>
      <c r="D32" s="104"/>
      <c r="E32" s="4"/>
      <c r="F32" s="253"/>
    </row>
    <row r="33" spans="1:12" x14ac:dyDescent="0.2">
      <c r="A33" s="6"/>
      <c r="B33" s="4"/>
      <c r="D33" s="104"/>
    </row>
    <row r="34" spans="1:12" x14ac:dyDescent="0.2">
      <c r="A34" s="6"/>
      <c r="B34" s="6"/>
      <c r="D34" s="104"/>
    </row>
    <row r="35" spans="1:12" x14ac:dyDescent="0.2">
      <c r="A35" s="7" t="s">
        <v>339</v>
      </c>
      <c r="B35" s="501" t="s">
        <v>1483</v>
      </c>
      <c r="D35" s="104"/>
    </row>
    <row r="36" spans="1:12" ht="33.75" x14ac:dyDescent="0.2">
      <c r="B36" s="501" t="s">
        <v>1486</v>
      </c>
      <c r="D36" s="104"/>
    </row>
    <row r="37" spans="1:12" ht="22.5" x14ac:dyDescent="0.2">
      <c r="B37" s="501" t="s">
        <v>1484</v>
      </c>
      <c r="D37" s="104"/>
    </row>
    <row r="38" spans="1:12" ht="21.75" customHeight="1" x14ac:dyDescent="0.2">
      <c r="B38" s="501" t="s">
        <v>1487</v>
      </c>
      <c r="D38" s="104"/>
    </row>
    <row r="39" spans="1:12" x14ac:dyDescent="0.2">
      <c r="B39" s="501" t="s">
        <v>1485</v>
      </c>
      <c r="D39" s="104"/>
    </row>
    <row r="40" spans="1:12" x14ac:dyDescent="0.2">
      <c r="B40" s="501" t="s">
        <v>1427</v>
      </c>
      <c r="D40" s="104"/>
    </row>
    <row r="41" spans="1:12" x14ac:dyDescent="0.2">
      <c r="D41" s="104"/>
    </row>
    <row r="42" spans="1:12" x14ac:dyDescent="0.2">
      <c r="D42" s="104"/>
    </row>
    <row r="43" spans="1:12" x14ac:dyDescent="0.2">
      <c r="C43" s="494" t="s">
        <v>1364</v>
      </c>
      <c r="D43" s="104"/>
      <c r="F43" s="316" t="s">
        <v>2098</v>
      </c>
      <c r="G43" s="472"/>
      <c r="H43" s="472"/>
      <c r="I43" s="472" t="s">
        <v>2123</v>
      </c>
    </row>
    <row r="44" spans="1:12" x14ac:dyDescent="0.2">
      <c r="A44" s="36" t="s">
        <v>313</v>
      </c>
      <c r="B44" s="36" t="s">
        <v>398</v>
      </c>
      <c r="C44" s="36" t="s">
        <v>406</v>
      </c>
      <c r="D44" s="36" t="s">
        <v>314</v>
      </c>
      <c r="E44" s="36"/>
      <c r="F44" s="254" t="s">
        <v>347</v>
      </c>
      <c r="H44" s="36"/>
      <c r="I44" s="36"/>
      <c r="J44" s="36"/>
      <c r="K44" s="36"/>
    </row>
    <row r="45" spans="1:12" x14ac:dyDescent="0.2">
      <c r="A45" s="59" t="str">
        <f>IF(Basisdaten!B6="","",Basisdaten!B6)</f>
        <v/>
      </c>
      <c r="B45" s="82" t="str">
        <f>IF($A$45="","",VLOOKUP($A$45,$A$48:$J$382,2,FALSE))</f>
        <v/>
      </c>
      <c r="C45" s="82" t="str">
        <f>IF($A$45="","",VLOOKUP($A$45,$A$48:$J$382,3,FALSE))</f>
        <v/>
      </c>
      <c r="D45" s="82" t="str">
        <f>IF($A$45="","",VLOOKUP($A$45,$A$48:$J$382,4,FALSE))</f>
        <v/>
      </c>
      <c r="F45" s="107" t="str">
        <f>IF($A$45="","",VLOOKUP($A$45,$A$48:$J$382,6,FALSE))</f>
        <v/>
      </c>
      <c r="J45" s="106"/>
      <c r="K45" s="106"/>
    </row>
    <row r="47" spans="1:12" ht="14.25" customHeight="1" x14ac:dyDescent="0.2">
      <c r="A47" s="36" t="s">
        <v>313</v>
      </c>
      <c r="B47" s="36" t="s">
        <v>398</v>
      </c>
      <c r="C47" s="36" t="s">
        <v>406</v>
      </c>
      <c r="D47" s="36" t="s">
        <v>314</v>
      </c>
      <c r="E47" s="36"/>
      <c r="F47" s="254" t="s">
        <v>347</v>
      </c>
      <c r="H47" s="36"/>
      <c r="I47" s="36" t="s">
        <v>1715</v>
      </c>
      <c r="J47" s="36"/>
      <c r="K47" s="36"/>
      <c r="L47" s="36"/>
    </row>
    <row r="48" spans="1:12" ht="14.25" customHeight="1" x14ac:dyDescent="0.2">
      <c r="A48" s="11" t="s">
        <v>1827</v>
      </c>
      <c r="B48" s="11" t="s">
        <v>434</v>
      </c>
      <c r="C48" s="11" t="s">
        <v>1221</v>
      </c>
      <c r="D48" s="11" t="s">
        <v>326</v>
      </c>
      <c r="E48" s="11" t="s">
        <v>649</v>
      </c>
      <c r="F48" s="450">
        <v>38791</v>
      </c>
      <c r="H48" s="36"/>
      <c r="I48" s="11" t="s">
        <v>1798</v>
      </c>
      <c r="J48" s="36"/>
      <c r="K48" s="36"/>
      <c r="L48" s="36"/>
    </row>
    <row r="49" spans="1:12" ht="14.25" customHeight="1" x14ac:dyDescent="0.2">
      <c r="A49" s="11" t="s">
        <v>1828</v>
      </c>
      <c r="B49" s="11" t="s">
        <v>434</v>
      </c>
      <c r="C49" s="11" t="s">
        <v>1437</v>
      </c>
      <c r="D49" s="11" t="s">
        <v>326</v>
      </c>
      <c r="E49" s="11" t="s">
        <v>649</v>
      </c>
      <c r="F49" s="450">
        <v>38791</v>
      </c>
      <c r="H49" s="36"/>
      <c r="I49" s="11" t="s">
        <v>1716</v>
      </c>
      <c r="J49" s="36"/>
      <c r="K49" s="36"/>
      <c r="L49" s="36"/>
    </row>
    <row r="50" spans="1:12" ht="14.25" customHeight="1" x14ac:dyDescent="0.2">
      <c r="A50" s="11" t="s">
        <v>1829</v>
      </c>
      <c r="B50" s="11" t="s">
        <v>435</v>
      </c>
      <c r="C50" s="11" t="s">
        <v>412</v>
      </c>
      <c r="D50" s="11" t="s">
        <v>317</v>
      </c>
      <c r="E50" s="11" t="s">
        <v>649</v>
      </c>
      <c r="F50" s="450">
        <v>38959</v>
      </c>
      <c r="H50" s="36"/>
      <c r="I50" s="11" t="s">
        <v>1717</v>
      </c>
      <c r="J50" s="36"/>
      <c r="K50" s="36"/>
      <c r="L50" s="36"/>
    </row>
    <row r="51" spans="1:12" ht="14.25" customHeight="1" x14ac:dyDescent="0.2">
      <c r="A51" s="11" t="s">
        <v>1830</v>
      </c>
      <c r="B51" s="11" t="s">
        <v>1166</v>
      </c>
      <c r="C51" s="11" t="s">
        <v>276</v>
      </c>
      <c r="D51" s="11" t="s">
        <v>319</v>
      </c>
      <c r="E51" s="11" t="s">
        <v>649</v>
      </c>
      <c r="F51" s="450">
        <v>39197</v>
      </c>
      <c r="H51" s="36"/>
      <c r="I51" s="11" t="s">
        <v>1718</v>
      </c>
      <c r="J51" s="36"/>
      <c r="K51" s="36"/>
      <c r="L51" s="36"/>
    </row>
    <row r="52" spans="1:12" ht="14.25" customHeight="1" x14ac:dyDescent="0.2">
      <c r="A52" s="11" t="s">
        <v>1831</v>
      </c>
      <c r="B52" s="11" t="s">
        <v>1166</v>
      </c>
      <c r="C52" s="11" t="s">
        <v>1222</v>
      </c>
      <c r="D52" s="11" t="s">
        <v>319</v>
      </c>
      <c r="E52" s="11" t="s">
        <v>649</v>
      </c>
      <c r="F52" s="450">
        <v>39351</v>
      </c>
      <c r="H52" s="36"/>
      <c r="I52" s="11" t="s">
        <v>1719</v>
      </c>
      <c r="J52" s="36"/>
      <c r="K52" s="36"/>
      <c r="L52" s="36"/>
    </row>
    <row r="53" spans="1:12" ht="14.25" customHeight="1" x14ac:dyDescent="0.2">
      <c r="A53" s="11" t="s">
        <v>1832</v>
      </c>
      <c r="B53" s="11" t="s">
        <v>438</v>
      </c>
      <c r="C53" s="11" t="s">
        <v>279</v>
      </c>
      <c r="D53" s="11" t="s">
        <v>323</v>
      </c>
      <c r="E53" s="11" t="s">
        <v>649</v>
      </c>
      <c r="F53" s="450">
        <v>39038</v>
      </c>
      <c r="H53" s="36"/>
      <c r="I53" s="11" t="s">
        <v>1720</v>
      </c>
      <c r="J53" s="36"/>
      <c r="K53" s="36"/>
      <c r="L53" s="36"/>
    </row>
    <row r="54" spans="1:12" ht="14.25" customHeight="1" x14ac:dyDescent="0.2">
      <c r="A54" s="11" t="s">
        <v>1833</v>
      </c>
      <c r="B54" s="11" t="s">
        <v>1834</v>
      </c>
      <c r="C54" s="11" t="s">
        <v>614</v>
      </c>
      <c r="D54" s="11" t="s">
        <v>325</v>
      </c>
      <c r="E54" s="11" t="s">
        <v>649</v>
      </c>
      <c r="F54" s="450">
        <v>39049</v>
      </c>
      <c r="H54" s="36"/>
      <c r="I54" s="11" t="s">
        <v>1721</v>
      </c>
      <c r="J54" s="36"/>
      <c r="K54" s="36"/>
      <c r="L54" s="36"/>
    </row>
    <row r="55" spans="1:12" ht="14.25" customHeight="1" x14ac:dyDescent="0.2">
      <c r="A55" s="11" t="s">
        <v>1835</v>
      </c>
      <c r="B55" s="11" t="s">
        <v>1551</v>
      </c>
      <c r="C55" s="11" t="s">
        <v>269</v>
      </c>
      <c r="D55" s="11" t="s">
        <v>318</v>
      </c>
      <c r="E55" s="11" t="s">
        <v>649</v>
      </c>
      <c r="F55" s="450">
        <v>39066</v>
      </c>
      <c r="H55" s="36"/>
      <c r="I55" s="11" t="s">
        <v>1722</v>
      </c>
      <c r="J55" s="36"/>
      <c r="K55" s="36"/>
      <c r="L55" s="36"/>
    </row>
    <row r="56" spans="1:12" ht="14.25" customHeight="1" x14ac:dyDescent="0.2">
      <c r="A56" s="11" t="s">
        <v>1836</v>
      </c>
      <c r="B56" s="11" t="s">
        <v>1200</v>
      </c>
      <c r="C56" s="11" t="s">
        <v>272</v>
      </c>
      <c r="D56" s="11" t="s">
        <v>318</v>
      </c>
      <c r="E56" s="11" t="s">
        <v>649</v>
      </c>
      <c r="F56" s="450">
        <v>39108</v>
      </c>
      <c r="H56" s="36"/>
      <c r="I56" s="11" t="s">
        <v>1723</v>
      </c>
      <c r="J56" s="36"/>
      <c r="K56" s="36"/>
      <c r="L56" s="36"/>
    </row>
    <row r="57" spans="1:12" ht="14.25" customHeight="1" x14ac:dyDescent="0.2">
      <c r="A57" s="11" t="s">
        <v>1837</v>
      </c>
      <c r="B57" s="11" t="s">
        <v>703</v>
      </c>
      <c r="C57" s="11" t="s">
        <v>1838</v>
      </c>
      <c r="D57" s="11" t="s">
        <v>326</v>
      </c>
      <c r="E57" s="11" t="s">
        <v>649</v>
      </c>
      <c r="F57" s="450">
        <v>39126</v>
      </c>
      <c r="H57" s="36"/>
      <c r="I57" s="11" t="s">
        <v>1724</v>
      </c>
      <c r="J57" s="36"/>
      <c r="K57" s="36"/>
      <c r="L57" s="36"/>
    </row>
    <row r="58" spans="1:12" ht="14.25" customHeight="1" x14ac:dyDescent="0.2">
      <c r="A58" s="11" t="s">
        <v>1839</v>
      </c>
      <c r="B58" s="11" t="s">
        <v>449</v>
      </c>
      <c r="C58" s="11" t="s">
        <v>653</v>
      </c>
      <c r="D58" s="11" t="s">
        <v>330</v>
      </c>
      <c r="E58" s="11" t="s">
        <v>649</v>
      </c>
      <c r="F58" s="450">
        <v>39189</v>
      </c>
      <c r="H58" s="36"/>
      <c r="I58" s="11" t="s">
        <v>1725</v>
      </c>
      <c r="J58" s="36"/>
      <c r="K58" s="36"/>
      <c r="L58" s="36"/>
    </row>
    <row r="59" spans="1:12" ht="14.25" customHeight="1" x14ac:dyDescent="0.2">
      <c r="A59" s="11" t="s">
        <v>1840</v>
      </c>
      <c r="B59" s="11" t="s">
        <v>450</v>
      </c>
      <c r="C59" s="11" t="s">
        <v>549</v>
      </c>
      <c r="D59" s="11" t="s">
        <v>318</v>
      </c>
      <c r="E59" s="11" t="s">
        <v>649</v>
      </c>
      <c r="F59" s="450">
        <v>39171</v>
      </c>
      <c r="H59" s="36"/>
      <c r="I59" s="11" t="s">
        <v>2099</v>
      </c>
      <c r="J59" s="36"/>
      <c r="K59" s="36"/>
      <c r="L59" s="36"/>
    </row>
    <row r="60" spans="1:12" ht="14.25" customHeight="1" x14ac:dyDescent="0.2">
      <c r="A60" s="11" t="s">
        <v>1841</v>
      </c>
      <c r="B60" s="11" t="s">
        <v>1223</v>
      </c>
      <c r="C60" s="11" t="s">
        <v>1224</v>
      </c>
      <c r="D60" s="11" t="s">
        <v>329</v>
      </c>
      <c r="E60" s="11" t="s">
        <v>649</v>
      </c>
      <c r="F60" s="450">
        <v>39226</v>
      </c>
      <c r="H60" s="36"/>
      <c r="I60" s="11" t="s">
        <v>1726</v>
      </c>
      <c r="J60" s="36"/>
      <c r="K60" s="36"/>
      <c r="L60" s="36"/>
    </row>
    <row r="61" spans="1:12" ht="14.25" customHeight="1" x14ac:dyDescent="0.2">
      <c r="A61" s="11" t="s">
        <v>1842</v>
      </c>
      <c r="B61" s="11" t="s">
        <v>453</v>
      </c>
      <c r="C61" s="11" t="s">
        <v>1439</v>
      </c>
      <c r="D61" s="11" t="s">
        <v>326</v>
      </c>
      <c r="E61" s="11" t="s">
        <v>649</v>
      </c>
      <c r="F61" s="450">
        <v>39232</v>
      </c>
      <c r="H61" s="36"/>
      <c r="I61" s="11" t="s">
        <v>1727</v>
      </c>
      <c r="J61" s="36"/>
      <c r="K61" s="36"/>
      <c r="L61" s="36"/>
    </row>
    <row r="62" spans="1:12" ht="14.25" customHeight="1" x14ac:dyDescent="0.2">
      <c r="A62" s="11" t="s">
        <v>1843</v>
      </c>
      <c r="B62" s="11" t="s">
        <v>454</v>
      </c>
      <c r="C62" s="11" t="s">
        <v>1390</v>
      </c>
      <c r="D62" s="11" t="s">
        <v>317</v>
      </c>
      <c r="E62" s="11" t="s">
        <v>649</v>
      </c>
      <c r="F62" s="450">
        <v>39290</v>
      </c>
      <c r="H62" s="36"/>
      <c r="I62" s="11" t="s">
        <v>1728</v>
      </c>
      <c r="J62" s="36"/>
      <c r="K62" s="36"/>
      <c r="L62" s="36"/>
    </row>
    <row r="63" spans="1:12" ht="14.25" customHeight="1" x14ac:dyDescent="0.2">
      <c r="A63" s="11" t="s">
        <v>1844</v>
      </c>
      <c r="B63" s="11" t="s">
        <v>1201</v>
      </c>
      <c r="C63" s="11" t="s">
        <v>455</v>
      </c>
      <c r="D63" s="11" t="s">
        <v>315</v>
      </c>
      <c r="E63" s="11" t="s">
        <v>649</v>
      </c>
      <c r="F63" s="450">
        <v>39248</v>
      </c>
      <c r="H63" s="36"/>
      <c r="I63" s="11" t="s">
        <v>1799</v>
      </c>
      <c r="J63" s="36"/>
      <c r="K63" s="36"/>
      <c r="L63" s="36"/>
    </row>
    <row r="64" spans="1:12" ht="14.25" customHeight="1" x14ac:dyDescent="0.2">
      <c r="A64" s="11" t="s">
        <v>1845</v>
      </c>
      <c r="B64" s="11" t="s">
        <v>456</v>
      </c>
      <c r="C64" s="11" t="s">
        <v>1202</v>
      </c>
      <c r="D64" s="11" t="s">
        <v>325</v>
      </c>
      <c r="E64" s="11" t="s">
        <v>649</v>
      </c>
      <c r="F64" s="450">
        <v>39336</v>
      </c>
      <c r="H64" s="36"/>
      <c r="I64" s="11" t="s">
        <v>1800</v>
      </c>
      <c r="J64" s="36"/>
      <c r="K64" s="36"/>
      <c r="L64" s="36"/>
    </row>
    <row r="65" spans="1:12" ht="14.25" customHeight="1" x14ac:dyDescent="0.2">
      <c r="A65" s="11" t="s">
        <v>1846</v>
      </c>
      <c r="B65" s="11" t="s">
        <v>460</v>
      </c>
      <c r="C65" s="11" t="s">
        <v>1203</v>
      </c>
      <c r="D65" s="11" t="s">
        <v>319</v>
      </c>
      <c r="E65" s="11" t="s">
        <v>649</v>
      </c>
      <c r="F65" s="450">
        <v>39364</v>
      </c>
      <c r="H65" s="36"/>
      <c r="I65" s="11" t="s">
        <v>2100</v>
      </c>
      <c r="J65" s="36"/>
      <c r="K65" s="36"/>
      <c r="L65" s="36"/>
    </row>
    <row r="66" spans="1:12" ht="14.25" customHeight="1" x14ac:dyDescent="0.2">
      <c r="A66" s="11" t="s">
        <v>1847</v>
      </c>
      <c r="B66" s="11" t="s">
        <v>463</v>
      </c>
      <c r="C66" s="11" t="s">
        <v>280</v>
      </c>
      <c r="D66" s="11" t="s">
        <v>325</v>
      </c>
      <c r="E66" s="11" t="s">
        <v>649</v>
      </c>
      <c r="F66" s="450">
        <v>39274</v>
      </c>
      <c r="H66" s="36"/>
      <c r="I66" s="11" t="s">
        <v>1729</v>
      </c>
      <c r="J66" s="36"/>
      <c r="K66" s="36"/>
      <c r="L66" s="36"/>
    </row>
    <row r="67" spans="1:12" ht="14.25" customHeight="1" x14ac:dyDescent="0.2">
      <c r="A67" s="11" t="s">
        <v>1848</v>
      </c>
      <c r="B67" s="11" t="s">
        <v>1849</v>
      </c>
      <c r="C67" s="11" t="s">
        <v>1850</v>
      </c>
      <c r="D67" s="11" t="s">
        <v>318</v>
      </c>
      <c r="E67" s="11" t="s">
        <v>649</v>
      </c>
      <c r="F67" s="450">
        <v>39343</v>
      </c>
      <c r="H67" s="36"/>
      <c r="I67" s="11" t="s">
        <v>1730</v>
      </c>
      <c r="J67" s="36"/>
      <c r="K67" s="36"/>
      <c r="L67" s="36"/>
    </row>
    <row r="68" spans="1:12" ht="14.25" customHeight="1" x14ac:dyDescent="0.2">
      <c r="A68" s="11" t="s">
        <v>1851</v>
      </c>
      <c r="B68" s="11" t="s">
        <v>464</v>
      </c>
      <c r="C68" s="11" t="s">
        <v>616</v>
      </c>
      <c r="D68" s="11" t="s">
        <v>327</v>
      </c>
      <c r="E68" s="11" t="s">
        <v>649</v>
      </c>
      <c r="F68" s="450">
        <v>39325</v>
      </c>
      <c r="H68" s="36"/>
      <c r="I68" s="11" t="s">
        <v>1731</v>
      </c>
      <c r="J68" s="36"/>
      <c r="K68" s="36"/>
      <c r="L68" s="36"/>
    </row>
    <row r="69" spans="1:12" ht="14.25" customHeight="1" x14ac:dyDescent="0.2">
      <c r="A69" s="11" t="s">
        <v>1852</v>
      </c>
      <c r="B69" s="11" t="s">
        <v>1204</v>
      </c>
      <c r="C69" s="11" t="s">
        <v>1205</v>
      </c>
      <c r="D69" s="11" t="s">
        <v>318</v>
      </c>
      <c r="E69" s="11" t="s">
        <v>649</v>
      </c>
      <c r="F69" s="450">
        <v>39346</v>
      </c>
      <c r="H69" s="36"/>
      <c r="I69" s="11" t="s">
        <v>1732</v>
      </c>
      <c r="J69" s="36"/>
      <c r="K69" s="36"/>
      <c r="L69" s="36"/>
    </row>
    <row r="70" spans="1:12" ht="14.25" customHeight="1" x14ac:dyDescent="0.2">
      <c r="A70" s="11" t="s">
        <v>1853</v>
      </c>
      <c r="B70" s="11" t="s">
        <v>1206</v>
      </c>
      <c r="C70" s="11" t="s">
        <v>1207</v>
      </c>
      <c r="D70" s="11" t="s">
        <v>318</v>
      </c>
      <c r="E70" s="11" t="s">
        <v>649</v>
      </c>
      <c r="F70" s="450">
        <v>39357</v>
      </c>
      <c r="H70" s="36"/>
      <c r="I70" s="11" t="s">
        <v>1733</v>
      </c>
      <c r="J70" s="36"/>
      <c r="K70" s="36"/>
      <c r="L70" s="36"/>
    </row>
    <row r="71" spans="1:12" ht="14.25" customHeight="1" x14ac:dyDescent="0.2">
      <c r="A71" s="11" t="s">
        <v>1854</v>
      </c>
      <c r="B71" s="11" t="s">
        <v>1322</v>
      </c>
      <c r="C71" s="11" t="s">
        <v>655</v>
      </c>
      <c r="D71" s="11" t="s">
        <v>330</v>
      </c>
      <c r="E71" s="11" t="s">
        <v>649</v>
      </c>
      <c r="F71" s="450">
        <v>39427</v>
      </c>
      <c r="H71" s="36"/>
      <c r="I71" s="11" t="s">
        <v>1734</v>
      </c>
      <c r="J71" s="36"/>
      <c r="K71" s="36"/>
      <c r="L71" s="36"/>
    </row>
    <row r="72" spans="1:12" ht="14.25" customHeight="1" x14ac:dyDescent="0.2">
      <c r="A72" s="11" t="s">
        <v>1855</v>
      </c>
      <c r="B72" s="11" t="s">
        <v>561</v>
      </c>
      <c r="C72" s="11" t="s">
        <v>466</v>
      </c>
      <c r="D72" s="11" t="s">
        <v>317</v>
      </c>
      <c r="E72" s="11" t="s">
        <v>649</v>
      </c>
      <c r="F72" s="450">
        <v>39514</v>
      </c>
      <c r="H72" s="36"/>
      <c r="I72" s="11" t="s">
        <v>2101</v>
      </c>
      <c r="J72" s="36"/>
      <c r="K72" s="36"/>
      <c r="L72" s="36"/>
    </row>
    <row r="73" spans="1:12" ht="14.25" customHeight="1" x14ac:dyDescent="0.2">
      <c r="A73" s="11" t="s">
        <v>1856</v>
      </c>
      <c r="B73" s="11" t="s">
        <v>469</v>
      </c>
      <c r="C73" s="11" t="s">
        <v>656</v>
      </c>
      <c r="D73" s="11" t="s">
        <v>326</v>
      </c>
      <c r="E73" s="11" t="s">
        <v>649</v>
      </c>
      <c r="F73" s="450">
        <v>39427</v>
      </c>
      <c r="H73" s="36"/>
      <c r="I73" s="11" t="s">
        <v>1735</v>
      </c>
      <c r="J73" s="36"/>
      <c r="K73" s="36"/>
      <c r="L73" s="36"/>
    </row>
    <row r="74" spans="1:12" ht="14.25" customHeight="1" x14ac:dyDescent="0.2">
      <c r="A74" s="11" t="s">
        <v>1857</v>
      </c>
      <c r="B74" s="11" t="s">
        <v>562</v>
      </c>
      <c r="C74" s="11" t="s">
        <v>470</v>
      </c>
      <c r="D74" s="11" t="s">
        <v>317</v>
      </c>
      <c r="E74" s="11" t="s">
        <v>649</v>
      </c>
      <c r="F74" s="450">
        <v>39525</v>
      </c>
      <c r="H74" s="36"/>
      <c r="I74" s="11" t="s">
        <v>1736</v>
      </c>
      <c r="J74" s="36"/>
      <c r="K74" s="36"/>
      <c r="L74" s="36"/>
    </row>
    <row r="75" spans="1:12" ht="14.25" customHeight="1" x14ac:dyDescent="0.2">
      <c r="A75" s="11" t="s">
        <v>1858</v>
      </c>
      <c r="B75" s="11" t="s">
        <v>471</v>
      </c>
      <c r="C75" s="11" t="s">
        <v>617</v>
      </c>
      <c r="D75" s="11" t="s">
        <v>318</v>
      </c>
      <c r="E75" s="11" t="s">
        <v>649</v>
      </c>
      <c r="F75" s="450">
        <v>39563</v>
      </c>
      <c r="H75" s="36"/>
      <c r="I75" s="11" t="s">
        <v>1806</v>
      </c>
      <c r="J75" s="36"/>
      <c r="K75" s="36"/>
      <c r="L75" s="36"/>
    </row>
    <row r="76" spans="1:12" ht="14.25" customHeight="1" x14ac:dyDescent="0.2">
      <c r="A76" s="11" t="s">
        <v>1859</v>
      </c>
      <c r="B76" s="11" t="s">
        <v>473</v>
      </c>
      <c r="C76" s="11" t="s">
        <v>407</v>
      </c>
      <c r="D76" s="11" t="s">
        <v>317</v>
      </c>
      <c r="E76" s="11" t="s">
        <v>649</v>
      </c>
      <c r="F76" s="450">
        <v>39556</v>
      </c>
      <c r="H76" s="36"/>
      <c r="I76" s="11" t="s">
        <v>2102</v>
      </c>
      <c r="J76" s="36"/>
      <c r="K76" s="36"/>
      <c r="L76" s="36"/>
    </row>
    <row r="77" spans="1:12" ht="14.25" customHeight="1" x14ac:dyDescent="0.2">
      <c r="A77" s="11" t="s">
        <v>1860</v>
      </c>
      <c r="B77" s="11" t="s">
        <v>474</v>
      </c>
      <c r="C77" s="11" t="s">
        <v>1147</v>
      </c>
      <c r="D77" s="11" t="s">
        <v>318</v>
      </c>
      <c r="E77" s="11" t="s">
        <v>649</v>
      </c>
      <c r="F77" s="450">
        <v>39624</v>
      </c>
      <c r="H77" s="36"/>
      <c r="I77" s="11" t="s">
        <v>1737</v>
      </c>
      <c r="J77" s="36"/>
      <c r="K77" s="36"/>
      <c r="L77" s="36"/>
    </row>
    <row r="78" spans="1:12" ht="14.25" customHeight="1" x14ac:dyDescent="0.2">
      <c r="A78" s="11" t="s">
        <v>1861</v>
      </c>
      <c r="B78" s="11" t="s">
        <v>475</v>
      </c>
      <c r="C78" s="11" t="s">
        <v>563</v>
      </c>
      <c r="D78" s="11" t="s">
        <v>315</v>
      </c>
      <c r="E78" s="11" t="s">
        <v>649</v>
      </c>
      <c r="F78" s="450">
        <v>39575</v>
      </c>
      <c r="H78" s="36"/>
      <c r="I78" s="11" t="s">
        <v>1738</v>
      </c>
      <c r="J78" s="36"/>
      <c r="K78" s="36"/>
      <c r="L78" s="36"/>
    </row>
    <row r="79" spans="1:12" ht="14.25" customHeight="1" x14ac:dyDescent="0.2">
      <c r="A79" s="11" t="s">
        <v>1862</v>
      </c>
      <c r="B79" s="11" t="s">
        <v>1570</v>
      </c>
      <c r="C79" s="11" t="s">
        <v>1571</v>
      </c>
      <c r="D79" s="11" t="s">
        <v>317</v>
      </c>
      <c r="E79" s="11" t="s">
        <v>649</v>
      </c>
      <c r="F79" s="450">
        <v>39506</v>
      </c>
      <c r="H79" s="36"/>
      <c r="I79" s="11" t="s">
        <v>1739</v>
      </c>
      <c r="J79" s="36"/>
      <c r="K79" s="36"/>
      <c r="L79" s="36"/>
    </row>
    <row r="80" spans="1:12" ht="14.25" customHeight="1" x14ac:dyDescent="0.2">
      <c r="A80" s="11" t="s">
        <v>1863</v>
      </c>
      <c r="B80" s="11" t="s">
        <v>707</v>
      </c>
      <c r="C80" s="11" t="s">
        <v>550</v>
      </c>
      <c r="D80" s="11" t="s">
        <v>318</v>
      </c>
      <c r="E80" s="11" t="s">
        <v>649</v>
      </c>
      <c r="F80" s="450">
        <v>39527</v>
      </c>
      <c r="H80" s="36"/>
      <c r="I80" s="11" t="s">
        <v>1740</v>
      </c>
      <c r="J80" s="36"/>
      <c r="K80" s="36"/>
      <c r="L80" s="36"/>
    </row>
    <row r="81" spans="1:12" ht="14.25" customHeight="1" x14ac:dyDescent="0.2">
      <c r="A81" s="11" t="s">
        <v>1864</v>
      </c>
      <c r="B81" s="11" t="s">
        <v>476</v>
      </c>
      <c r="C81" s="11" t="s">
        <v>618</v>
      </c>
      <c r="D81" s="11" t="s">
        <v>317</v>
      </c>
      <c r="E81" s="11" t="s">
        <v>649</v>
      </c>
      <c r="F81" s="450">
        <v>39584</v>
      </c>
      <c r="H81" s="36"/>
      <c r="I81" s="11" t="s">
        <v>1741</v>
      </c>
      <c r="J81" s="36"/>
      <c r="K81" s="36"/>
      <c r="L81" s="36"/>
    </row>
    <row r="82" spans="1:12" ht="14.25" customHeight="1" x14ac:dyDescent="0.2">
      <c r="A82" s="11" t="s">
        <v>1865</v>
      </c>
      <c r="B82" s="11" t="s">
        <v>477</v>
      </c>
      <c r="C82" s="11" t="s">
        <v>1210</v>
      </c>
      <c r="D82" s="11" t="s">
        <v>317</v>
      </c>
      <c r="E82" s="11" t="s">
        <v>649</v>
      </c>
      <c r="F82" s="450">
        <v>39553</v>
      </c>
      <c r="H82" s="36"/>
      <c r="I82" s="11" t="s">
        <v>1742</v>
      </c>
      <c r="J82" s="36"/>
      <c r="K82" s="36"/>
      <c r="L82" s="36"/>
    </row>
    <row r="83" spans="1:12" ht="14.25" customHeight="1" x14ac:dyDescent="0.2">
      <c r="A83" s="11" t="s">
        <v>1866</v>
      </c>
      <c r="B83" s="11" t="s">
        <v>1391</v>
      </c>
      <c r="C83" s="11" t="s">
        <v>1148</v>
      </c>
      <c r="D83" s="11" t="s">
        <v>318</v>
      </c>
      <c r="E83" s="11" t="s">
        <v>649</v>
      </c>
      <c r="F83" s="450">
        <v>39654</v>
      </c>
      <c r="H83" s="36"/>
      <c r="I83" s="11" t="s">
        <v>1743</v>
      </c>
      <c r="J83" s="36"/>
      <c r="K83" s="36"/>
      <c r="L83" s="36"/>
    </row>
    <row r="84" spans="1:12" ht="14.25" customHeight="1" x14ac:dyDescent="0.2">
      <c r="A84" s="11" t="s">
        <v>1867</v>
      </c>
      <c r="B84" s="11" t="s">
        <v>480</v>
      </c>
      <c r="C84" s="11" t="s">
        <v>566</v>
      </c>
      <c r="D84" s="11" t="s">
        <v>325</v>
      </c>
      <c r="E84" s="11" t="s">
        <v>649</v>
      </c>
      <c r="F84" s="450">
        <v>39703</v>
      </c>
      <c r="H84" s="36"/>
      <c r="I84" s="11" t="s">
        <v>1744</v>
      </c>
      <c r="J84" s="36"/>
      <c r="K84" s="36"/>
      <c r="L84" s="36"/>
    </row>
    <row r="85" spans="1:12" ht="14.25" customHeight="1" x14ac:dyDescent="0.2">
      <c r="A85" s="11" t="s">
        <v>1868</v>
      </c>
      <c r="B85" s="11" t="s">
        <v>1324</v>
      </c>
      <c r="C85" s="11" t="s">
        <v>1325</v>
      </c>
      <c r="D85" s="11" t="s">
        <v>323</v>
      </c>
      <c r="E85" s="11" t="s">
        <v>649</v>
      </c>
      <c r="F85" s="450">
        <v>39749</v>
      </c>
      <c r="H85" s="36"/>
      <c r="I85" s="555" t="s">
        <v>1745</v>
      </c>
      <c r="J85" s="36"/>
      <c r="K85" s="36"/>
      <c r="L85" s="36"/>
    </row>
    <row r="86" spans="1:12" ht="14.25" customHeight="1" x14ac:dyDescent="0.2">
      <c r="A86" s="11" t="s">
        <v>1869</v>
      </c>
      <c r="B86" s="11" t="s">
        <v>619</v>
      </c>
      <c r="C86" s="11" t="s">
        <v>567</v>
      </c>
      <c r="D86" s="11" t="s">
        <v>329</v>
      </c>
      <c r="E86" s="11" t="s">
        <v>649</v>
      </c>
      <c r="F86" s="450">
        <v>39757</v>
      </c>
      <c r="H86" s="36"/>
      <c r="I86" s="11" t="s">
        <v>1746</v>
      </c>
      <c r="J86" s="36"/>
      <c r="K86" s="36"/>
      <c r="L86" s="36"/>
    </row>
    <row r="87" spans="1:12" ht="14.25" customHeight="1" x14ac:dyDescent="0.2">
      <c r="A87" s="11" t="s">
        <v>1870</v>
      </c>
      <c r="B87" s="11" t="s">
        <v>482</v>
      </c>
      <c r="C87" s="11" t="s">
        <v>483</v>
      </c>
      <c r="D87" s="11" t="s">
        <v>317</v>
      </c>
      <c r="E87" s="11" t="s">
        <v>649</v>
      </c>
      <c r="F87" s="450">
        <v>39744</v>
      </c>
      <c r="H87" s="36"/>
      <c r="I87" s="11" t="s">
        <v>1747</v>
      </c>
      <c r="J87" s="36"/>
      <c r="K87" s="36"/>
      <c r="L87" s="36"/>
    </row>
    <row r="88" spans="1:12" ht="14.25" customHeight="1" x14ac:dyDescent="0.2">
      <c r="A88" s="11" t="s">
        <v>1871</v>
      </c>
      <c r="B88" s="11" t="s">
        <v>486</v>
      </c>
      <c r="C88" s="11" t="s">
        <v>710</v>
      </c>
      <c r="D88" s="11" t="s">
        <v>326</v>
      </c>
      <c r="E88" s="11" t="s">
        <v>649</v>
      </c>
      <c r="F88" s="450">
        <v>39717</v>
      </c>
      <c r="H88" s="36"/>
      <c r="I88" s="11" t="s">
        <v>1807</v>
      </c>
      <c r="J88" s="36"/>
      <c r="K88" s="36"/>
      <c r="L88" s="36"/>
    </row>
    <row r="89" spans="1:12" ht="14.25" customHeight="1" x14ac:dyDescent="0.2">
      <c r="A89" s="11" t="s">
        <v>1872</v>
      </c>
      <c r="B89" s="11" t="s">
        <v>620</v>
      </c>
      <c r="C89" s="11" t="s">
        <v>487</v>
      </c>
      <c r="D89" s="11" t="s">
        <v>318</v>
      </c>
      <c r="E89" s="11" t="s">
        <v>649</v>
      </c>
      <c r="F89" s="450">
        <v>39714</v>
      </c>
      <c r="H89" s="36"/>
      <c r="I89" s="11" t="s">
        <v>1748</v>
      </c>
      <c r="J89" s="36"/>
      <c r="K89" s="36"/>
      <c r="L89" s="36"/>
    </row>
    <row r="90" spans="1:12" ht="14.25" customHeight="1" x14ac:dyDescent="0.2">
      <c r="A90" s="11" t="s">
        <v>1873</v>
      </c>
      <c r="B90" s="11" t="s">
        <v>488</v>
      </c>
      <c r="C90" s="11" t="s">
        <v>270</v>
      </c>
      <c r="D90" s="11" t="s">
        <v>318</v>
      </c>
      <c r="E90" s="11" t="s">
        <v>649</v>
      </c>
      <c r="F90" s="450">
        <v>39751</v>
      </c>
      <c r="H90" s="36"/>
      <c r="I90" s="11" t="s">
        <v>1749</v>
      </c>
      <c r="J90" s="36"/>
      <c r="K90" s="36"/>
      <c r="L90" s="36"/>
    </row>
    <row r="91" spans="1:12" ht="14.25" customHeight="1" x14ac:dyDescent="0.2">
      <c r="A91" s="11" t="s">
        <v>1874</v>
      </c>
      <c r="B91" s="11" t="s">
        <v>489</v>
      </c>
      <c r="C91" s="11" t="s">
        <v>490</v>
      </c>
      <c r="D91" s="11" t="s">
        <v>318</v>
      </c>
      <c r="E91" s="11" t="s">
        <v>649</v>
      </c>
      <c r="F91" s="450">
        <v>39751</v>
      </c>
      <c r="H91" s="36"/>
      <c r="I91" s="11" t="s">
        <v>1750</v>
      </c>
      <c r="J91" s="36"/>
      <c r="K91" s="36"/>
      <c r="L91" s="36"/>
    </row>
    <row r="92" spans="1:12" ht="14.25" customHeight="1" x14ac:dyDescent="0.2">
      <c r="A92" s="11" t="s">
        <v>1875</v>
      </c>
      <c r="B92" s="11" t="s">
        <v>1580</v>
      </c>
      <c r="C92" s="11" t="s">
        <v>271</v>
      </c>
      <c r="D92" s="11" t="s">
        <v>317</v>
      </c>
      <c r="E92" s="11" t="s">
        <v>649</v>
      </c>
      <c r="F92" s="450">
        <v>39829</v>
      </c>
      <c r="H92" s="36"/>
      <c r="I92" s="11" t="s">
        <v>1751</v>
      </c>
      <c r="J92" s="36"/>
      <c r="K92" s="36"/>
      <c r="L92" s="36"/>
    </row>
    <row r="93" spans="1:12" ht="14.25" customHeight="1" x14ac:dyDescent="0.2">
      <c r="A93" s="11" t="s">
        <v>1876</v>
      </c>
      <c r="B93" s="11" t="s">
        <v>1211</v>
      </c>
      <c r="C93" s="11" t="s">
        <v>491</v>
      </c>
      <c r="D93" s="11" t="s">
        <v>318</v>
      </c>
      <c r="E93" s="11" t="s">
        <v>649</v>
      </c>
      <c r="F93" s="450">
        <v>39731</v>
      </c>
      <c r="H93" s="36"/>
      <c r="I93" s="11" t="s">
        <v>2103</v>
      </c>
      <c r="J93" s="36"/>
      <c r="K93" s="36"/>
      <c r="L93" s="36"/>
    </row>
    <row r="94" spans="1:12" ht="14.25" customHeight="1" x14ac:dyDescent="0.2">
      <c r="A94" s="11" t="s">
        <v>1877</v>
      </c>
      <c r="B94" s="11" t="s">
        <v>493</v>
      </c>
      <c r="C94" s="11" t="s">
        <v>494</v>
      </c>
      <c r="D94" s="11" t="s">
        <v>327</v>
      </c>
      <c r="E94" s="11" t="s">
        <v>649</v>
      </c>
      <c r="F94" s="450">
        <v>39836</v>
      </c>
      <c r="H94" s="36"/>
      <c r="I94" s="11" t="s">
        <v>1752</v>
      </c>
      <c r="J94" s="36"/>
      <c r="K94" s="36"/>
      <c r="L94" s="36"/>
    </row>
    <row r="95" spans="1:12" ht="14.25" customHeight="1" x14ac:dyDescent="0.2">
      <c r="A95" s="11" t="s">
        <v>1878</v>
      </c>
      <c r="B95" s="11" t="s">
        <v>1392</v>
      </c>
      <c r="C95" s="11" t="s">
        <v>1327</v>
      </c>
      <c r="D95" s="11" t="s">
        <v>323</v>
      </c>
      <c r="E95" s="11" t="s">
        <v>649</v>
      </c>
      <c r="F95" s="450">
        <v>39759</v>
      </c>
      <c r="H95" s="36"/>
      <c r="I95" s="11" t="s">
        <v>1753</v>
      </c>
      <c r="J95" s="36"/>
      <c r="K95" s="36"/>
      <c r="L95" s="36"/>
    </row>
    <row r="96" spans="1:12" ht="14.25" customHeight="1" x14ac:dyDescent="0.2">
      <c r="A96" s="11" t="s">
        <v>1879</v>
      </c>
      <c r="B96" s="11" t="s">
        <v>495</v>
      </c>
      <c r="C96" s="11" t="s">
        <v>1880</v>
      </c>
      <c r="D96" s="11" t="s">
        <v>323</v>
      </c>
      <c r="E96" s="11" t="s">
        <v>649</v>
      </c>
      <c r="F96" s="450">
        <v>39780</v>
      </c>
      <c r="H96" s="36"/>
      <c r="I96" s="11" t="s">
        <v>1801</v>
      </c>
      <c r="J96" s="36"/>
      <c r="K96" s="36"/>
      <c r="L96" s="36"/>
    </row>
    <row r="97" spans="1:12" ht="14.25" customHeight="1" x14ac:dyDescent="0.2">
      <c r="A97" s="11" t="s">
        <v>1881</v>
      </c>
      <c r="B97" s="11" t="s">
        <v>622</v>
      </c>
      <c r="C97" s="11" t="s">
        <v>623</v>
      </c>
      <c r="D97" s="11" t="s">
        <v>323</v>
      </c>
      <c r="E97" s="11" t="s">
        <v>649</v>
      </c>
      <c r="F97" s="450">
        <v>39758</v>
      </c>
      <c r="H97" s="36"/>
      <c r="I97" s="11" t="s">
        <v>2104</v>
      </c>
      <c r="J97" s="36"/>
      <c r="K97" s="36"/>
      <c r="L97" s="36"/>
    </row>
    <row r="98" spans="1:12" ht="14.25" customHeight="1" x14ac:dyDescent="0.2">
      <c r="A98" s="11" t="s">
        <v>1882</v>
      </c>
      <c r="B98" s="11" t="s">
        <v>1328</v>
      </c>
      <c r="C98" s="11" t="s">
        <v>1329</v>
      </c>
      <c r="D98" s="11" t="s">
        <v>319</v>
      </c>
      <c r="E98" s="11" t="s">
        <v>649</v>
      </c>
      <c r="F98" s="450">
        <v>39791</v>
      </c>
      <c r="H98" s="36"/>
      <c r="I98" s="11" t="s">
        <v>1754</v>
      </c>
      <c r="J98" s="36"/>
      <c r="K98" s="36"/>
      <c r="L98" s="36"/>
    </row>
    <row r="99" spans="1:12" ht="14.25" customHeight="1" x14ac:dyDescent="0.2">
      <c r="A99" s="11" t="s">
        <v>1883</v>
      </c>
      <c r="B99" s="11" t="s">
        <v>497</v>
      </c>
      <c r="C99" s="11" t="s">
        <v>713</v>
      </c>
      <c r="D99" s="11" t="s">
        <v>323</v>
      </c>
      <c r="E99" s="11" t="s">
        <v>649</v>
      </c>
      <c r="F99" s="450">
        <v>39945</v>
      </c>
      <c r="H99" s="36"/>
      <c r="I99" s="11" t="s">
        <v>1755</v>
      </c>
      <c r="J99" s="36"/>
      <c r="K99" s="36"/>
      <c r="L99" s="36"/>
    </row>
    <row r="100" spans="1:12" ht="14.25" customHeight="1" x14ac:dyDescent="0.2">
      <c r="A100" s="11" t="s">
        <v>1884</v>
      </c>
      <c r="B100" s="11" t="s">
        <v>498</v>
      </c>
      <c r="C100" s="11" t="s">
        <v>657</v>
      </c>
      <c r="D100" s="11" t="s">
        <v>327</v>
      </c>
      <c r="E100" s="11" t="s">
        <v>649</v>
      </c>
      <c r="F100" s="450">
        <v>39833</v>
      </c>
      <c r="H100" s="36"/>
      <c r="I100" s="11" t="s">
        <v>2105</v>
      </c>
      <c r="J100" s="36"/>
      <c r="K100" s="36"/>
      <c r="L100" s="36"/>
    </row>
    <row r="101" spans="1:12" ht="14.25" customHeight="1" x14ac:dyDescent="0.2">
      <c r="A101" s="11" t="s">
        <v>1885</v>
      </c>
      <c r="B101" s="11" t="s">
        <v>1886</v>
      </c>
      <c r="C101" s="11" t="s">
        <v>499</v>
      </c>
      <c r="D101" s="11" t="s">
        <v>324</v>
      </c>
      <c r="E101" s="11" t="s">
        <v>649</v>
      </c>
      <c r="F101" s="450">
        <v>39836</v>
      </c>
      <c r="H101" s="36"/>
      <c r="I101" s="11" t="s">
        <v>1802</v>
      </c>
      <c r="J101" s="36"/>
      <c r="K101" s="36"/>
      <c r="L101" s="36"/>
    </row>
    <row r="102" spans="1:12" ht="14.25" customHeight="1" x14ac:dyDescent="0.2">
      <c r="A102" s="11" t="s">
        <v>1887</v>
      </c>
      <c r="B102" s="11" t="s">
        <v>501</v>
      </c>
      <c r="C102" s="11" t="s">
        <v>415</v>
      </c>
      <c r="D102" s="11" t="s">
        <v>322</v>
      </c>
      <c r="E102" s="11" t="s">
        <v>649</v>
      </c>
      <c r="F102" s="450">
        <v>39857</v>
      </c>
      <c r="H102" s="36"/>
      <c r="I102" s="11" t="s">
        <v>1756</v>
      </c>
      <c r="J102" s="36"/>
      <c r="K102" s="36"/>
      <c r="L102" s="36"/>
    </row>
    <row r="103" spans="1:12" ht="14.25" customHeight="1" x14ac:dyDescent="0.2">
      <c r="A103" s="11" t="s">
        <v>1888</v>
      </c>
      <c r="B103" s="11" t="s">
        <v>502</v>
      </c>
      <c r="C103" s="11" t="s">
        <v>503</v>
      </c>
      <c r="D103" s="11" t="s">
        <v>323</v>
      </c>
      <c r="E103" s="11" t="s">
        <v>649</v>
      </c>
      <c r="F103" s="450">
        <v>39910</v>
      </c>
      <c r="H103" s="36"/>
      <c r="I103" s="11" t="s">
        <v>1757</v>
      </c>
      <c r="J103" s="36"/>
      <c r="K103" s="36"/>
      <c r="L103" s="36"/>
    </row>
    <row r="104" spans="1:12" ht="14.25" customHeight="1" x14ac:dyDescent="0.2">
      <c r="A104" s="11" t="s">
        <v>1889</v>
      </c>
      <c r="B104" s="11" t="s">
        <v>504</v>
      </c>
      <c r="C104" s="11" t="s">
        <v>505</v>
      </c>
      <c r="D104" s="11" t="s">
        <v>326</v>
      </c>
      <c r="E104" s="11" t="s">
        <v>649</v>
      </c>
      <c r="F104" s="450">
        <v>39871</v>
      </c>
      <c r="H104" s="36"/>
      <c r="I104" s="11" t="s">
        <v>2106</v>
      </c>
      <c r="J104" s="36"/>
      <c r="K104" s="36"/>
      <c r="L104" s="36"/>
    </row>
    <row r="105" spans="1:12" ht="14.25" customHeight="1" x14ac:dyDescent="0.2">
      <c r="A105" s="11" t="s">
        <v>1890</v>
      </c>
      <c r="B105" s="11" t="s">
        <v>1587</v>
      </c>
      <c r="C105" s="11" t="s">
        <v>1252</v>
      </c>
      <c r="D105" s="11" t="s">
        <v>326</v>
      </c>
      <c r="E105" s="11" t="s">
        <v>649</v>
      </c>
      <c r="F105" s="450">
        <v>39868</v>
      </c>
      <c r="H105" s="36"/>
      <c r="I105" s="11" t="s">
        <v>1758</v>
      </c>
      <c r="J105" s="36"/>
      <c r="K105" s="36"/>
      <c r="L105" s="36"/>
    </row>
    <row r="106" spans="1:12" ht="14.25" customHeight="1" x14ac:dyDescent="0.2">
      <c r="A106" s="11" t="s">
        <v>1891</v>
      </c>
      <c r="B106" s="11" t="s">
        <v>510</v>
      </c>
      <c r="C106" s="11" t="s">
        <v>511</v>
      </c>
      <c r="D106" s="11" t="s">
        <v>326</v>
      </c>
      <c r="E106" s="11" t="s">
        <v>649</v>
      </c>
      <c r="F106" s="450">
        <v>39906</v>
      </c>
      <c r="H106" s="36"/>
      <c r="I106" s="11" t="s">
        <v>1759</v>
      </c>
      <c r="J106" s="36"/>
      <c r="K106" s="36"/>
      <c r="L106" s="36"/>
    </row>
    <row r="107" spans="1:12" ht="14.25" customHeight="1" x14ac:dyDescent="0.2">
      <c r="A107" s="11" t="s">
        <v>1892</v>
      </c>
      <c r="B107" s="11" t="s">
        <v>568</v>
      </c>
      <c r="C107" s="11" t="s">
        <v>513</v>
      </c>
      <c r="D107" s="11" t="s">
        <v>323</v>
      </c>
      <c r="E107" s="11" t="s">
        <v>649</v>
      </c>
      <c r="F107" s="450">
        <v>39945</v>
      </c>
      <c r="H107" s="36"/>
      <c r="I107" s="11" t="s">
        <v>1760</v>
      </c>
      <c r="J107" s="36"/>
      <c r="K107" s="36"/>
      <c r="L107" s="36"/>
    </row>
    <row r="108" spans="1:12" ht="14.25" customHeight="1" x14ac:dyDescent="0.2">
      <c r="A108" s="11" t="s">
        <v>1893</v>
      </c>
      <c r="B108" s="11" t="s">
        <v>514</v>
      </c>
      <c r="C108" s="11" t="s">
        <v>660</v>
      </c>
      <c r="D108" s="11" t="s">
        <v>326</v>
      </c>
      <c r="E108" s="11" t="s">
        <v>649</v>
      </c>
      <c r="F108" s="450">
        <v>39983</v>
      </c>
      <c r="H108" s="36"/>
      <c r="I108" s="11" t="s">
        <v>1761</v>
      </c>
      <c r="J108" s="36"/>
      <c r="K108" s="36"/>
      <c r="L108" s="36"/>
    </row>
    <row r="109" spans="1:12" ht="14.25" customHeight="1" x14ac:dyDescent="0.2">
      <c r="A109" s="11" t="s">
        <v>1894</v>
      </c>
      <c r="B109" s="11" t="s">
        <v>1442</v>
      </c>
      <c r="C109" s="11" t="s">
        <v>1443</v>
      </c>
      <c r="D109" s="11" t="s">
        <v>319</v>
      </c>
      <c r="E109" s="11" t="s">
        <v>649</v>
      </c>
      <c r="F109" s="450">
        <v>44950</v>
      </c>
      <c r="H109" s="36"/>
      <c r="I109" s="11" t="s">
        <v>1762</v>
      </c>
      <c r="J109" s="36"/>
      <c r="K109" s="36"/>
      <c r="L109" s="36"/>
    </row>
    <row r="110" spans="1:12" ht="14.25" customHeight="1" x14ac:dyDescent="0.2">
      <c r="A110" s="11" t="s">
        <v>1895</v>
      </c>
      <c r="B110" s="11" t="s">
        <v>515</v>
      </c>
      <c r="C110" s="11" t="s">
        <v>661</v>
      </c>
      <c r="D110" s="11" t="s">
        <v>326</v>
      </c>
      <c r="E110" s="11" t="s">
        <v>649</v>
      </c>
      <c r="F110" s="450">
        <v>40164</v>
      </c>
      <c r="H110" s="36"/>
      <c r="I110" s="11" t="s">
        <v>1763</v>
      </c>
      <c r="J110" s="36"/>
      <c r="K110" s="36"/>
      <c r="L110" s="36"/>
    </row>
    <row r="111" spans="1:12" ht="14.25" customHeight="1" x14ac:dyDescent="0.2">
      <c r="A111" s="11" t="s">
        <v>1896</v>
      </c>
      <c r="B111" s="11" t="s">
        <v>1212</v>
      </c>
      <c r="C111" s="11" t="s">
        <v>1213</v>
      </c>
      <c r="D111" s="11" t="s">
        <v>326</v>
      </c>
      <c r="E111" s="11" t="s">
        <v>649</v>
      </c>
      <c r="F111" s="450">
        <v>40050</v>
      </c>
      <c r="H111" s="36"/>
      <c r="I111" s="11" t="s">
        <v>1764</v>
      </c>
      <c r="J111" s="36"/>
      <c r="K111" s="36"/>
      <c r="L111" s="36"/>
    </row>
    <row r="112" spans="1:12" ht="14.25" customHeight="1" x14ac:dyDescent="0.2">
      <c r="A112" s="11" t="s">
        <v>1897</v>
      </c>
      <c r="B112" s="11" t="s">
        <v>516</v>
      </c>
      <c r="C112" s="11" t="s">
        <v>517</v>
      </c>
      <c r="D112" s="11" t="s">
        <v>320</v>
      </c>
      <c r="E112" s="11" t="s">
        <v>649</v>
      </c>
      <c r="F112" s="450">
        <v>40008</v>
      </c>
      <c r="H112" s="36"/>
      <c r="I112" s="11" t="s">
        <v>2107</v>
      </c>
      <c r="J112" s="36"/>
      <c r="K112" s="36"/>
      <c r="L112" s="36"/>
    </row>
    <row r="113" spans="1:12" ht="14.25" customHeight="1" x14ac:dyDescent="0.2">
      <c r="A113" s="11" t="s">
        <v>1898</v>
      </c>
      <c r="B113" s="11" t="s">
        <v>1226</v>
      </c>
      <c r="C113" s="11" t="s">
        <v>1393</v>
      </c>
      <c r="D113" s="11" t="s">
        <v>317</v>
      </c>
      <c r="E113" s="11" t="s">
        <v>649</v>
      </c>
      <c r="F113" s="450">
        <v>39944</v>
      </c>
      <c r="H113" s="36"/>
      <c r="I113" s="11" t="s">
        <v>1765</v>
      </c>
      <c r="J113" s="36"/>
      <c r="K113" s="36"/>
      <c r="L113" s="36"/>
    </row>
    <row r="114" spans="1:12" ht="14.25" customHeight="1" x14ac:dyDescent="0.2">
      <c r="A114" s="11" t="s">
        <v>1899</v>
      </c>
      <c r="B114" s="11" t="s">
        <v>522</v>
      </c>
      <c r="C114" s="11" t="s">
        <v>1446</v>
      </c>
      <c r="D114" s="11" t="s">
        <v>318</v>
      </c>
      <c r="E114" s="11" t="s">
        <v>649</v>
      </c>
      <c r="F114" s="450">
        <v>40128</v>
      </c>
      <c r="H114" s="36"/>
      <c r="I114" s="11" t="s">
        <v>1766</v>
      </c>
      <c r="J114" s="36"/>
      <c r="K114" s="36"/>
      <c r="L114" s="36"/>
    </row>
    <row r="115" spans="1:12" ht="14.25" customHeight="1" x14ac:dyDescent="0.2">
      <c r="A115" s="11" t="s">
        <v>1900</v>
      </c>
      <c r="B115" s="11" t="s">
        <v>523</v>
      </c>
      <c r="C115" s="11" t="s">
        <v>570</v>
      </c>
      <c r="D115" s="11" t="s">
        <v>325</v>
      </c>
      <c r="E115" s="11" t="s">
        <v>649</v>
      </c>
      <c r="F115" s="450">
        <v>40065</v>
      </c>
      <c r="H115" s="36"/>
      <c r="I115" s="11" t="s">
        <v>1767</v>
      </c>
      <c r="J115" s="36"/>
      <c r="K115" s="36"/>
      <c r="L115" s="36"/>
    </row>
    <row r="116" spans="1:12" ht="14.25" customHeight="1" x14ac:dyDescent="0.2">
      <c r="A116" s="11" t="s">
        <v>1901</v>
      </c>
      <c r="B116" s="11" t="s">
        <v>526</v>
      </c>
      <c r="C116" s="11" t="s">
        <v>624</v>
      </c>
      <c r="D116" s="11" t="s">
        <v>326</v>
      </c>
      <c r="E116" s="11" t="s">
        <v>649</v>
      </c>
      <c r="F116" s="450">
        <v>40071</v>
      </c>
      <c r="H116" s="36"/>
      <c r="I116" s="11" t="s">
        <v>2108</v>
      </c>
      <c r="J116" s="36"/>
      <c r="K116" s="36"/>
      <c r="L116" s="36"/>
    </row>
    <row r="117" spans="1:12" ht="14.25" customHeight="1" x14ac:dyDescent="0.2">
      <c r="A117" s="11" t="s">
        <v>1902</v>
      </c>
      <c r="B117" s="11" t="s">
        <v>530</v>
      </c>
      <c r="C117" s="11" t="s">
        <v>664</v>
      </c>
      <c r="D117" s="11" t="s">
        <v>327</v>
      </c>
      <c r="E117" s="11" t="s">
        <v>649</v>
      </c>
      <c r="F117" s="450">
        <v>40127</v>
      </c>
      <c r="H117" s="36"/>
      <c r="I117" s="11" t="s">
        <v>2109</v>
      </c>
      <c r="J117" s="36"/>
      <c r="K117" s="36"/>
      <c r="L117" s="36"/>
    </row>
    <row r="118" spans="1:12" ht="14.25" customHeight="1" x14ac:dyDescent="0.2">
      <c r="A118" s="11" t="s">
        <v>1903</v>
      </c>
      <c r="B118" s="11" t="s">
        <v>533</v>
      </c>
      <c r="C118" s="11" t="s">
        <v>1332</v>
      </c>
      <c r="D118" s="11" t="s">
        <v>317</v>
      </c>
      <c r="E118" s="11" t="s">
        <v>649</v>
      </c>
      <c r="F118" s="450">
        <v>40149</v>
      </c>
      <c r="H118" s="36"/>
      <c r="I118" s="11" t="s">
        <v>1768</v>
      </c>
      <c r="J118" s="36"/>
      <c r="K118" s="36"/>
      <c r="L118" s="36"/>
    </row>
    <row r="119" spans="1:12" x14ac:dyDescent="0.2">
      <c r="A119" s="353" t="s">
        <v>1904</v>
      </c>
      <c r="B119" s="353" t="s">
        <v>536</v>
      </c>
      <c r="C119" s="353" t="s">
        <v>625</v>
      </c>
      <c r="D119" s="353" t="s">
        <v>318</v>
      </c>
      <c r="E119" s="11" t="s">
        <v>649</v>
      </c>
      <c r="F119" s="450">
        <v>40127</v>
      </c>
      <c r="H119" s="256"/>
      <c r="I119" s="11" t="s">
        <v>2110</v>
      </c>
      <c r="J119" s="256"/>
      <c r="K119" s="256"/>
      <c r="L119" s="11"/>
    </row>
    <row r="120" spans="1:12" x14ac:dyDescent="0.2">
      <c r="A120" s="353" t="s">
        <v>1905</v>
      </c>
      <c r="B120" s="353" t="s">
        <v>665</v>
      </c>
      <c r="C120" s="353" t="s">
        <v>539</v>
      </c>
      <c r="D120" s="353" t="s">
        <v>327</v>
      </c>
      <c r="E120" s="11" t="s">
        <v>649</v>
      </c>
      <c r="F120" s="450">
        <v>40221</v>
      </c>
      <c r="H120" s="256"/>
      <c r="I120" s="11" t="s">
        <v>1769</v>
      </c>
      <c r="J120" s="256"/>
      <c r="K120" s="256"/>
      <c r="L120" s="11"/>
    </row>
    <row r="121" spans="1:12" x14ac:dyDescent="0.2">
      <c r="A121" s="353" t="s">
        <v>1906</v>
      </c>
      <c r="B121" s="353" t="s">
        <v>1395</v>
      </c>
      <c r="C121" s="353" t="s">
        <v>1396</v>
      </c>
      <c r="D121" s="353" t="s">
        <v>318</v>
      </c>
      <c r="E121" s="11" t="s">
        <v>649</v>
      </c>
      <c r="F121" s="450">
        <v>40256</v>
      </c>
      <c r="H121" s="256"/>
      <c r="I121" s="11" t="s">
        <v>1770</v>
      </c>
      <c r="J121" s="256"/>
      <c r="K121" s="256"/>
      <c r="L121" s="11"/>
    </row>
    <row r="122" spans="1:12" x14ac:dyDescent="0.2">
      <c r="A122" s="353" t="s">
        <v>1907</v>
      </c>
      <c r="B122" s="353" t="s">
        <v>1255</v>
      </c>
      <c r="C122" s="353" t="s">
        <v>1256</v>
      </c>
      <c r="D122" s="353" t="s">
        <v>315</v>
      </c>
      <c r="E122" s="11" t="s">
        <v>649</v>
      </c>
      <c r="F122" s="450">
        <v>40246</v>
      </c>
      <c r="H122" s="256"/>
      <c r="I122" s="11" t="s">
        <v>2111</v>
      </c>
      <c r="J122" s="256"/>
      <c r="K122" s="256"/>
      <c r="L122" s="11"/>
    </row>
    <row r="123" spans="1:12" x14ac:dyDescent="0.2">
      <c r="A123" s="353" t="s">
        <v>1908</v>
      </c>
      <c r="B123" s="353" t="s">
        <v>1909</v>
      </c>
      <c r="C123" s="353" t="s">
        <v>1608</v>
      </c>
      <c r="D123" s="353" t="s">
        <v>317</v>
      </c>
      <c r="E123" s="11" t="s">
        <v>649</v>
      </c>
      <c r="F123" s="450">
        <v>40242</v>
      </c>
      <c r="H123" s="256"/>
      <c r="I123" s="11" t="s">
        <v>1771</v>
      </c>
      <c r="J123" s="256"/>
      <c r="K123" s="256"/>
      <c r="L123" s="11"/>
    </row>
    <row r="124" spans="1:12" x14ac:dyDescent="0.2">
      <c r="A124" s="353" t="s">
        <v>1910</v>
      </c>
      <c r="B124" s="353" t="s">
        <v>666</v>
      </c>
      <c r="C124" s="353" t="s">
        <v>1257</v>
      </c>
      <c r="D124" s="353" t="s">
        <v>319</v>
      </c>
      <c r="E124" s="11" t="s">
        <v>649</v>
      </c>
      <c r="F124" s="450">
        <v>40295</v>
      </c>
      <c r="H124" s="256"/>
      <c r="I124" s="11" t="s">
        <v>2112</v>
      </c>
      <c r="J124" s="256"/>
      <c r="K124" s="256"/>
      <c r="L124" s="11"/>
    </row>
    <row r="125" spans="1:12" x14ac:dyDescent="0.2">
      <c r="A125" s="353" t="s">
        <v>1911</v>
      </c>
      <c r="B125" s="353" t="s">
        <v>2</v>
      </c>
      <c r="C125" s="353" t="s">
        <v>667</v>
      </c>
      <c r="D125" s="353" t="s">
        <v>318</v>
      </c>
      <c r="E125" s="11" t="s">
        <v>649</v>
      </c>
      <c r="F125" s="450">
        <v>40241</v>
      </c>
      <c r="H125" s="256"/>
      <c r="I125" s="11" t="s">
        <v>1808</v>
      </c>
      <c r="J125" s="256"/>
      <c r="K125" s="256"/>
      <c r="L125" s="11"/>
    </row>
    <row r="126" spans="1:12" x14ac:dyDescent="0.2">
      <c r="A126" s="353" t="s">
        <v>1912</v>
      </c>
      <c r="B126" s="353" t="s">
        <v>571</v>
      </c>
      <c r="C126" s="353" t="s">
        <v>572</v>
      </c>
      <c r="D126" s="353" t="s">
        <v>326</v>
      </c>
      <c r="E126" s="11" t="s">
        <v>649</v>
      </c>
      <c r="F126" s="450">
        <v>40254</v>
      </c>
      <c r="H126" s="256"/>
      <c r="I126" s="11" t="s">
        <v>1809</v>
      </c>
      <c r="J126" s="256"/>
      <c r="K126" s="256"/>
      <c r="L126" s="11"/>
    </row>
    <row r="127" spans="1:12" x14ac:dyDescent="0.2">
      <c r="A127" s="353" t="s">
        <v>1913</v>
      </c>
      <c r="B127" s="353" t="s">
        <v>1447</v>
      </c>
      <c r="C127" s="353" t="s">
        <v>1448</v>
      </c>
      <c r="D127" s="353" t="s">
        <v>326</v>
      </c>
      <c r="E127" s="11" t="s">
        <v>649</v>
      </c>
      <c r="F127" s="450">
        <v>40261</v>
      </c>
      <c r="H127" s="256"/>
      <c r="I127" s="11" t="s">
        <v>1772</v>
      </c>
      <c r="J127" s="256"/>
      <c r="K127" s="256"/>
      <c r="L127" s="11"/>
    </row>
    <row r="128" spans="1:12" x14ac:dyDescent="0.2">
      <c r="A128" s="353" t="s">
        <v>1914</v>
      </c>
      <c r="B128" s="353" t="s">
        <v>7</v>
      </c>
      <c r="C128" s="353" t="s">
        <v>715</v>
      </c>
      <c r="D128" s="353" t="s">
        <v>325</v>
      </c>
      <c r="E128" s="11" t="s">
        <v>649</v>
      </c>
      <c r="F128" s="450">
        <v>40309</v>
      </c>
      <c r="H128" s="256"/>
      <c r="I128" s="11" t="s">
        <v>1773</v>
      </c>
      <c r="J128" s="256"/>
      <c r="K128" s="256"/>
      <c r="L128" s="11"/>
    </row>
    <row r="129" spans="1:12" x14ac:dyDescent="0.2">
      <c r="A129" s="353" t="s">
        <v>1915</v>
      </c>
      <c r="B129" s="353" t="s">
        <v>8</v>
      </c>
      <c r="C129" s="353" t="s">
        <v>410</v>
      </c>
      <c r="D129" s="353" t="s">
        <v>319</v>
      </c>
      <c r="E129" s="11" t="s">
        <v>649</v>
      </c>
      <c r="F129" s="450">
        <v>40305</v>
      </c>
      <c r="H129" s="256"/>
      <c r="I129" s="11" t="s">
        <v>1774</v>
      </c>
      <c r="J129" s="256"/>
      <c r="K129" s="256"/>
      <c r="L129" s="11"/>
    </row>
    <row r="130" spans="1:12" x14ac:dyDescent="0.2">
      <c r="A130" s="353" t="s">
        <v>1916</v>
      </c>
      <c r="B130" s="353" t="s">
        <v>1258</v>
      </c>
      <c r="C130" s="353" t="s">
        <v>1214</v>
      </c>
      <c r="D130" s="353" t="s">
        <v>318</v>
      </c>
      <c r="E130" s="11" t="s">
        <v>649</v>
      </c>
      <c r="F130" s="450">
        <v>40344</v>
      </c>
      <c r="H130" s="256"/>
      <c r="I130" s="11" t="s">
        <v>1803</v>
      </c>
      <c r="J130" s="256"/>
      <c r="K130" s="256"/>
      <c r="L130" s="11"/>
    </row>
    <row r="131" spans="1:12" x14ac:dyDescent="0.2">
      <c r="A131" s="353" t="s">
        <v>1917</v>
      </c>
      <c r="B131" s="353" t="s">
        <v>9</v>
      </c>
      <c r="C131" s="353" t="s">
        <v>414</v>
      </c>
      <c r="D131" s="353" t="s">
        <v>317</v>
      </c>
      <c r="E131" s="11" t="s">
        <v>649</v>
      </c>
      <c r="F131" s="450">
        <v>40296</v>
      </c>
      <c r="H131" s="256"/>
      <c r="I131" s="11" t="s">
        <v>2113</v>
      </c>
      <c r="J131" s="256"/>
      <c r="K131" s="256"/>
      <c r="L131" s="11"/>
    </row>
    <row r="132" spans="1:12" x14ac:dyDescent="0.2">
      <c r="A132" s="353" t="s">
        <v>1918</v>
      </c>
      <c r="B132" s="353" t="s">
        <v>718</v>
      </c>
      <c r="C132" s="353" t="s">
        <v>719</v>
      </c>
      <c r="D132" s="353" t="s">
        <v>325</v>
      </c>
      <c r="E132" s="11" t="s">
        <v>649</v>
      </c>
      <c r="F132" s="450">
        <v>40358</v>
      </c>
      <c r="H132" s="256"/>
      <c r="I132" s="11" t="s">
        <v>1775</v>
      </c>
      <c r="J132" s="256"/>
      <c r="K132" s="256"/>
      <c r="L132" s="11"/>
    </row>
    <row r="133" spans="1:12" x14ac:dyDescent="0.2">
      <c r="A133" s="353" t="s">
        <v>1919</v>
      </c>
      <c r="B133" s="353" t="s">
        <v>14</v>
      </c>
      <c r="C133" s="353" t="s">
        <v>15</v>
      </c>
      <c r="D133" s="353" t="s">
        <v>325</v>
      </c>
      <c r="E133" s="11" t="s">
        <v>649</v>
      </c>
      <c r="F133" s="450">
        <v>40456</v>
      </c>
      <c r="H133" s="256"/>
      <c r="I133" s="11" t="s">
        <v>1776</v>
      </c>
      <c r="J133" s="256"/>
      <c r="K133" s="256"/>
      <c r="L133" s="11"/>
    </row>
    <row r="134" spans="1:12" x14ac:dyDescent="0.2">
      <c r="A134" s="353" t="s">
        <v>1920</v>
      </c>
      <c r="B134" s="353" t="s">
        <v>1921</v>
      </c>
      <c r="C134" s="353" t="s">
        <v>1619</v>
      </c>
      <c r="D134" s="353" t="s">
        <v>320</v>
      </c>
      <c r="E134" s="11" t="s">
        <v>649</v>
      </c>
      <c r="F134" s="450">
        <v>40431</v>
      </c>
      <c r="H134" s="256"/>
      <c r="I134" s="11" t="s">
        <v>2114</v>
      </c>
      <c r="J134" s="256"/>
      <c r="K134" s="256"/>
      <c r="L134" s="11"/>
    </row>
    <row r="135" spans="1:12" x14ac:dyDescent="0.2">
      <c r="A135" s="353" t="s">
        <v>1922</v>
      </c>
      <c r="B135" s="353" t="s">
        <v>18</v>
      </c>
      <c r="C135" s="353" t="s">
        <v>409</v>
      </c>
      <c r="D135" s="353" t="s">
        <v>318</v>
      </c>
      <c r="E135" s="11" t="s">
        <v>649</v>
      </c>
      <c r="F135" s="450">
        <v>40506</v>
      </c>
      <c r="H135" s="256"/>
      <c r="I135" s="11" t="s">
        <v>2115</v>
      </c>
      <c r="J135" s="256"/>
      <c r="K135" s="256"/>
      <c r="L135" s="11"/>
    </row>
    <row r="136" spans="1:12" x14ac:dyDescent="0.2">
      <c r="A136" s="353" t="s">
        <v>1923</v>
      </c>
      <c r="B136" s="353" t="s">
        <v>1450</v>
      </c>
      <c r="C136" s="353" t="s">
        <v>19</v>
      </c>
      <c r="D136" s="353" t="s">
        <v>326</v>
      </c>
      <c r="E136" s="11" t="s">
        <v>649</v>
      </c>
      <c r="F136" s="450">
        <v>40575</v>
      </c>
      <c r="H136" s="256"/>
      <c r="I136" s="11" t="s">
        <v>1777</v>
      </c>
      <c r="J136" s="256"/>
      <c r="K136" s="256"/>
      <c r="L136" s="11"/>
    </row>
    <row r="137" spans="1:12" x14ac:dyDescent="0.2">
      <c r="A137" s="353" t="s">
        <v>1924</v>
      </c>
      <c r="B137" s="353" t="s">
        <v>1259</v>
      </c>
      <c r="C137" s="353" t="s">
        <v>20</v>
      </c>
      <c r="D137" s="353" t="s">
        <v>326</v>
      </c>
      <c r="E137" s="11" t="s">
        <v>649</v>
      </c>
      <c r="F137" s="450">
        <v>40578</v>
      </c>
      <c r="H137" s="256"/>
      <c r="I137" s="11" t="s">
        <v>1778</v>
      </c>
      <c r="J137" s="256"/>
      <c r="K137" s="256"/>
      <c r="L137" s="11"/>
    </row>
    <row r="138" spans="1:12" x14ac:dyDescent="0.2">
      <c r="A138" s="353" t="s">
        <v>1925</v>
      </c>
      <c r="B138" s="353" t="s">
        <v>21</v>
      </c>
      <c r="C138" s="353" t="s">
        <v>22</v>
      </c>
      <c r="D138" s="353" t="s">
        <v>325</v>
      </c>
      <c r="E138" s="11" t="s">
        <v>649</v>
      </c>
      <c r="F138" s="450">
        <v>40624</v>
      </c>
      <c r="H138" s="256"/>
      <c r="I138" s="11" t="s">
        <v>1779</v>
      </c>
      <c r="J138" s="256"/>
      <c r="K138" s="256"/>
      <c r="L138" s="11"/>
    </row>
    <row r="139" spans="1:12" x14ac:dyDescent="0.2">
      <c r="A139" s="353" t="s">
        <v>1926</v>
      </c>
      <c r="B139" s="353" t="s">
        <v>23</v>
      </c>
      <c r="C139" s="353" t="s">
        <v>24</v>
      </c>
      <c r="D139" s="353" t="s">
        <v>319</v>
      </c>
      <c r="E139" s="11" t="s">
        <v>649</v>
      </c>
      <c r="F139" s="450">
        <v>40515</v>
      </c>
      <c r="H139" s="256"/>
      <c r="I139" s="11" t="s">
        <v>1780</v>
      </c>
      <c r="J139" s="256"/>
      <c r="K139" s="256"/>
      <c r="L139" s="11"/>
    </row>
    <row r="140" spans="1:12" x14ac:dyDescent="0.2">
      <c r="A140" s="353" t="s">
        <v>1927</v>
      </c>
      <c r="B140" s="353" t="s">
        <v>577</v>
      </c>
      <c r="C140" s="353" t="s">
        <v>578</v>
      </c>
      <c r="D140" s="353" t="s">
        <v>325</v>
      </c>
      <c r="E140" s="11" t="s">
        <v>649</v>
      </c>
      <c r="F140" s="450">
        <v>40526</v>
      </c>
      <c r="H140" s="256"/>
      <c r="I140" s="11" t="s">
        <v>1781</v>
      </c>
      <c r="J140" s="256"/>
      <c r="K140" s="256"/>
      <c r="L140" s="11"/>
    </row>
    <row r="141" spans="1:12" x14ac:dyDescent="0.2">
      <c r="A141" s="353" t="s">
        <v>1928</v>
      </c>
      <c r="B141" s="353" t="s">
        <v>27</v>
      </c>
      <c r="C141" s="353" t="s">
        <v>1453</v>
      </c>
      <c r="D141" s="353" t="s">
        <v>318</v>
      </c>
      <c r="E141" s="11" t="s">
        <v>649</v>
      </c>
      <c r="F141" s="450">
        <v>40529</v>
      </c>
      <c r="H141" s="256"/>
      <c r="I141" s="11" t="s">
        <v>1782</v>
      </c>
      <c r="J141" s="256"/>
      <c r="K141" s="256"/>
      <c r="L141" s="11"/>
    </row>
    <row r="142" spans="1:12" x14ac:dyDescent="0.2">
      <c r="A142" s="353" t="s">
        <v>1929</v>
      </c>
      <c r="B142" s="353" t="s">
        <v>29</v>
      </c>
      <c r="C142" s="353" t="s">
        <v>30</v>
      </c>
      <c r="D142" s="353" t="s">
        <v>332</v>
      </c>
      <c r="E142" s="11" t="s">
        <v>332</v>
      </c>
      <c r="F142" s="450">
        <v>40688</v>
      </c>
      <c r="H142" s="256"/>
      <c r="I142" s="11" t="s">
        <v>2116</v>
      </c>
      <c r="J142" s="256"/>
      <c r="K142" s="256"/>
      <c r="L142" s="11"/>
    </row>
    <row r="143" spans="1:12" x14ac:dyDescent="0.2">
      <c r="A143" s="353" t="s">
        <v>1930</v>
      </c>
      <c r="B143" s="353" t="s">
        <v>1333</v>
      </c>
      <c r="C143" s="353" t="s">
        <v>1169</v>
      </c>
      <c r="D143" s="353" t="s">
        <v>67</v>
      </c>
      <c r="E143" s="11" t="s">
        <v>67</v>
      </c>
      <c r="F143" s="450">
        <v>40641</v>
      </c>
      <c r="H143" s="256"/>
      <c r="I143" s="11" t="s">
        <v>1783</v>
      </c>
      <c r="J143" s="256"/>
      <c r="K143" s="256"/>
      <c r="L143" s="11"/>
    </row>
    <row r="144" spans="1:12" x14ac:dyDescent="0.2">
      <c r="A144" s="353" t="s">
        <v>1931</v>
      </c>
      <c r="B144" s="353" t="s">
        <v>31</v>
      </c>
      <c r="C144" s="353" t="s">
        <v>32</v>
      </c>
      <c r="D144" s="353" t="s">
        <v>329</v>
      </c>
      <c r="E144" s="11" t="s">
        <v>649</v>
      </c>
      <c r="F144" s="450">
        <v>40654</v>
      </c>
      <c r="H144" s="256"/>
      <c r="I144" s="11" t="s">
        <v>1784</v>
      </c>
      <c r="J144" s="256"/>
      <c r="K144" s="256"/>
      <c r="L144" s="11"/>
    </row>
    <row r="145" spans="1:12" x14ac:dyDescent="0.2">
      <c r="A145" s="353" t="s">
        <v>1932</v>
      </c>
      <c r="B145" s="353" t="s">
        <v>1215</v>
      </c>
      <c r="C145" s="353" t="s">
        <v>1216</v>
      </c>
      <c r="D145" s="353" t="s">
        <v>326</v>
      </c>
      <c r="E145" s="11" t="s">
        <v>649</v>
      </c>
      <c r="F145" s="450">
        <v>42668</v>
      </c>
      <c r="H145" s="256"/>
      <c r="I145" s="11" t="s">
        <v>1785</v>
      </c>
      <c r="J145" s="256"/>
      <c r="K145" s="256"/>
      <c r="L145" s="11"/>
    </row>
    <row r="146" spans="1:12" x14ac:dyDescent="0.2">
      <c r="A146" s="353" t="s">
        <v>1933</v>
      </c>
      <c r="B146" s="353" t="s">
        <v>1626</v>
      </c>
      <c r="C146" s="353" t="s">
        <v>1627</v>
      </c>
      <c r="D146" s="353" t="s">
        <v>320</v>
      </c>
      <c r="E146" s="11" t="s">
        <v>649</v>
      </c>
      <c r="F146" s="450">
        <v>40620</v>
      </c>
      <c r="H146" s="257"/>
      <c r="I146" s="4" t="s">
        <v>1786</v>
      </c>
      <c r="J146" s="257"/>
      <c r="K146" s="257"/>
      <c r="L146" s="4"/>
    </row>
    <row r="147" spans="1:12" x14ac:dyDescent="0.2">
      <c r="A147" s="353" t="s">
        <v>1934</v>
      </c>
      <c r="B147" s="353" t="s">
        <v>33</v>
      </c>
      <c r="C147" s="353" t="s">
        <v>722</v>
      </c>
      <c r="D147" s="353" t="s">
        <v>325</v>
      </c>
      <c r="E147" s="11" t="s">
        <v>649</v>
      </c>
      <c r="F147" s="450">
        <v>40626</v>
      </c>
      <c r="H147" s="256"/>
      <c r="I147" s="11" t="s">
        <v>2117</v>
      </c>
      <c r="J147" s="256"/>
      <c r="K147" s="256"/>
      <c r="L147" s="11"/>
    </row>
    <row r="148" spans="1:12" x14ac:dyDescent="0.2">
      <c r="A148" s="353" t="s">
        <v>1935</v>
      </c>
      <c r="B148" s="353" t="s">
        <v>34</v>
      </c>
      <c r="C148" s="353" t="s">
        <v>35</v>
      </c>
      <c r="D148" s="353" t="s">
        <v>318</v>
      </c>
      <c r="E148" s="11" t="s">
        <v>649</v>
      </c>
      <c r="F148" s="450">
        <v>40690</v>
      </c>
      <c r="H148" s="256"/>
      <c r="I148" s="11" t="s">
        <v>2118</v>
      </c>
      <c r="J148" s="256"/>
      <c r="K148" s="256"/>
      <c r="L148" s="11"/>
    </row>
    <row r="149" spans="1:12" x14ac:dyDescent="0.2">
      <c r="A149" s="353" t="s">
        <v>1936</v>
      </c>
      <c r="B149" s="353" t="s">
        <v>36</v>
      </c>
      <c r="C149" s="353" t="s">
        <v>37</v>
      </c>
      <c r="D149" s="353" t="s">
        <v>325</v>
      </c>
      <c r="E149" s="11" t="s">
        <v>649</v>
      </c>
      <c r="F149" s="450">
        <v>40634</v>
      </c>
      <c r="H149" s="256"/>
      <c r="I149" s="11" t="s">
        <v>1787</v>
      </c>
      <c r="J149" s="256"/>
      <c r="K149" s="256"/>
      <c r="L149" s="11"/>
    </row>
    <row r="150" spans="1:12" x14ac:dyDescent="0.2">
      <c r="A150" s="353" t="s">
        <v>1937</v>
      </c>
      <c r="B150" s="353" t="s">
        <v>38</v>
      </c>
      <c r="C150" s="353" t="s">
        <v>39</v>
      </c>
      <c r="D150" s="353" t="s">
        <v>325</v>
      </c>
      <c r="E150" s="11" t="s">
        <v>649</v>
      </c>
      <c r="F150" s="450">
        <v>40718</v>
      </c>
      <c r="H150" s="256"/>
      <c r="I150" s="11" t="s">
        <v>2119</v>
      </c>
      <c r="J150" s="256"/>
      <c r="K150" s="256"/>
      <c r="L150" s="11"/>
    </row>
    <row r="151" spans="1:12" x14ac:dyDescent="0.2">
      <c r="A151" s="353" t="s">
        <v>1938</v>
      </c>
      <c r="B151" s="353" t="s">
        <v>40</v>
      </c>
      <c r="C151" s="353" t="s">
        <v>413</v>
      </c>
      <c r="D151" s="353" t="s">
        <v>317</v>
      </c>
      <c r="E151" s="11" t="s">
        <v>649</v>
      </c>
      <c r="F151" s="450">
        <v>40823</v>
      </c>
      <c r="H151" s="256"/>
      <c r="I151" s="11" t="s">
        <v>1804</v>
      </c>
      <c r="J151" s="256"/>
      <c r="K151" s="256"/>
      <c r="L151" s="11"/>
    </row>
    <row r="152" spans="1:12" x14ac:dyDescent="0.2">
      <c r="A152" s="353" t="s">
        <v>1939</v>
      </c>
      <c r="B152" s="353" t="s">
        <v>627</v>
      </c>
      <c r="C152" s="353" t="s">
        <v>628</v>
      </c>
      <c r="D152" s="353" t="s">
        <v>317</v>
      </c>
      <c r="E152" s="11" t="s">
        <v>649</v>
      </c>
      <c r="F152" s="450">
        <v>40694</v>
      </c>
      <c r="H152" s="256"/>
      <c r="I152" s="11" t="s">
        <v>1788</v>
      </c>
      <c r="J152" s="256"/>
      <c r="K152" s="256"/>
      <c r="L152" s="11"/>
    </row>
    <row r="153" spans="1:12" x14ac:dyDescent="0.2">
      <c r="A153" s="353" t="s">
        <v>1940</v>
      </c>
      <c r="B153" s="353" t="s">
        <v>41</v>
      </c>
      <c r="C153" s="353" t="s">
        <v>1217</v>
      </c>
      <c r="D153" s="353" t="s">
        <v>315</v>
      </c>
      <c r="E153" s="11" t="s">
        <v>649</v>
      </c>
      <c r="F153" s="450">
        <v>40687</v>
      </c>
      <c r="H153" s="256"/>
      <c r="I153" s="11" t="s">
        <v>1810</v>
      </c>
      <c r="J153" s="256"/>
      <c r="K153" s="256"/>
      <c r="L153" s="11"/>
    </row>
    <row r="154" spans="1:12" x14ac:dyDescent="0.2">
      <c r="A154" s="353" t="s">
        <v>1941</v>
      </c>
      <c r="B154" s="353" t="s">
        <v>42</v>
      </c>
      <c r="C154" s="353" t="s">
        <v>1260</v>
      </c>
      <c r="D154" s="353" t="s">
        <v>329</v>
      </c>
      <c r="E154" s="11" t="s">
        <v>649</v>
      </c>
      <c r="F154" s="450">
        <v>40795</v>
      </c>
      <c r="H154" s="256"/>
      <c r="I154" s="11" t="s">
        <v>1789</v>
      </c>
      <c r="J154" s="256"/>
      <c r="K154" s="256"/>
      <c r="L154" s="11"/>
    </row>
    <row r="155" spans="1:12" x14ac:dyDescent="0.2">
      <c r="A155" s="353" t="s">
        <v>1942</v>
      </c>
      <c r="B155" s="353" t="s">
        <v>1943</v>
      </c>
      <c r="C155" s="353" t="s">
        <v>1944</v>
      </c>
      <c r="D155" s="353" t="s">
        <v>326</v>
      </c>
      <c r="E155" s="11" t="s">
        <v>649</v>
      </c>
      <c r="F155" s="450">
        <v>41943</v>
      </c>
      <c r="H155" s="256"/>
      <c r="I155" s="11" t="s">
        <v>1790</v>
      </c>
      <c r="J155" s="256"/>
      <c r="K155" s="256"/>
      <c r="L155" s="11"/>
    </row>
    <row r="156" spans="1:12" x14ac:dyDescent="0.2">
      <c r="A156" s="353" t="s">
        <v>1945</v>
      </c>
      <c r="B156" s="353" t="s">
        <v>45</v>
      </c>
      <c r="C156" s="353" t="s">
        <v>723</v>
      </c>
      <c r="D156" s="353" t="s">
        <v>329</v>
      </c>
      <c r="E156" s="11" t="s">
        <v>649</v>
      </c>
      <c r="F156" s="450">
        <v>40778</v>
      </c>
      <c r="H156" s="256"/>
      <c r="I156" s="11" t="s">
        <v>1805</v>
      </c>
      <c r="J156" s="256"/>
      <c r="K156" s="256"/>
      <c r="L156" s="11"/>
    </row>
    <row r="157" spans="1:12" x14ac:dyDescent="0.2">
      <c r="A157" s="353" t="s">
        <v>1946</v>
      </c>
      <c r="B157" s="353" t="s">
        <v>1334</v>
      </c>
      <c r="C157" s="353" t="s">
        <v>1335</v>
      </c>
      <c r="D157" s="353" t="s">
        <v>323</v>
      </c>
      <c r="E157" s="11" t="s">
        <v>649</v>
      </c>
      <c r="F157" s="450">
        <v>40814</v>
      </c>
      <c r="H157" s="256"/>
      <c r="I157" s="11" t="s">
        <v>2120</v>
      </c>
      <c r="J157" s="256"/>
      <c r="K157" s="256"/>
      <c r="L157" s="11"/>
    </row>
    <row r="158" spans="1:12" x14ac:dyDescent="0.2">
      <c r="A158" s="353" t="s">
        <v>1947</v>
      </c>
      <c r="B158" s="353" t="s">
        <v>1633</v>
      </c>
      <c r="C158" s="353" t="s">
        <v>1634</v>
      </c>
      <c r="D158" s="353" t="s">
        <v>317</v>
      </c>
      <c r="E158" s="11" t="s">
        <v>649</v>
      </c>
      <c r="F158" s="450">
        <v>40897</v>
      </c>
      <c r="H158" s="256"/>
      <c r="I158" s="11" t="s">
        <v>2121</v>
      </c>
      <c r="J158" s="256"/>
      <c r="K158" s="256"/>
      <c r="L158" s="11"/>
    </row>
    <row r="159" spans="1:12" x14ac:dyDescent="0.2">
      <c r="A159" s="353" t="s">
        <v>1948</v>
      </c>
      <c r="B159" s="353" t="s">
        <v>46</v>
      </c>
      <c r="C159" s="353" t="s">
        <v>47</v>
      </c>
      <c r="D159" s="353" t="s">
        <v>326</v>
      </c>
      <c r="E159" s="11" t="s">
        <v>649</v>
      </c>
      <c r="F159" s="450">
        <v>40897</v>
      </c>
      <c r="H159" s="256"/>
      <c r="I159" s="11" t="s">
        <v>2122</v>
      </c>
      <c r="J159" s="256"/>
      <c r="K159" s="256"/>
      <c r="L159" s="11"/>
    </row>
    <row r="160" spans="1:12" x14ac:dyDescent="0.2">
      <c r="A160" s="353" t="s">
        <v>1949</v>
      </c>
      <c r="B160" s="353" t="s">
        <v>629</v>
      </c>
      <c r="C160" s="353" t="s">
        <v>579</v>
      </c>
      <c r="D160" s="353" t="s">
        <v>324</v>
      </c>
      <c r="E160" s="11" t="s">
        <v>649</v>
      </c>
      <c r="F160" s="450">
        <v>40850</v>
      </c>
      <c r="H160" s="256"/>
      <c r="I160" s="11" t="s">
        <v>1791</v>
      </c>
      <c r="J160" s="256"/>
      <c r="K160" s="256"/>
      <c r="L160" s="11"/>
    </row>
    <row r="161" spans="1:12" x14ac:dyDescent="0.2">
      <c r="A161" s="353" t="s">
        <v>1950</v>
      </c>
      <c r="B161" s="353" t="s">
        <v>48</v>
      </c>
      <c r="C161" s="353" t="s">
        <v>1456</v>
      </c>
      <c r="D161" s="353" t="s">
        <v>326</v>
      </c>
      <c r="E161" s="11" t="s">
        <v>649</v>
      </c>
      <c r="F161" s="450">
        <v>40982</v>
      </c>
      <c r="H161" s="256"/>
      <c r="I161" s="11" t="s">
        <v>1792</v>
      </c>
      <c r="J161" s="256"/>
      <c r="K161" s="256"/>
      <c r="L161" s="11"/>
    </row>
    <row r="162" spans="1:12" x14ac:dyDescent="0.2">
      <c r="A162" s="353" t="s">
        <v>1951</v>
      </c>
      <c r="B162" s="353" t="s">
        <v>61</v>
      </c>
      <c r="C162" s="353" t="s">
        <v>1952</v>
      </c>
      <c r="D162" s="353" t="s">
        <v>318</v>
      </c>
      <c r="E162" s="11" t="s">
        <v>649</v>
      </c>
      <c r="F162" s="450">
        <v>41180</v>
      </c>
      <c r="H162" s="256"/>
      <c r="I162" s="11" t="s">
        <v>1793</v>
      </c>
      <c r="J162" s="256"/>
      <c r="K162" s="256"/>
      <c r="L162" s="11"/>
    </row>
    <row r="163" spans="1:12" x14ac:dyDescent="0.2">
      <c r="A163" s="353" t="s">
        <v>1953</v>
      </c>
      <c r="B163" s="353" t="s">
        <v>49</v>
      </c>
      <c r="C163" s="353" t="s">
        <v>50</v>
      </c>
      <c r="D163" s="353" t="s">
        <v>332</v>
      </c>
      <c r="E163" s="11" t="s">
        <v>332</v>
      </c>
      <c r="F163" s="450">
        <v>41075</v>
      </c>
      <c r="H163" s="256"/>
      <c r="I163" s="11" t="s">
        <v>1794</v>
      </c>
      <c r="J163" s="256"/>
      <c r="K163" s="256"/>
      <c r="L163" s="11"/>
    </row>
    <row r="164" spans="1:12" x14ac:dyDescent="0.2">
      <c r="A164" s="353" t="s">
        <v>1954</v>
      </c>
      <c r="B164" s="353" t="s">
        <v>51</v>
      </c>
      <c r="C164" s="353" t="s">
        <v>1150</v>
      </c>
      <c r="D164" s="353" t="s">
        <v>319</v>
      </c>
      <c r="E164" s="11" t="s">
        <v>649</v>
      </c>
      <c r="F164" s="450">
        <v>41072</v>
      </c>
      <c r="H164" s="256"/>
      <c r="I164" s="11"/>
      <c r="J164" s="256"/>
      <c r="K164" s="256"/>
      <c r="L164" s="11"/>
    </row>
    <row r="165" spans="1:12" x14ac:dyDescent="0.2">
      <c r="A165" s="353" t="s">
        <v>1955</v>
      </c>
      <c r="B165" s="353" t="s">
        <v>53</v>
      </c>
      <c r="C165" s="353" t="s">
        <v>54</v>
      </c>
      <c r="D165" s="353" t="s">
        <v>325</v>
      </c>
      <c r="E165" s="11" t="s">
        <v>649</v>
      </c>
      <c r="F165" s="450">
        <v>41023</v>
      </c>
      <c r="H165" s="256"/>
      <c r="I165" s="11"/>
      <c r="J165" s="256"/>
      <c r="K165" s="256"/>
      <c r="L165" s="11"/>
    </row>
    <row r="166" spans="1:12" x14ac:dyDescent="0.2">
      <c r="A166" s="353" t="s">
        <v>1956</v>
      </c>
      <c r="B166" s="353" t="s">
        <v>57</v>
      </c>
      <c r="C166" s="353" t="s">
        <v>58</v>
      </c>
      <c r="D166" s="353" t="s">
        <v>326</v>
      </c>
      <c r="E166" s="11" t="s">
        <v>649</v>
      </c>
      <c r="F166" s="450">
        <v>41079</v>
      </c>
      <c r="H166" s="256"/>
      <c r="I166" s="11"/>
      <c r="J166" s="256"/>
      <c r="K166" s="256"/>
      <c r="L166" s="11"/>
    </row>
    <row r="167" spans="1:12" x14ac:dyDescent="0.2">
      <c r="A167" s="353" t="s">
        <v>1957</v>
      </c>
      <c r="B167" s="353" t="s">
        <v>59</v>
      </c>
      <c r="C167" s="353" t="s">
        <v>60</v>
      </c>
      <c r="D167" s="353" t="s">
        <v>331</v>
      </c>
      <c r="E167" s="11" t="s">
        <v>649</v>
      </c>
      <c r="F167" s="450">
        <v>41093</v>
      </c>
      <c r="H167" s="256"/>
      <c r="I167" s="11"/>
      <c r="J167" s="256"/>
      <c r="K167" s="256"/>
      <c r="L167" s="11"/>
    </row>
    <row r="168" spans="1:12" x14ac:dyDescent="0.2">
      <c r="A168" s="353" t="s">
        <v>1958</v>
      </c>
      <c r="B168" s="353" t="s">
        <v>1170</v>
      </c>
      <c r="C168" s="353" t="s">
        <v>1171</v>
      </c>
      <c r="D168" s="353" t="s">
        <v>324</v>
      </c>
      <c r="E168" s="11" t="s">
        <v>649</v>
      </c>
      <c r="F168" s="450">
        <v>41220</v>
      </c>
      <c r="H168" s="256"/>
      <c r="I168" s="11"/>
      <c r="J168" s="256"/>
      <c r="K168" s="256"/>
      <c r="L168" s="11"/>
    </row>
    <row r="169" spans="1:12" x14ac:dyDescent="0.2">
      <c r="A169" s="353" t="s">
        <v>1959</v>
      </c>
      <c r="B169" s="353" t="s">
        <v>546</v>
      </c>
      <c r="C169" s="353" t="s">
        <v>62</v>
      </c>
      <c r="D169" s="353" t="s">
        <v>325</v>
      </c>
      <c r="E169" s="11" t="s">
        <v>649</v>
      </c>
      <c r="F169" s="450">
        <v>41240</v>
      </c>
      <c r="H169" s="256"/>
      <c r="I169" s="11"/>
      <c r="J169" s="256"/>
      <c r="K169" s="256"/>
      <c r="L169" s="11"/>
    </row>
    <row r="170" spans="1:12" x14ac:dyDescent="0.2">
      <c r="A170" s="353" t="s">
        <v>1960</v>
      </c>
      <c r="B170" s="353" t="s">
        <v>64</v>
      </c>
      <c r="C170" s="353" t="s">
        <v>65</v>
      </c>
      <c r="D170" s="353" t="s">
        <v>323</v>
      </c>
      <c r="E170" s="11" t="s">
        <v>649</v>
      </c>
      <c r="F170" s="450">
        <v>41233</v>
      </c>
      <c r="H170" s="256"/>
      <c r="I170" s="11"/>
      <c r="J170" s="256"/>
      <c r="K170" s="256"/>
      <c r="L170" s="11"/>
    </row>
    <row r="171" spans="1:12" x14ac:dyDescent="0.2">
      <c r="A171" s="353" t="s">
        <v>1961</v>
      </c>
      <c r="B171" s="353" t="s">
        <v>1962</v>
      </c>
      <c r="C171" s="353" t="s">
        <v>724</v>
      </c>
      <c r="D171" s="353" t="s">
        <v>326</v>
      </c>
      <c r="E171" s="11" t="s">
        <v>649</v>
      </c>
      <c r="F171" s="450">
        <v>41254</v>
      </c>
      <c r="H171" s="256"/>
      <c r="I171" s="11"/>
      <c r="J171" s="256"/>
      <c r="K171" s="256"/>
      <c r="L171" s="11"/>
    </row>
    <row r="172" spans="1:12" x14ac:dyDescent="0.2">
      <c r="A172" s="353" t="s">
        <v>1963</v>
      </c>
      <c r="B172" s="353" t="s">
        <v>219</v>
      </c>
      <c r="C172" s="353" t="s">
        <v>220</v>
      </c>
      <c r="D172" s="353" t="s">
        <v>67</v>
      </c>
      <c r="E172" s="11" t="s">
        <v>67</v>
      </c>
      <c r="F172" s="450">
        <v>41471</v>
      </c>
      <c r="H172" s="256"/>
      <c r="I172" s="11"/>
      <c r="J172" s="256"/>
      <c r="K172" s="256"/>
      <c r="L172" s="11"/>
    </row>
    <row r="173" spans="1:12" x14ac:dyDescent="0.2">
      <c r="A173" s="353" t="s">
        <v>1964</v>
      </c>
      <c r="B173" s="353" t="s">
        <v>248</v>
      </c>
      <c r="C173" s="353" t="s">
        <v>670</v>
      </c>
      <c r="D173" s="353" t="s">
        <v>318</v>
      </c>
      <c r="E173" s="11" t="s">
        <v>649</v>
      </c>
      <c r="F173" s="450">
        <v>41374</v>
      </c>
      <c r="H173" s="256"/>
      <c r="I173" s="11"/>
      <c r="J173" s="256"/>
      <c r="K173" s="256"/>
      <c r="L173" s="11"/>
    </row>
    <row r="174" spans="1:12" x14ac:dyDescent="0.2">
      <c r="A174" s="353" t="s">
        <v>1965</v>
      </c>
      <c r="B174" s="353" t="s">
        <v>222</v>
      </c>
      <c r="C174" s="353" t="s">
        <v>223</v>
      </c>
      <c r="D174" s="353" t="s">
        <v>324</v>
      </c>
      <c r="E174" s="11" t="s">
        <v>649</v>
      </c>
      <c r="F174" s="450">
        <v>41373</v>
      </c>
      <c r="H174" s="256"/>
      <c r="I174" s="11"/>
      <c r="J174" s="256"/>
      <c r="K174" s="256"/>
      <c r="L174" s="11"/>
    </row>
    <row r="175" spans="1:12" x14ac:dyDescent="0.2">
      <c r="A175" s="353" t="s">
        <v>1966</v>
      </c>
      <c r="B175" s="353" t="s">
        <v>224</v>
      </c>
      <c r="C175" s="353" t="s">
        <v>630</v>
      </c>
      <c r="D175" s="353" t="s">
        <v>315</v>
      </c>
      <c r="E175" s="11" t="s">
        <v>649</v>
      </c>
      <c r="F175" s="450">
        <v>41541</v>
      </c>
      <c r="H175" s="256"/>
      <c r="I175" s="11"/>
      <c r="J175" s="256"/>
      <c r="K175" s="256"/>
      <c r="L175" s="11"/>
    </row>
    <row r="176" spans="1:12" x14ac:dyDescent="0.2">
      <c r="A176" s="353" t="s">
        <v>1967</v>
      </c>
      <c r="B176" s="353" t="s">
        <v>726</v>
      </c>
      <c r="C176" s="353" t="s">
        <v>249</v>
      </c>
      <c r="D176" s="353" t="s">
        <v>332</v>
      </c>
      <c r="E176" s="11" t="s">
        <v>332</v>
      </c>
      <c r="F176" s="450">
        <v>42604</v>
      </c>
      <c r="H176" s="256"/>
      <c r="I176" s="11"/>
      <c r="J176" s="256"/>
      <c r="K176" s="256"/>
      <c r="L176" s="11"/>
    </row>
    <row r="177" spans="1:12" x14ac:dyDescent="0.2">
      <c r="A177" s="353" t="s">
        <v>1968</v>
      </c>
      <c r="B177" s="353" t="s">
        <v>1969</v>
      </c>
      <c r="C177" s="353" t="s">
        <v>1970</v>
      </c>
      <c r="D177" s="353" t="s">
        <v>318</v>
      </c>
      <c r="E177" s="11" t="s">
        <v>649</v>
      </c>
      <c r="F177" s="450">
        <v>41565</v>
      </c>
      <c r="H177" s="256"/>
      <c r="I177" s="11"/>
      <c r="J177" s="256"/>
      <c r="K177" s="256"/>
      <c r="L177" s="11"/>
    </row>
    <row r="178" spans="1:12" x14ac:dyDescent="0.2">
      <c r="A178" s="353" t="s">
        <v>1971</v>
      </c>
      <c r="B178" s="353" t="s">
        <v>1340</v>
      </c>
      <c r="C178" s="353" t="s">
        <v>263</v>
      </c>
      <c r="D178" s="353" t="s">
        <v>329</v>
      </c>
      <c r="E178" s="11" t="s">
        <v>649</v>
      </c>
      <c r="F178" s="450">
        <v>41730</v>
      </c>
      <c r="H178" s="256"/>
      <c r="I178" s="11"/>
      <c r="J178" s="256"/>
      <c r="K178" s="256"/>
      <c r="L178" s="11"/>
    </row>
    <row r="179" spans="1:12" x14ac:dyDescent="0.2">
      <c r="A179" s="353" t="s">
        <v>1972</v>
      </c>
      <c r="B179" s="353" t="s">
        <v>582</v>
      </c>
      <c r="C179" s="353" t="s">
        <v>444</v>
      </c>
      <c r="D179" s="353" t="s">
        <v>325</v>
      </c>
      <c r="E179" s="11" t="s">
        <v>649</v>
      </c>
      <c r="F179" s="450">
        <v>41730</v>
      </c>
      <c r="H179" s="256"/>
      <c r="I179" s="11"/>
      <c r="J179" s="256"/>
      <c r="K179" s="256"/>
      <c r="L179" s="11"/>
    </row>
    <row r="180" spans="1:12" x14ac:dyDescent="0.2">
      <c r="A180" s="353" t="s">
        <v>1973</v>
      </c>
      <c r="B180" s="353" t="s">
        <v>541</v>
      </c>
      <c r="C180" s="353" t="s">
        <v>542</v>
      </c>
      <c r="D180" s="353" t="s">
        <v>322</v>
      </c>
      <c r="E180" s="11" t="s">
        <v>649</v>
      </c>
      <c r="F180" s="450">
        <v>41809</v>
      </c>
      <c r="H180" s="256"/>
      <c r="I180" s="11"/>
      <c r="J180" s="256"/>
      <c r="K180" s="256"/>
      <c r="L180" s="11"/>
    </row>
    <row r="181" spans="1:12" x14ac:dyDescent="0.2">
      <c r="A181" s="353" t="s">
        <v>1974</v>
      </c>
      <c r="B181" s="353" t="s">
        <v>1341</v>
      </c>
      <c r="C181" s="353" t="s">
        <v>543</v>
      </c>
      <c r="D181" s="353" t="s">
        <v>331</v>
      </c>
      <c r="E181" s="11" t="s">
        <v>649</v>
      </c>
      <c r="F181" s="450">
        <v>41709</v>
      </c>
      <c r="H181" s="256"/>
      <c r="I181" s="11"/>
      <c r="J181" s="256"/>
      <c r="K181" s="256"/>
      <c r="L181" s="11"/>
    </row>
    <row r="182" spans="1:12" x14ac:dyDescent="0.2">
      <c r="A182" s="353" t="s">
        <v>1975</v>
      </c>
      <c r="B182" s="353" t="s">
        <v>1400</v>
      </c>
      <c r="C182" s="353" t="s">
        <v>1401</v>
      </c>
      <c r="D182" s="353" t="s">
        <v>325</v>
      </c>
      <c r="E182" s="11" t="s">
        <v>649</v>
      </c>
      <c r="F182" s="450">
        <v>41765</v>
      </c>
      <c r="H182" s="256"/>
      <c r="I182" s="11"/>
      <c r="J182" s="256"/>
      <c r="K182" s="256"/>
      <c r="L182" s="11"/>
    </row>
    <row r="183" spans="1:12" x14ac:dyDescent="0.2">
      <c r="A183" s="353" t="s">
        <v>1976</v>
      </c>
      <c r="B183" s="353" t="s">
        <v>583</v>
      </c>
      <c r="C183" s="353" t="s">
        <v>633</v>
      </c>
      <c r="D183" s="353" t="s">
        <v>321</v>
      </c>
      <c r="E183" s="11" t="s">
        <v>649</v>
      </c>
      <c r="F183" s="450">
        <v>41779</v>
      </c>
      <c r="H183" s="256"/>
      <c r="I183" s="11"/>
      <c r="J183" s="256"/>
      <c r="K183" s="256"/>
      <c r="L183" s="11"/>
    </row>
    <row r="184" spans="1:12" x14ac:dyDescent="0.2">
      <c r="A184" s="353" t="s">
        <v>1977</v>
      </c>
      <c r="B184" s="353" t="s">
        <v>586</v>
      </c>
      <c r="C184" s="353" t="s">
        <v>587</v>
      </c>
      <c r="D184" s="353" t="s">
        <v>331</v>
      </c>
      <c r="E184" s="11" t="s">
        <v>649</v>
      </c>
      <c r="F184" s="450">
        <v>41828</v>
      </c>
      <c r="H184" s="256"/>
      <c r="I184" s="11"/>
      <c r="J184" s="256"/>
      <c r="K184" s="256"/>
      <c r="L184" s="11"/>
    </row>
    <row r="185" spans="1:12" x14ac:dyDescent="0.2">
      <c r="A185" s="353" t="s">
        <v>1978</v>
      </c>
      <c r="B185" s="353" t="s">
        <v>1342</v>
      </c>
      <c r="C185" s="353" t="s">
        <v>588</v>
      </c>
      <c r="D185" s="353" t="s">
        <v>318</v>
      </c>
      <c r="E185" s="11" t="s">
        <v>649</v>
      </c>
      <c r="F185" s="450">
        <v>41887</v>
      </c>
      <c r="H185" s="256"/>
      <c r="I185" s="11"/>
      <c r="J185" s="256"/>
      <c r="K185" s="256"/>
      <c r="L185" s="11"/>
    </row>
    <row r="186" spans="1:12" x14ac:dyDescent="0.2">
      <c r="A186" s="353" t="s">
        <v>1979</v>
      </c>
      <c r="B186" s="353" t="s">
        <v>589</v>
      </c>
      <c r="C186" s="353" t="s">
        <v>590</v>
      </c>
      <c r="D186" s="353" t="s">
        <v>332</v>
      </c>
      <c r="E186" s="11" t="s">
        <v>332</v>
      </c>
      <c r="F186" s="450">
        <v>41954</v>
      </c>
      <c r="H186" s="256"/>
      <c r="I186" s="11"/>
      <c r="J186" s="256"/>
      <c r="K186" s="256"/>
      <c r="L186" s="11"/>
    </row>
    <row r="187" spans="1:12" x14ac:dyDescent="0.2">
      <c r="A187" s="353" t="s">
        <v>1980</v>
      </c>
      <c r="B187" s="353" t="s">
        <v>1263</v>
      </c>
      <c r="C187" s="353" t="s">
        <v>1264</v>
      </c>
      <c r="D187" s="353" t="s">
        <v>325</v>
      </c>
      <c r="E187" s="11" t="s">
        <v>649</v>
      </c>
      <c r="F187" s="450">
        <v>41989</v>
      </c>
      <c r="H187" s="256"/>
      <c r="I187" s="11"/>
      <c r="J187" s="256"/>
      <c r="K187" s="256"/>
      <c r="L187" s="11"/>
    </row>
    <row r="188" spans="1:12" x14ac:dyDescent="0.2">
      <c r="A188" s="353" t="s">
        <v>1981</v>
      </c>
      <c r="B188" s="353" t="s">
        <v>1458</v>
      </c>
      <c r="C188" s="353" t="s">
        <v>1459</v>
      </c>
      <c r="D188" s="353" t="s">
        <v>326</v>
      </c>
      <c r="E188" s="11" t="s">
        <v>649</v>
      </c>
      <c r="F188" s="450">
        <v>45090</v>
      </c>
      <c r="H188" s="256"/>
      <c r="I188" s="11"/>
      <c r="J188" s="256"/>
      <c r="K188" s="256"/>
      <c r="L188" s="11"/>
    </row>
    <row r="189" spans="1:12" x14ac:dyDescent="0.2">
      <c r="A189" s="353" t="s">
        <v>1982</v>
      </c>
      <c r="B189" s="353" t="s">
        <v>591</v>
      </c>
      <c r="C189" s="353" t="s">
        <v>592</v>
      </c>
      <c r="D189" s="353" t="s">
        <v>329</v>
      </c>
      <c r="E189" s="11" t="s">
        <v>649</v>
      </c>
      <c r="F189" s="450">
        <v>41971</v>
      </c>
      <c r="H189" s="256"/>
      <c r="I189" s="11"/>
      <c r="J189" s="256"/>
      <c r="K189" s="256"/>
      <c r="L189" s="11"/>
    </row>
    <row r="190" spans="1:12" x14ac:dyDescent="0.2">
      <c r="A190" s="353" t="s">
        <v>1983</v>
      </c>
      <c r="B190" s="353" t="s">
        <v>604</v>
      </c>
      <c r="C190" s="353" t="s">
        <v>1404</v>
      </c>
      <c r="D190" s="353" t="s">
        <v>332</v>
      </c>
      <c r="E190" s="11" t="s">
        <v>332</v>
      </c>
      <c r="F190" s="450">
        <v>41935</v>
      </c>
      <c r="H190" s="256"/>
      <c r="I190" s="11"/>
      <c r="J190" s="256"/>
      <c r="K190" s="256"/>
      <c r="L190" s="11"/>
    </row>
    <row r="191" spans="1:12" x14ac:dyDescent="0.2">
      <c r="A191" s="353" t="s">
        <v>1984</v>
      </c>
      <c r="B191" s="353" t="s">
        <v>1460</v>
      </c>
      <c r="C191" s="353" t="s">
        <v>1461</v>
      </c>
      <c r="D191" s="353" t="s">
        <v>326</v>
      </c>
      <c r="E191" s="11" t="s">
        <v>649</v>
      </c>
      <c r="F191" s="450">
        <v>44869</v>
      </c>
      <c r="H191" s="256"/>
      <c r="I191" s="11"/>
      <c r="J191" s="256"/>
      <c r="K191" s="256"/>
      <c r="L191" s="11"/>
    </row>
    <row r="192" spans="1:12" x14ac:dyDescent="0.2">
      <c r="A192" s="353" t="s">
        <v>1985</v>
      </c>
      <c r="B192" s="353" t="s">
        <v>1405</v>
      </c>
      <c r="C192" s="353" t="s">
        <v>1220</v>
      </c>
      <c r="D192" s="353" t="s">
        <v>330</v>
      </c>
      <c r="E192" s="11" t="s">
        <v>649</v>
      </c>
      <c r="F192" s="450">
        <v>43342</v>
      </c>
      <c r="H192" s="256"/>
      <c r="I192" s="11"/>
      <c r="J192" s="256"/>
      <c r="K192" s="256"/>
      <c r="L192" s="11"/>
    </row>
    <row r="193" spans="1:12" x14ac:dyDescent="0.2">
      <c r="A193" s="353" t="s">
        <v>1986</v>
      </c>
      <c r="B193" s="353" t="s">
        <v>634</v>
      </c>
      <c r="C193" s="353" t="s">
        <v>635</v>
      </c>
      <c r="D193" s="353" t="s">
        <v>332</v>
      </c>
      <c r="E193" s="11" t="s">
        <v>332</v>
      </c>
      <c r="F193" s="450">
        <v>42129</v>
      </c>
      <c r="H193" s="256"/>
      <c r="I193" s="11"/>
      <c r="J193" s="256"/>
      <c r="K193" s="256"/>
      <c r="L193" s="11"/>
    </row>
    <row r="194" spans="1:12" x14ac:dyDescent="0.2">
      <c r="A194" s="353" t="s">
        <v>1987</v>
      </c>
      <c r="B194" s="353" t="s">
        <v>636</v>
      </c>
      <c r="C194" s="353" t="s">
        <v>727</v>
      </c>
      <c r="D194" s="353" t="s">
        <v>317</v>
      </c>
      <c r="E194" s="11" t="s">
        <v>649</v>
      </c>
      <c r="F194" s="450">
        <v>42209</v>
      </c>
      <c r="H194" s="256"/>
      <c r="I194" s="11"/>
      <c r="J194" s="256"/>
      <c r="K194" s="256"/>
      <c r="L194" s="11"/>
    </row>
    <row r="195" spans="1:12" x14ac:dyDescent="0.2">
      <c r="A195" s="353" t="s">
        <v>1988</v>
      </c>
      <c r="B195" s="353" t="s">
        <v>639</v>
      </c>
      <c r="C195" s="353" t="s">
        <v>673</v>
      </c>
      <c r="D195" s="353" t="s">
        <v>327</v>
      </c>
      <c r="E195" s="11" t="s">
        <v>649</v>
      </c>
      <c r="F195" s="450">
        <v>42346</v>
      </c>
      <c r="H195" s="256"/>
      <c r="I195" s="11"/>
      <c r="J195" s="256"/>
      <c r="K195" s="256"/>
      <c r="L195" s="11"/>
    </row>
    <row r="196" spans="1:12" x14ac:dyDescent="0.2">
      <c r="A196" s="353" t="s">
        <v>1989</v>
      </c>
      <c r="B196" s="353" t="s">
        <v>640</v>
      </c>
      <c r="C196" s="353" t="s">
        <v>641</v>
      </c>
      <c r="D196" s="353" t="s">
        <v>327</v>
      </c>
      <c r="E196" s="11" t="s">
        <v>649</v>
      </c>
      <c r="F196" s="450">
        <v>42291</v>
      </c>
      <c r="H196" s="256"/>
      <c r="I196" s="11"/>
      <c r="J196" s="256"/>
      <c r="K196" s="256"/>
      <c r="L196" s="11"/>
    </row>
    <row r="197" spans="1:12" x14ac:dyDescent="0.2">
      <c r="A197" s="353" t="s">
        <v>1990</v>
      </c>
      <c r="B197" s="353" t="s">
        <v>1151</v>
      </c>
      <c r="C197" s="353" t="s">
        <v>674</v>
      </c>
      <c r="D197" s="353" t="s">
        <v>325</v>
      </c>
      <c r="E197" s="11" t="s">
        <v>649</v>
      </c>
      <c r="F197" s="450">
        <v>42626</v>
      </c>
      <c r="H197" s="256"/>
      <c r="I197" s="11"/>
      <c r="J197" s="256"/>
      <c r="K197" s="256"/>
      <c r="L197" s="11"/>
    </row>
    <row r="198" spans="1:12" x14ac:dyDescent="0.2">
      <c r="A198" s="353" t="s">
        <v>1991</v>
      </c>
      <c r="B198" s="353" t="s">
        <v>675</v>
      </c>
      <c r="C198" s="353" t="s">
        <v>676</v>
      </c>
      <c r="D198" s="353" t="s">
        <v>332</v>
      </c>
      <c r="E198" s="11" t="s">
        <v>332</v>
      </c>
      <c r="F198" s="450">
        <v>42545</v>
      </c>
      <c r="H198" s="256"/>
      <c r="I198" s="11"/>
      <c r="J198" s="256"/>
      <c r="K198" s="256"/>
      <c r="L198" s="11"/>
    </row>
    <row r="199" spans="1:12" x14ac:dyDescent="0.2">
      <c r="A199" s="353" t="s">
        <v>1992</v>
      </c>
      <c r="B199" s="353" t="s">
        <v>1343</v>
      </c>
      <c r="C199" s="353" t="s">
        <v>1344</v>
      </c>
      <c r="D199" s="353" t="s">
        <v>326</v>
      </c>
      <c r="E199" s="11" t="s">
        <v>649</v>
      </c>
      <c r="F199" s="450">
        <v>44085</v>
      </c>
      <c r="H199" s="256"/>
      <c r="I199" s="11"/>
      <c r="J199" s="256"/>
      <c r="K199" s="256"/>
      <c r="L199" s="11"/>
    </row>
    <row r="200" spans="1:12" x14ac:dyDescent="0.2">
      <c r="A200" s="353" t="s">
        <v>1993</v>
      </c>
      <c r="B200" s="353" t="s">
        <v>679</v>
      </c>
      <c r="C200" s="353" t="s">
        <v>680</v>
      </c>
      <c r="D200" s="353" t="s">
        <v>317</v>
      </c>
      <c r="E200" s="11" t="s">
        <v>649</v>
      </c>
      <c r="F200" s="450">
        <v>42573</v>
      </c>
      <c r="H200" s="256"/>
      <c r="I200" s="11"/>
      <c r="J200" s="256"/>
      <c r="K200" s="256"/>
      <c r="L200" s="11"/>
    </row>
    <row r="201" spans="1:12" x14ac:dyDescent="0.2">
      <c r="A201" s="353" t="s">
        <v>1994</v>
      </c>
      <c r="B201" s="353" t="s">
        <v>681</v>
      </c>
      <c r="C201" s="353" t="s">
        <v>682</v>
      </c>
      <c r="D201" s="353" t="s">
        <v>325</v>
      </c>
      <c r="E201" s="11" t="s">
        <v>649</v>
      </c>
      <c r="F201" s="450">
        <v>42467</v>
      </c>
      <c r="H201" s="256"/>
      <c r="I201" s="11"/>
      <c r="J201" s="256"/>
      <c r="K201" s="256"/>
      <c r="L201" s="11"/>
    </row>
    <row r="202" spans="1:12" x14ac:dyDescent="0.2">
      <c r="A202" s="353" t="s">
        <v>1995</v>
      </c>
      <c r="B202" s="353" t="s">
        <v>728</v>
      </c>
      <c r="C202" s="353" t="s">
        <v>683</v>
      </c>
      <c r="D202" s="353" t="s">
        <v>328</v>
      </c>
      <c r="E202" s="11" t="s">
        <v>649</v>
      </c>
      <c r="F202" s="450">
        <v>42556</v>
      </c>
      <c r="H202" s="256"/>
      <c r="I202" s="11"/>
      <c r="J202" s="256"/>
      <c r="K202" s="256"/>
      <c r="L202" s="11"/>
    </row>
    <row r="203" spans="1:12" x14ac:dyDescent="0.2">
      <c r="A203" s="353" t="s">
        <v>1996</v>
      </c>
      <c r="B203" s="353" t="s">
        <v>684</v>
      </c>
      <c r="C203" s="353" t="s">
        <v>685</v>
      </c>
      <c r="D203" s="353" t="s">
        <v>325</v>
      </c>
      <c r="E203" s="11" t="s">
        <v>649</v>
      </c>
      <c r="F203" s="450">
        <v>43403</v>
      </c>
      <c r="H203" s="256"/>
      <c r="I203" s="11"/>
      <c r="J203" s="256"/>
      <c r="K203" s="256"/>
      <c r="L203" s="11"/>
    </row>
    <row r="204" spans="1:12" x14ac:dyDescent="0.2">
      <c r="A204" s="353" t="s">
        <v>1997</v>
      </c>
      <c r="B204" s="353" t="s">
        <v>686</v>
      </c>
      <c r="C204" s="353" t="s">
        <v>687</v>
      </c>
      <c r="D204" s="353" t="s">
        <v>324</v>
      </c>
      <c r="E204" s="11" t="s">
        <v>649</v>
      </c>
      <c r="F204" s="450">
        <v>42662</v>
      </c>
      <c r="H204" s="256"/>
      <c r="I204" s="11"/>
      <c r="J204" s="256"/>
      <c r="K204" s="256"/>
      <c r="L204" s="11"/>
    </row>
    <row r="205" spans="1:12" x14ac:dyDescent="0.2">
      <c r="A205" s="353" t="s">
        <v>1998</v>
      </c>
      <c r="B205" s="353" t="s">
        <v>1232</v>
      </c>
      <c r="C205" s="353" t="s">
        <v>1233</v>
      </c>
      <c r="D205" s="353" t="s">
        <v>323</v>
      </c>
      <c r="E205" s="11" t="s">
        <v>649</v>
      </c>
      <c r="F205" s="450">
        <v>42571</v>
      </c>
      <c r="H205" s="256"/>
      <c r="I205" s="11"/>
      <c r="J205" s="256"/>
      <c r="K205" s="256"/>
      <c r="L205" s="11"/>
    </row>
    <row r="206" spans="1:12" x14ac:dyDescent="0.2">
      <c r="A206" s="353" t="s">
        <v>1999</v>
      </c>
      <c r="B206" s="353" t="s">
        <v>730</v>
      </c>
      <c r="C206" s="353" t="s">
        <v>731</v>
      </c>
      <c r="D206" s="353" t="s">
        <v>329</v>
      </c>
      <c r="E206" s="11" t="s">
        <v>649</v>
      </c>
      <c r="F206" s="450">
        <v>39226</v>
      </c>
      <c r="H206" s="256"/>
      <c r="I206" s="11"/>
      <c r="J206" s="256"/>
      <c r="K206" s="256"/>
      <c r="L206" s="11"/>
    </row>
    <row r="207" spans="1:12" x14ac:dyDescent="0.2">
      <c r="A207" s="353" t="s">
        <v>2000</v>
      </c>
      <c r="B207" s="353" t="s">
        <v>732</v>
      </c>
      <c r="C207" s="353" t="s">
        <v>733</v>
      </c>
      <c r="D207" s="353" t="s">
        <v>323</v>
      </c>
      <c r="E207" s="11" t="s">
        <v>649</v>
      </c>
      <c r="F207" s="450">
        <v>42927</v>
      </c>
      <c r="H207" s="256"/>
      <c r="I207" s="11"/>
      <c r="J207" s="256"/>
      <c r="K207" s="256"/>
      <c r="L207" s="11"/>
    </row>
    <row r="208" spans="1:12" x14ac:dyDescent="0.2">
      <c r="A208" s="353" t="s">
        <v>2001</v>
      </c>
      <c r="B208" s="353" t="s">
        <v>735</v>
      </c>
      <c r="C208" s="353" t="s">
        <v>1345</v>
      </c>
      <c r="D208" s="353" t="s">
        <v>318</v>
      </c>
      <c r="E208" s="11" t="s">
        <v>649</v>
      </c>
      <c r="F208" s="450">
        <v>43088</v>
      </c>
      <c r="H208" s="256"/>
      <c r="I208" s="11"/>
      <c r="J208" s="256"/>
      <c r="K208" s="256"/>
      <c r="L208" s="11"/>
    </row>
    <row r="209" spans="1:12" x14ac:dyDescent="0.2">
      <c r="A209" s="353" t="s">
        <v>2002</v>
      </c>
      <c r="B209" s="353" t="s">
        <v>1153</v>
      </c>
      <c r="C209" s="353" t="s">
        <v>1154</v>
      </c>
      <c r="D209" s="353" t="s">
        <v>332</v>
      </c>
      <c r="E209" s="11" t="s">
        <v>332</v>
      </c>
      <c r="F209" s="450">
        <v>43361</v>
      </c>
      <c r="H209" s="256"/>
      <c r="I209" s="11"/>
      <c r="J209" s="256"/>
      <c r="K209" s="256"/>
      <c r="L209" s="11"/>
    </row>
    <row r="210" spans="1:12" x14ac:dyDescent="0.2">
      <c r="A210" s="353" t="s">
        <v>2003</v>
      </c>
      <c r="B210" s="353" t="s">
        <v>1161</v>
      </c>
      <c r="C210" s="353" t="s">
        <v>1162</v>
      </c>
      <c r="D210" s="353" t="s">
        <v>319</v>
      </c>
      <c r="E210" s="11" t="s">
        <v>649</v>
      </c>
      <c r="F210" s="450">
        <v>43390</v>
      </c>
      <c r="H210" s="256"/>
      <c r="I210" s="11"/>
      <c r="J210" s="256"/>
      <c r="K210" s="256"/>
      <c r="L210" s="11"/>
    </row>
    <row r="211" spans="1:12" x14ac:dyDescent="0.2">
      <c r="A211" s="353" t="s">
        <v>2004</v>
      </c>
      <c r="B211" s="353" t="s">
        <v>1348</v>
      </c>
      <c r="C211" s="353" t="s">
        <v>1349</v>
      </c>
      <c r="D211" s="353" t="s">
        <v>319</v>
      </c>
      <c r="E211" s="11" t="s">
        <v>649</v>
      </c>
      <c r="F211" s="450">
        <v>43623</v>
      </c>
      <c r="H211" s="256"/>
      <c r="I211" s="11"/>
      <c r="J211" s="256"/>
      <c r="K211" s="256"/>
      <c r="L211" s="11"/>
    </row>
    <row r="212" spans="1:12" x14ac:dyDescent="0.2">
      <c r="A212" s="353" t="s">
        <v>2005</v>
      </c>
      <c r="B212" s="353" t="s">
        <v>1265</v>
      </c>
      <c r="C212" s="353" t="s">
        <v>1463</v>
      </c>
      <c r="D212" s="353" t="s">
        <v>323</v>
      </c>
      <c r="E212" s="11" t="s">
        <v>649</v>
      </c>
      <c r="F212" s="450">
        <v>43774</v>
      </c>
      <c r="H212" s="256"/>
      <c r="I212" s="11"/>
      <c r="J212" s="256"/>
      <c r="K212" s="256"/>
      <c r="L212" s="11"/>
    </row>
    <row r="213" spans="1:12" x14ac:dyDescent="0.2">
      <c r="A213" s="353" t="s">
        <v>2006</v>
      </c>
      <c r="B213" s="353" t="s">
        <v>1266</v>
      </c>
      <c r="C213" s="353" t="s">
        <v>1267</v>
      </c>
      <c r="D213" s="353" t="s">
        <v>319</v>
      </c>
      <c r="E213" s="11" t="s">
        <v>649</v>
      </c>
      <c r="F213" s="450">
        <v>43797</v>
      </c>
      <c r="H213" s="256"/>
      <c r="I213" s="11"/>
      <c r="J213" s="256"/>
      <c r="K213" s="256"/>
      <c r="L213" s="11"/>
    </row>
    <row r="214" spans="1:12" x14ac:dyDescent="0.2">
      <c r="A214" s="353" t="s">
        <v>2007</v>
      </c>
      <c r="B214" s="353" t="s">
        <v>1268</v>
      </c>
      <c r="C214" s="353" t="s">
        <v>1269</v>
      </c>
      <c r="D214" s="353" t="s">
        <v>331</v>
      </c>
      <c r="E214" s="11" t="s">
        <v>649</v>
      </c>
      <c r="F214" s="450">
        <v>43802</v>
      </c>
      <c r="H214" s="256"/>
      <c r="I214" s="11"/>
      <c r="J214" s="256"/>
      <c r="K214" s="256"/>
      <c r="L214" s="11"/>
    </row>
    <row r="215" spans="1:12" x14ac:dyDescent="0.2">
      <c r="A215" s="353" t="s">
        <v>2008</v>
      </c>
      <c r="B215" s="353" t="s">
        <v>1350</v>
      </c>
      <c r="C215" s="353" t="s">
        <v>1351</v>
      </c>
      <c r="D215" s="353" t="s">
        <v>319</v>
      </c>
      <c r="E215" s="11" t="s">
        <v>649</v>
      </c>
      <c r="F215" s="450">
        <v>44036</v>
      </c>
      <c r="H215" s="256"/>
      <c r="I215" s="11"/>
      <c r="J215" s="256"/>
      <c r="K215" s="256"/>
      <c r="L215" s="11"/>
    </row>
    <row r="216" spans="1:12" x14ac:dyDescent="0.2">
      <c r="A216" s="353" t="s">
        <v>2009</v>
      </c>
      <c r="B216" s="353" t="s">
        <v>1358</v>
      </c>
      <c r="C216" s="353" t="s">
        <v>1359</v>
      </c>
      <c r="D216" s="353" t="s">
        <v>326</v>
      </c>
      <c r="E216" s="11" t="s">
        <v>649</v>
      </c>
      <c r="F216" s="450">
        <v>44167</v>
      </c>
      <c r="H216" s="256"/>
      <c r="I216" s="11"/>
      <c r="J216" s="256"/>
      <c r="K216" s="256"/>
      <c r="L216" s="11"/>
    </row>
    <row r="217" spans="1:12" x14ac:dyDescent="0.2">
      <c r="A217" s="353" t="s">
        <v>2010</v>
      </c>
      <c r="B217" s="353" t="s">
        <v>1408</v>
      </c>
      <c r="C217" s="353" t="s">
        <v>2011</v>
      </c>
      <c r="D217" s="353" t="s">
        <v>317</v>
      </c>
      <c r="E217" s="11" t="s">
        <v>649</v>
      </c>
      <c r="F217" s="450">
        <v>44391</v>
      </c>
      <c r="H217" s="256"/>
      <c r="I217" s="11"/>
      <c r="J217" s="256"/>
      <c r="K217" s="256"/>
      <c r="L217" s="11"/>
    </row>
    <row r="218" spans="1:12" x14ac:dyDescent="0.2">
      <c r="A218" s="353" t="s">
        <v>2012</v>
      </c>
      <c r="B218" s="353" t="s">
        <v>1466</v>
      </c>
      <c r="C218" s="353" t="s">
        <v>1467</v>
      </c>
      <c r="D218" s="353" t="s">
        <v>319</v>
      </c>
      <c r="E218" s="11" t="s">
        <v>649</v>
      </c>
      <c r="F218" s="450">
        <v>45114</v>
      </c>
      <c r="H218" s="256"/>
      <c r="I218" s="11"/>
      <c r="J218" s="256"/>
      <c r="K218" s="256"/>
      <c r="L218" s="11"/>
    </row>
    <row r="219" spans="1:12" x14ac:dyDescent="0.2">
      <c r="A219" s="353" t="s">
        <v>2013</v>
      </c>
      <c r="B219" s="353" t="s">
        <v>1362</v>
      </c>
      <c r="C219" s="353" t="s">
        <v>1363</v>
      </c>
      <c r="D219" s="353" t="s">
        <v>322</v>
      </c>
      <c r="E219" s="11" t="s">
        <v>649</v>
      </c>
      <c r="F219" s="450">
        <v>44371</v>
      </c>
      <c r="H219" s="256"/>
      <c r="I219" s="11"/>
      <c r="J219" s="256"/>
      <c r="K219" s="256"/>
      <c r="L219" s="11"/>
    </row>
    <row r="220" spans="1:12" x14ac:dyDescent="0.2">
      <c r="A220" s="353" t="s">
        <v>2014</v>
      </c>
      <c r="B220" s="353" t="s">
        <v>1411</v>
      </c>
      <c r="C220" s="353" t="s">
        <v>1412</v>
      </c>
      <c r="D220" s="353" t="s">
        <v>328</v>
      </c>
      <c r="E220" s="11" t="s">
        <v>649</v>
      </c>
      <c r="F220" s="450">
        <v>44377</v>
      </c>
      <c r="H220" s="256"/>
      <c r="I220" s="11"/>
      <c r="J220" s="256"/>
      <c r="K220" s="256"/>
      <c r="L220" s="11"/>
    </row>
    <row r="221" spans="1:12" x14ac:dyDescent="0.2">
      <c r="A221" s="353" t="s">
        <v>2015</v>
      </c>
      <c r="B221" s="353" t="s">
        <v>1417</v>
      </c>
      <c r="C221" s="353" t="s">
        <v>1418</v>
      </c>
      <c r="D221" s="353" t="s">
        <v>326</v>
      </c>
      <c r="E221" s="11" t="s">
        <v>649</v>
      </c>
      <c r="F221" s="450">
        <v>44531</v>
      </c>
      <c r="H221" s="256"/>
      <c r="I221" s="11"/>
      <c r="J221" s="256"/>
      <c r="K221" s="256"/>
      <c r="L221" s="11"/>
    </row>
    <row r="222" spans="1:12" x14ac:dyDescent="0.2">
      <c r="A222" s="353" t="s">
        <v>2016</v>
      </c>
      <c r="B222" s="353" t="s">
        <v>1419</v>
      </c>
      <c r="C222" s="353" t="s">
        <v>1420</v>
      </c>
      <c r="D222" s="11" t="s">
        <v>329</v>
      </c>
      <c r="E222" s="11" t="s">
        <v>649</v>
      </c>
      <c r="F222" s="450">
        <v>44540</v>
      </c>
      <c r="H222" s="256"/>
      <c r="I222" s="11"/>
      <c r="J222" s="256"/>
      <c r="K222" s="256"/>
      <c r="L222" s="11"/>
    </row>
    <row r="223" spans="1:12" x14ac:dyDescent="0.2">
      <c r="A223" s="353" t="s">
        <v>2017</v>
      </c>
      <c r="B223" s="353" t="s">
        <v>1695</v>
      </c>
      <c r="C223" s="353" t="s">
        <v>1696</v>
      </c>
      <c r="D223" s="11" t="s">
        <v>326</v>
      </c>
      <c r="E223" s="11" t="s">
        <v>649</v>
      </c>
      <c r="F223" s="450">
        <v>45258</v>
      </c>
      <c r="H223" s="256"/>
      <c r="I223" s="11"/>
      <c r="J223" s="256"/>
      <c r="K223" s="256"/>
      <c r="L223" s="11"/>
    </row>
    <row r="224" spans="1:12" x14ac:dyDescent="0.2">
      <c r="A224" s="353" t="s">
        <v>2018</v>
      </c>
      <c r="B224" s="353" t="s">
        <v>2019</v>
      </c>
      <c r="C224" s="353" t="s">
        <v>2020</v>
      </c>
      <c r="D224" s="353" t="s">
        <v>322</v>
      </c>
      <c r="E224" s="11" t="s">
        <v>649</v>
      </c>
      <c r="F224" s="450">
        <v>45436</v>
      </c>
      <c r="H224" s="256"/>
      <c r="I224" s="11"/>
      <c r="J224" s="256"/>
      <c r="K224" s="256"/>
      <c r="L224" s="11"/>
    </row>
    <row r="225" spans="1:12" x14ac:dyDescent="0.2">
      <c r="A225" s="353" t="s">
        <v>2021</v>
      </c>
      <c r="B225" s="353" t="s">
        <v>2022</v>
      </c>
      <c r="C225" s="353" t="s">
        <v>2023</v>
      </c>
      <c r="D225" s="353" t="s">
        <v>328</v>
      </c>
      <c r="E225" s="11" t="s">
        <v>649</v>
      </c>
      <c r="F225" s="450">
        <v>45576</v>
      </c>
      <c r="H225" s="256"/>
      <c r="I225" s="11"/>
      <c r="J225" s="256"/>
      <c r="K225" s="256"/>
      <c r="L225" s="11"/>
    </row>
    <row r="226" spans="1:12" x14ac:dyDescent="0.2">
      <c r="A226" s="353" t="s">
        <v>2024</v>
      </c>
      <c r="B226" s="353" t="s">
        <v>2025</v>
      </c>
      <c r="C226" s="353" t="s">
        <v>2026</v>
      </c>
      <c r="D226" s="353" t="s">
        <v>332</v>
      </c>
      <c r="E226" s="11" t="s">
        <v>332</v>
      </c>
      <c r="F226" s="450">
        <v>45625</v>
      </c>
      <c r="H226" s="256"/>
      <c r="I226" s="11"/>
      <c r="J226" s="256"/>
      <c r="K226" s="256"/>
      <c r="L226" s="11"/>
    </row>
    <row r="227" spans="1:12" x14ac:dyDescent="0.2">
      <c r="A227" s="353" t="s">
        <v>2027</v>
      </c>
      <c r="B227" s="353" t="s">
        <v>2028</v>
      </c>
      <c r="C227" s="353" t="s">
        <v>2029</v>
      </c>
      <c r="D227" s="353" t="s">
        <v>324</v>
      </c>
      <c r="E227" s="11" t="s">
        <v>649</v>
      </c>
      <c r="F227" s="450">
        <v>45762</v>
      </c>
      <c r="H227" s="256"/>
      <c r="I227" s="11"/>
      <c r="J227" s="256"/>
      <c r="K227" s="256"/>
      <c r="L227" s="11"/>
    </row>
    <row r="228" spans="1:12" x14ac:dyDescent="0.2">
      <c r="A228" s="353" t="s">
        <v>1546</v>
      </c>
      <c r="B228" s="353" t="s">
        <v>434</v>
      </c>
      <c r="C228" s="353" t="s">
        <v>1547</v>
      </c>
      <c r="D228" s="353" t="s">
        <v>326</v>
      </c>
      <c r="E228" s="11" t="s">
        <v>649</v>
      </c>
      <c r="F228" s="450">
        <v>38791</v>
      </c>
      <c r="H228" s="256"/>
      <c r="I228" s="11"/>
      <c r="J228" s="256"/>
      <c r="K228" s="256"/>
      <c r="L228" s="11"/>
    </row>
    <row r="229" spans="1:12" x14ac:dyDescent="0.2">
      <c r="A229" s="353" t="s">
        <v>1548</v>
      </c>
      <c r="B229" s="353" t="s">
        <v>436</v>
      </c>
      <c r="C229" s="353" t="s">
        <v>548</v>
      </c>
      <c r="D229" s="353" t="s">
        <v>318</v>
      </c>
      <c r="E229" s="11" t="s">
        <v>649</v>
      </c>
      <c r="F229" s="450">
        <v>38982</v>
      </c>
      <c r="H229" s="256"/>
      <c r="I229" s="11"/>
      <c r="J229" s="256"/>
      <c r="K229" s="256"/>
      <c r="L229" s="11"/>
    </row>
    <row r="230" spans="1:12" x14ac:dyDescent="0.2">
      <c r="A230" s="353" t="s">
        <v>1549</v>
      </c>
      <c r="B230" s="353" t="s">
        <v>437</v>
      </c>
      <c r="C230" s="353" t="s">
        <v>2030</v>
      </c>
      <c r="D230" s="353" t="s">
        <v>326</v>
      </c>
      <c r="E230" s="11" t="s">
        <v>649</v>
      </c>
      <c r="F230" s="450">
        <v>39002</v>
      </c>
      <c r="H230" s="256"/>
      <c r="I230" s="11"/>
      <c r="J230" s="256"/>
      <c r="K230" s="256"/>
      <c r="L230" s="11"/>
    </row>
    <row r="231" spans="1:12" x14ac:dyDescent="0.2">
      <c r="A231" s="353" t="s">
        <v>1550</v>
      </c>
      <c r="B231" s="353" t="s">
        <v>612</v>
      </c>
      <c r="C231" s="353" t="s">
        <v>613</v>
      </c>
      <c r="D231" s="11" t="s">
        <v>326</v>
      </c>
      <c r="E231" s="11" t="s">
        <v>649</v>
      </c>
      <c r="F231" s="450">
        <v>39049</v>
      </c>
      <c r="H231" s="256"/>
      <c r="I231" s="11"/>
      <c r="J231" s="256"/>
      <c r="K231" s="256"/>
      <c r="L231" s="11"/>
    </row>
    <row r="232" spans="1:12" x14ac:dyDescent="0.2">
      <c r="A232" s="353" t="s">
        <v>1552</v>
      </c>
      <c r="B232" s="353" t="s">
        <v>439</v>
      </c>
      <c r="C232" s="353" t="s">
        <v>440</v>
      </c>
      <c r="D232" s="11" t="s">
        <v>323</v>
      </c>
      <c r="E232" s="11" t="s">
        <v>649</v>
      </c>
      <c r="F232" s="450">
        <v>39192</v>
      </c>
      <c r="H232" s="256"/>
      <c r="I232" s="11"/>
      <c r="J232" s="256"/>
      <c r="K232" s="256"/>
      <c r="L232" s="11"/>
    </row>
    <row r="233" spans="1:12" x14ac:dyDescent="0.2">
      <c r="A233" s="353" t="s">
        <v>2031</v>
      </c>
      <c r="B233" s="353" t="s">
        <v>441</v>
      </c>
      <c r="C233" s="353" t="s">
        <v>1146</v>
      </c>
      <c r="D233" s="11" t="s">
        <v>323</v>
      </c>
      <c r="E233" s="11" t="s">
        <v>649</v>
      </c>
      <c r="F233" s="450">
        <v>39101</v>
      </c>
      <c r="H233" s="256"/>
      <c r="I233" s="11"/>
      <c r="J233" s="256"/>
      <c r="K233" s="256"/>
      <c r="L233" s="11"/>
    </row>
    <row r="234" spans="1:12" x14ac:dyDescent="0.2">
      <c r="A234" s="353" t="s">
        <v>1553</v>
      </c>
      <c r="B234" s="353" t="s">
        <v>650</v>
      </c>
      <c r="C234" s="353" t="s">
        <v>442</v>
      </c>
      <c r="D234" s="353" t="s">
        <v>326</v>
      </c>
      <c r="E234" s="11" t="s">
        <v>649</v>
      </c>
      <c r="F234" s="450">
        <v>39234</v>
      </c>
      <c r="H234" s="256"/>
      <c r="I234" s="11"/>
      <c r="J234" s="256"/>
      <c r="K234" s="256"/>
      <c r="L234" s="11"/>
    </row>
    <row r="235" spans="1:12" x14ac:dyDescent="0.2">
      <c r="A235" s="353" t="s">
        <v>2032</v>
      </c>
      <c r="B235" s="353" t="s">
        <v>1320</v>
      </c>
      <c r="C235" s="353" t="s">
        <v>1321</v>
      </c>
      <c r="D235" s="353" t="s">
        <v>327</v>
      </c>
      <c r="E235" s="11" t="s">
        <v>649</v>
      </c>
      <c r="F235" s="450">
        <v>39119</v>
      </c>
      <c r="H235" s="256"/>
      <c r="I235" s="11"/>
      <c r="J235" s="256"/>
      <c r="K235" s="256"/>
      <c r="L235" s="11"/>
    </row>
    <row r="236" spans="1:12" x14ac:dyDescent="0.2">
      <c r="A236" s="353" t="s">
        <v>1554</v>
      </c>
      <c r="B236" s="353" t="s">
        <v>448</v>
      </c>
      <c r="C236" s="353" t="s">
        <v>1438</v>
      </c>
      <c r="D236" s="353" t="s">
        <v>326</v>
      </c>
      <c r="E236" s="11" t="s">
        <v>649</v>
      </c>
      <c r="F236" s="450">
        <v>39169</v>
      </c>
      <c r="H236" s="256"/>
      <c r="I236" s="11"/>
      <c r="J236" s="256"/>
      <c r="K236" s="256"/>
      <c r="L236" s="11"/>
    </row>
    <row r="237" spans="1:12" x14ac:dyDescent="0.2">
      <c r="A237" s="353" t="s">
        <v>1555</v>
      </c>
      <c r="B237" s="353" t="s">
        <v>651</v>
      </c>
      <c r="C237" s="353" t="s">
        <v>652</v>
      </c>
      <c r="D237" s="353" t="s">
        <v>327</v>
      </c>
      <c r="E237" s="11" t="s">
        <v>649</v>
      </c>
      <c r="F237" s="450">
        <v>42538</v>
      </c>
      <c r="H237" s="256"/>
      <c r="I237" s="11"/>
      <c r="J237" s="256"/>
      <c r="K237" s="256"/>
      <c r="L237" s="11"/>
    </row>
    <row r="238" spans="1:12" x14ac:dyDescent="0.2">
      <c r="A238" s="353" t="s">
        <v>1556</v>
      </c>
      <c r="B238" s="353" t="s">
        <v>451</v>
      </c>
      <c r="C238" s="353" t="s">
        <v>278</v>
      </c>
      <c r="D238" s="11" t="s">
        <v>318</v>
      </c>
      <c r="E238" s="11" t="s">
        <v>649</v>
      </c>
      <c r="F238" s="450">
        <v>39210</v>
      </c>
      <c r="H238" s="256"/>
      <c r="I238" s="11"/>
      <c r="J238" s="256"/>
      <c r="K238" s="256"/>
      <c r="L238" s="11"/>
    </row>
    <row r="239" spans="1:12" x14ac:dyDescent="0.2">
      <c r="A239" s="353" t="s">
        <v>1557</v>
      </c>
      <c r="B239" s="353" t="s">
        <v>452</v>
      </c>
      <c r="C239" s="353" t="s">
        <v>615</v>
      </c>
      <c r="D239" s="11" t="s">
        <v>329</v>
      </c>
      <c r="E239" s="11" t="s">
        <v>649</v>
      </c>
      <c r="F239" s="450">
        <v>39255</v>
      </c>
      <c r="H239" s="256"/>
      <c r="I239" s="11"/>
      <c r="J239" s="256"/>
      <c r="K239" s="256"/>
      <c r="L239" s="11"/>
    </row>
    <row r="240" spans="1:12" x14ac:dyDescent="0.2">
      <c r="A240" s="353" t="s">
        <v>1558</v>
      </c>
      <c r="B240" s="353" t="s">
        <v>2033</v>
      </c>
      <c r="C240" s="353" t="s">
        <v>704</v>
      </c>
      <c r="D240" s="353" t="s">
        <v>322</v>
      </c>
      <c r="E240" s="11" t="s">
        <v>649</v>
      </c>
      <c r="F240" s="450">
        <v>39259</v>
      </c>
      <c r="H240" s="256"/>
      <c r="I240" s="11"/>
      <c r="J240" s="256"/>
      <c r="K240" s="256"/>
      <c r="L240" s="11"/>
    </row>
    <row r="241" spans="1:12" x14ac:dyDescent="0.2">
      <c r="A241" s="353" t="s">
        <v>1559</v>
      </c>
      <c r="B241" s="353" t="s">
        <v>457</v>
      </c>
      <c r="C241" s="353" t="s">
        <v>458</v>
      </c>
      <c r="D241" s="353" t="s">
        <v>318</v>
      </c>
      <c r="E241" s="11" t="s">
        <v>649</v>
      </c>
      <c r="F241" s="450">
        <v>39316</v>
      </c>
      <c r="H241" s="256"/>
      <c r="I241" s="11"/>
      <c r="J241" s="256"/>
      <c r="K241" s="256"/>
      <c r="L241" s="11"/>
    </row>
    <row r="242" spans="1:12" x14ac:dyDescent="0.2">
      <c r="A242" s="353" t="s">
        <v>1560</v>
      </c>
      <c r="B242" s="353" t="s">
        <v>459</v>
      </c>
      <c r="C242" s="353" t="s">
        <v>2034</v>
      </c>
      <c r="D242" s="353" t="s">
        <v>326</v>
      </c>
      <c r="E242" s="11" t="s">
        <v>649</v>
      </c>
      <c r="F242" s="450">
        <v>39324</v>
      </c>
      <c r="H242" s="256"/>
      <c r="I242" s="11"/>
      <c r="J242" s="256"/>
      <c r="K242" s="256"/>
      <c r="L242" s="11"/>
    </row>
    <row r="243" spans="1:12" x14ac:dyDescent="0.2">
      <c r="A243" s="353" t="s">
        <v>1561</v>
      </c>
      <c r="B243" s="353" t="s">
        <v>461</v>
      </c>
      <c r="C243" s="353" t="s">
        <v>462</v>
      </c>
      <c r="D243" s="353" t="s">
        <v>323</v>
      </c>
      <c r="E243" s="11" t="s">
        <v>649</v>
      </c>
      <c r="F243" s="450">
        <v>39357</v>
      </c>
      <c r="H243" s="256"/>
      <c r="I243" s="11"/>
      <c r="J243" s="256"/>
      <c r="K243" s="256"/>
      <c r="L243" s="11"/>
    </row>
    <row r="244" spans="1:12" x14ac:dyDescent="0.2">
      <c r="A244" s="353" t="s">
        <v>1562</v>
      </c>
      <c r="B244" s="353" t="s">
        <v>465</v>
      </c>
      <c r="C244" s="353" t="s">
        <v>654</v>
      </c>
      <c r="D244" s="353" t="s">
        <v>317</v>
      </c>
      <c r="E244" s="11" t="s">
        <v>649</v>
      </c>
      <c r="F244" s="450">
        <v>39567</v>
      </c>
      <c r="H244" s="256"/>
      <c r="I244" s="11"/>
      <c r="J244" s="256"/>
      <c r="K244" s="256"/>
      <c r="L244" s="11"/>
    </row>
    <row r="245" spans="1:12" x14ac:dyDescent="0.2">
      <c r="A245" s="353" t="s">
        <v>1563</v>
      </c>
      <c r="B245" s="353" t="s">
        <v>1440</v>
      </c>
      <c r="C245" s="353" t="s">
        <v>1441</v>
      </c>
      <c r="D245" s="353" t="s">
        <v>317</v>
      </c>
      <c r="E245" s="11" t="s">
        <v>649</v>
      </c>
      <c r="F245" s="450">
        <v>39413</v>
      </c>
      <c r="H245" s="256"/>
      <c r="I245" s="11"/>
      <c r="J245" s="256"/>
      <c r="K245" s="256"/>
      <c r="L245" s="11"/>
    </row>
    <row r="246" spans="1:12" x14ac:dyDescent="0.2">
      <c r="A246" s="353" t="s">
        <v>1564</v>
      </c>
      <c r="B246" s="353" t="s">
        <v>1208</v>
      </c>
      <c r="C246" s="353" t="s">
        <v>1209</v>
      </c>
      <c r="D246" s="353" t="s">
        <v>317</v>
      </c>
      <c r="E246" s="11" t="s">
        <v>649</v>
      </c>
      <c r="F246" s="450">
        <v>39514</v>
      </c>
      <c r="H246" s="256"/>
      <c r="I246" s="11"/>
      <c r="J246" s="256"/>
      <c r="K246" s="256"/>
      <c r="L246" s="11"/>
    </row>
    <row r="247" spans="1:12" x14ac:dyDescent="0.2">
      <c r="A247" s="353" t="s">
        <v>1565</v>
      </c>
      <c r="B247" s="353" t="s">
        <v>467</v>
      </c>
      <c r="C247" s="353" t="s">
        <v>1225</v>
      </c>
      <c r="D247" s="353" t="s">
        <v>317</v>
      </c>
      <c r="E247" s="11" t="s">
        <v>649</v>
      </c>
      <c r="F247" s="450">
        <v>39743</v>
      </c>
      <c r="H247" s="256"/>
      <c r="I247" s="11"/>
      <c r="J247" s="256"/>
      <c r="K247" s="256"/>
      <c r="L247" s="11"/>
    </row>
    <row r="248" spans="1:12" x14ac:dyDescent="0.2">
      <c r="A248" s="353" t="s">
        <v>1566</v>
      </c>
      <c r="B248" s="353" t="s">
        <v>468</v>
      </c>
      <c r="C248" s="353" t="s">
        <v>705</v>
      </c>
      <c r="D248" s="11" t="s">
        <v>326</v>
      </c>
      <c r="E248" s="11" t="s">
        <v>649</v>
      </c>
      <c r="F248" s="450">
        <v>39434</v>
      </c>
      <c r="H248" s="256"/>
      <c r="I248" s="11"/>
      <c r="J248" s="256"/>
      <c r="K248" s="256"/>
      <c r="L248" s="11"/>
    </row>
    <row r="249" spans="1:12" x14ac:dyDescent="0.2">
      <c r="A249" s="353" t="s">
        <v>1567</v>
      </c>
      <c r="B249" s="353" t="s">
        <v>1323</v>
      </c>
      <c r="C249" s="353" t="s">
        <v>286</v>
      </c>
      <c r="D249" s="353" t="s">
        <v>317</v>
      </c>
      <c r="E249" s="11" t="s">
        <v>649</v>
      </c>
      <c r="F249" s="450">
        <v>39423</v>
      </c>
      <c r="H249" s="256"/>
      <c r="I249" s="11"/>
      <c r="J249" s="256"/>
      <c r="K249" s="256"/>
      <c r="L249" s="11"/>
    </row>
    <row r="250" spans="1:12" x14ac:dyDescent="0.2">
      <c r="A250" s="353" t="s">
        <v>1568</v>
      </c>
      <c r="B250" s="353" t="s">
        <v>1248</v>
      </c>
      <c r="C250" s="353" t="s">
        <v>1249</v>
      </c>
      <c r="D250" s="353" t="s">
        <v>326</v>
      </c>
      <c r="E250" s="11" t="s">
        <v>649</v>
      </c>
      <c r="F250" s="450">
        <v>39434</v>
      </c>
      <c r="H250" s="256"/>
      <c r="I250" s="11"/>
      <c r="J250" s="256"/>
      <c r="K250" s="256"/>
      <c r="L250" s="11"/>
    </row>
    <row r="251" spans="1:12" x14ac:dyDescent="0.2">
      <c r="A251" s="353" t="s">
        <v>2035</v>
      </c>
      <c r="B251" s="353" t="s">
        <v>472</v>
      </c>
      <c r="C251" s="353" t="s">
        <v>706</v>
      </c>
      <c r="D251" s="353" t="s">
        <v>318</v>
      </c>
      <c r="E251" s="11" t="s">
        <v>649</v>
      </c>
      <c r="F251" s="450">
        <v>39486</v>
      </c>
      <c r="H251" s="256"/>
      <c r="I251" s="11"/>
      <c r="J251" s="256"/>
      <c r="K251" s="256"/>
      <c r="L251" s="11"/>
    </row>
    <row r="252" spans="1:12" x14ac:dyDescent="0.2">
      <c r="A252" s="353" t="s">
        <v>1569</v>
      </c>
      <c r="B252" s="353" t="s">
        <v>1250</v>
      </c>
      <c r="C252" s="353" t="s">
        <v>1251</v>
      </c>
      <c r="D252" s="353" t="s">
        <v>326</v>
      </c>
      <c r="E252" s="11" t="s">
        <v>649</v>
      </c>
      <c r="F252" s="450">
        <v>39567</v>
      </c>
      <c r="H252" s="256"/>
      <c r="I252" s="11"/>
      <c r="J252" s="256"/>
      <c r="K252" s="256"/>
      <c r="L252" s="11"/>
    </row>
    <row r="253" spans="1:12" x14ac:dyDescent="0.2">
      <c r="A253" s="353" t="s">
        <v>1572</v>
      </c>
      <c r="B253" s="353" t="s">
        <v>2036</v>
      </c>
      <c r="C253" s="353" t="s">
        <v>2037</v>
      </c>
      <c r="D253" s="353" t="s">
        <v>327</v>
      </c>
      <c r="E253" s="11" t="s">
        <v>649</v>
      </c>
      <c r="F253" s="450">
        <v>39611</v>
      </c>
      <c r="H253" s="256"/>
      <c r="I253" s="11"/>
      <c r="J253" s="256"/>
      <c r="K253" s="256"/>
      <c r="L253" s="11"/>
    </row>
    <row r="254" spans="1:12" x14ac:dyDescent="0.2">
      <c r="A254" s="353" t="s">
        <v>1573</v>
      </c>
      <c r="B254" s="353" t="s">
        <v>478</v>
      </c>
      <c r="C254" s="353" t="s">
        <v>277</v>
      </c>
      <c r="D254" s="353" t="s">
        <v>318</v>
      </c>
      <c r="E254" s="11" t="s">
        <v>649</v>
      </c>
      <c r="F254" s="450">
        <v>39651</v>
      </c>
      <c r="H254" s="256"/>
      <c r="I254" s="11"/>
      <c r="J254" s="256"/>
      <c r="K254" s="256"/>
      <c r="L254" s="11"/>
    </row>
    <row r="255" spans="1:12" x14ac:dyDescent="0.2">
      <c r="A255" s="353" t="s">
        <v>1574</v>
      </c>
      <c r="B255" s="353" t="s">
        <v>564</v>
      </c>
      <c r="C255" s="353" t="s">
        <v>565</v>
      </c>
      <c r="D255" s="353" t="s">
        <v>321</v>
      </c>
      <c r="E255" s="11" t="s">
        <v>649</v>
      </c>
      <c r="F255" s="450">
        <v>39589</v>
      </c>
      <c r="H255" s="256"/>
      <c r="I255" s="11"/>
      <c r="J255" s="256"/>
      <c r="K255" s="256"/>
      <c r="L255" s="11"/>
    </row>
    <row r="256" spans="1:12" x14ac:dyDescent="0.2">
      <c r="A256" s="353" t="s">
        <v>1575</v>
      </c>
      <c r="B256" s="353" t="s">
        <v>708</v>
      </c>
      <c r="C256" s="353" t="s">
        <v>709</v>
      </c>
      <c r="D256" s="353" t="s">
        <v>325</v>
      </c>
      <c r="E256" s="11" t="s">
        <v>649</v>
      </c>
      <c r="F256" s="450">
        <v>39632</v>
      </c>
      <c r="H256" s="256"/>
      <c r="I256" s="11"/>
      <c r="J256" s="256"/>
      <c r="K256" s="256"/>
      <c r="L256" s="11"/>
    </row>
    <row r="257" spans="1:12" x14ac:dyDescent="0.2">
      <c r="A257" s="353" t="s">
        <v>1576</v>
      </c>
      <c r="B257" s="353" t="s">
        <v>479</v>
      </c>
      <c r="C257" s="353" t="s">
        <v>1149</v>
      </c>
      <c r="D257" s="11" t="s">
        <v>330</v>
      </c>
      <c r="E257" s="11" t="s">
        <v>649</v>
      </c>
      <c r="F257" s="450">
        <v>39673</v>
      </c>
      <c r="H257" s="256"/>
      <c r="I257" s="11"/>
      <c r="J257" s="256"/>
      <c r="K257" s="256"/>
      <c r="L257" s="11"/>
    </row>
    <row r="258" spans="1:12" x14ac:dyDescent="0.2">
      <c r="A258" s="353" t="s">
        <v>2038</v>
      </c>
      <c r="B258" s="353" t="s">
        <v>2039</v>
      </c>
      <c r="C258" s="353" t="s">
        <v>2040</v>
      </c>
      <c r="D258" s="11" t="s">
        <v>330</v>
      </c>
      <c r="E258" s="11" t="s">
        <v>649</v>
      </c>
      <c r="F258" s="450">
        <v>39693</v>
      </c>
      <c r="H258" s="256"/>
      <c r="I258" s="11"/>
      <c r="J258" s="256"/>
      <c r="K258" s="256"/>
      <c r="L258" s="11"/>
    </row>
    <row r="259" spans="1:12" x14ac:dyDescent="0.2">
      <c r="A259" s="353" t="s">
        <v>1577</v>
      </c>
      <c r="B259" s="353" t="s">
        <v>481</v>
      </c>
      <c r="C259" s="353" t="s">
        <v>551</v>
      </c>
      <c r="D259" s="11" t="s">
        <v>318</v>
      </c>
      <c r="E259" s="11" t="s">
        <v>649</v>
      </c>
      <c r="F259" s="450">
        <v>39668</v>
      </c>
      <c r="H259" s="256"/>
      <c r="I259" s="11"/>
      <c r="J259" s="256"/>
      <c r="K259" s="256"/>
      <c r="L259" s="11"/>
    </row>
    <row r="260" spans="1:12" x14ac:dyDescent="0.2">
      <c r="A260" s="353" t="s">
        <v>1578</v>
      </c>
      <c r="B260" s="353" t="s">
        <v>484</v>
      </c>
      <c r="C260" s="353" t="s">
        <v>485</v>
      </c>
      <c r="D260" s="353" t="s">
        <v>326</v>
      </c>
      <c r="E260" s="11" t="s">
        <v>649</v>
      </c>
      <c r="F260" s="450">
        <v>39738</v>
      </c>
      <c r="H260" s="256"/>
      <c r="I260" s="11"/>
      <c r="J260" s="256"/>
      <c r="K260" s="256"/>
      <c r="L260" s="11"/>
    </row>
    <row r="261" spans="1:12" x14ac:dyDescent="0.2">
      <c r="A261" s="353" t="s">
        <v>1579</v>
      </c>
      <c r="B261" s="353" t="s">
        <v>1326</v>
      </c>
      <c r="C261" s="353" t="s">
        <v>711</v>
      </c>
      <c r="D261" s="353" t="s">
        <v>317</v>
      </c>
      <c r="E261" s="11" t="s">
        <v>649</v>
      </c>
      <c r="F261" s="450">
        <v>39763</v>
      </c>
      <c r="H261" s="256"/>
      <c r="I261" s="11"/>
      <c r="J261" s="256"/>
      <c r="K261" s="256"/>
      <c r="L261" s="11"/>
    </row>
    <row r="262" spans="1:12" x14ac:dyDescent="0.2">
      <c r="A262" s="353" t="s">
        <v>1581</v>
      </c>
      <c r="B262" s="353" t="s">
        <v>492</v>
      </c>
      <c r="C262" s="353" t="s">
        <v>621</v>
      </c>
      <c r="D262" s="353" t="s">
        <v>315</v>
      </c>
      <c r="E262" s="11" t="s">
        <v>649</v>
      </c>
      <c r="F262" s="450">
        <v>39773</v>
      </c>
      <c r="H262" s="256"/>
      <c r="I262" s="11"/>
      <c r="J262" s="256"/>
      <c r="K262" s="256"/>
      <c r="L262" s="11"/>
    </row>
    <row r="263" spans="1:12" x14ac:dyDescent="0.2">
      <c r="A263" s="353" t="s">
        <v>2041</v>
      </c>
      <c r="B263" s="353" t="s">
        <v>2042</v>
      </c>
      <c r="C263" s="353" t="s">
        <v>2043</v>
      </c>
      <c r="D263" s="353" t="s">
        <v>326</v>
      </c>
      <c r="E263" s="11" t="s">
        <v>649</v>
      </c>
      <c r="F263" s="450">
        <v>39829</v>
      </c>
      <c r="H263" s="256"/>
      <c r="I263" s="11"/>
      <c r="J263" s="256"/>
      <c r="K263" s="256"/>
      <c r="L263" s="11"/>
    </row>
    <row r="264" spans="1:12" x14ac:dyDescent="0.2">
      <c r="A264" s="353" t="s">
        <v>1582</v>
      </c>
      <c r="B264" s="353" t="s">
        <v>496</v>
      </c>
      <c r="C264" s="353" t="s">
        <v>712</v>
      </c>
      <c r="D264" s="11" t="s">
        <v>317</v>
      </c>
      <c r="E264" s="11" t="s">
        <v>649</v>
      </c>
      <c r="F264" s="450">
        <v>39792</v>
      </c>
      <c r="H264" s="256"/>
      <c r="I264" s="11"/>
      <c r="J264" s="256"/>
      <c r="K264" s="256"/>
      <c r="L264" s="11"/>
    </row>
    <row r="265" spans="1:12" x14ac:dyDescent="0.2">
      <c r="A265" s="353" t="s">
        <v>1583</v>
      </c>
      <c r="B265" s="353" t="s">
        <v>1584</v>
      </c>
      <c r="C265" s="353" t="s">
        <v>2044</v>
      </c>
      <c r="D265" s="11" t="s">
        <v>318</v>
      </c>
      <c r="E265" s="11" t="s">
        <v>649</v>
      </c>
      <c r="F265" s="450">
        <v>39799</v>
      </c>
      <c r="H265" s="256"/>
      <c r="I265" s="11"/>
      <c r="J265" s="256"/>
      <c r="K265" s="256"/>
      <c r="L265" s="11"/>
    </row>
    <row r="266" spans="1:12" x14ac:dyDescent="0.2">
      <c r="A266" s="353" t="s">
        <v>1585</v>
      </c>
      <c r="B266" s="353" t="s">
        <v>1167</v>
      </c>
      <c r="C266" s="353" t="s">
        <v>1168</v>
      </c>
      <c r="D266" s="353" t="s">
        <v>327</v>
      </c>
      <c r="E266" s="11" t="s">
        <v>649</v>
      </c>
      <c r="F266" s="450">
        <v>39856</v>
      </c>
      <c r="H266" s="256"/>
      <c r="I266" s="11"/>
      <c r="J266" s="256"/>
      <c r="K266" s="256"/>
      <c r="L266" s="11"/>
    </row>
    <row r="267" spans="1:12" x14ac:dyDescent="0.2">
      <c r="A267" s="353" t="s">
        <v>1586</v>
      </c>
      <c r="B267" s="353" t="s">
        <v>506</v>
      </c>
      <c r="C267" s="353" t="s">
        <v>507</v>
      </c>
      <c r="D267" s="353" t="s">
        <v>331</v>
      </c>
      <c r="E267" s="11" t="s">
        <v>649</v>
      </c>
      <c r="F267" s="450">
        <v>39896</v>
      </c>
      <c r="H267" s="256"/>
      <c r="I267" s="11"/>
      <c r="J267" s="256"/>
      <c r="K267" s="256"/>
      <c r="L267" s="11"/>
    </row>
    <row r="268" spans="1:12" x14ac:dyDescent="0.2">
      <c r="A268" s="353" t="s">
        <v>1588</v>
      </c>
      <c r="B268" s="353" t="s">
        <v>508</v>
      </c>
      <c r="C268" s="353" t="s">
        <v>509</v>
      </c>
      <c r="D268" s="353" t="s">
        <v>318</v>
      </c>
      <c r="E268" s="11" t="s">
        <v>649</v>
      </c>
      <c r="F268" s="450">
        <v>39990</v>
      </c>
      <c r="H268" s="256"/>
      <c r="I268" s="11"/>
      <c r="J268" s="256"/>
      <c r="K268" s="256"/>
      <c r="L268" s="11"/>
    </row>
    <row r="269" spans="1:12" x14ac:dyDescent="0.2">
      <c r="A269" s="353" t="s">
        <v>1589</v>
      </c>
      <c r="B269" s="353" t="s">
        <v>1330</v>
      </c>
      <c r="C269" s="353" t="s">
        <v>1331</v>
      </c>
      <c r="D269" s="353" t="s">
        <v>318</v>
      </c>
      <c r="E269" s="11" t="s">
        <v>649</v>
      </c>
      <c r="F269" s="450">
        <v>39945</v>
      </c>
      <c r="H269" s="256"/>
      <c r="I269" s="11"/>
      <c r="J269" s="256"/>
      <c r="K269" s="256"/>
      <c r="L269" s="11"/>
    </row>
    <row r="270" spans="1:12" x14ac:dyDescent="0.2">
      <c r="A270" s="353" t="s">
        <v>1590</v>
      </c>
      <c r="B270" s="353" t="s">
        <v>658</v>
      </c>
      <c r="C270" s="353" t="s">
        <v>659</v>
      </c>
      <c r="D270" s="353" t="s">
        <v>323</v>
      </c>
      <c r="E270" s="11" t="s">
        <v>649</v>
      </c>
      <c r="F270" s="450">
        <v>40114</v>
      </c>
      <c r="H270" s="256"/>
      <c r="I270" s="11"/>
      <c r="J270" s="256"/>
      <c r="K270" s="256"/>
      <c r="L270" s="11"/>
    </row>
    <row r="271" spans="1:12" x14ac:dyDescent="0.2">
      <c r="A271" s="353" t="s">
        <v>1591</v>
      </c>
      <c r="B271" s="353" t="s">
        <v>512</v>
      </c>
      <c r="C271" s="353" t="s">
        <v>2045</v>
      </c>
      <c r="D271" s="353" t="s">
        <v>326</v>
      </c>
      <c r="E271" s="11" t="s">
        <v>649</v>
      </c>
      <c r="F271" s="450">
        <v>39948</v>
      </c>
      <c r="H271" s="256"/>
      <c r="I271" s="11"/>
      <c r="J271" s="256"/>
      <c r="K271" s="256"/>
      <c r="L271" s="11"/>
    </row>
    <row r="272" spans="1:12" x14ac:dyDescent="0.2">
      <c r="A272" s="353" t="s">
        <v>2046</v>
      </c>
      <c r="B272" s="353" t="s">
        <v>2047</v>
      </c>
      <c r="C272" s="353" t="s">
        <v>2048</v>
      </c>
      <c r="D272" s="353" t="s">
        <v>317</v>
      </c>
      <c r="E272" s="11" t="s">
        <v>649</v>
      </c>
      <c r="F272" s="450">
        <v>39996</v>
      </c>
      <c r="H272" s="256"/>
      <c r="I272" s="11"/>
      <c r="J272" s="256"/>
      <c r="K272" s="256"/>
      <c r="L272" s="11"/>
    </row>
    <row r="273" spans="1:12" x14ac:dyDescent="0.2">
      <c r="A273" s="353" t="s">
        <v>1592</v>
      </c>
      <c r="B273" s="353" t="s">
        <v>1444</v>
      </c>
      <c r="C273" s="353" t="s">
        <v>1445</v>
      </c>
      <c r="D273" s="353" t="s">
        <v>330</v>
      </c>
      <c r="E273" s="11" t="s">
        <v>649</v>
      </c>
      <c r="F273" s="450">
        <v>40067</v>
      </c>
      <c r="H273" s="256"/>
      <c r="I273" s="11"/>
      <c r="J273" s="256"/>
      <c r="K273" s="256"/>
      <c r="L273" s="11"/>
    </row>
    <row r="274" spans="1:12" x14ac:dyDescent="0.2">
      <c r="A274" s="353" t="s">
        <v>1593</v>
      </c>
      <c r="B274" s="353" t="s">
        <v>518</v>
      </c>
      <c r="C274" s="353" t="s">
        <v>569</v>
      </c>
      <c r="D274" s="11" t="s">
        <v>326</v>
      </c>
      <c r="E274" s="11" t="s">
        <v>649</v>
      </c>
      <c r="F274" s="450">
        <v>40053</v>
      </c>
      <c r="H274" s="256"/>
      <c r="I274" s="11"/>
      <c r="J274" s="256"/>
      <c r="K274" s="256"/>
      <c r="L274" s="11"/>
    </row>
    <row r="275" spans="1:12" x14ac:dyDescent="0.2">
      <c r="A275" s="353" t="s">
        <v>1594</v>
      </c>
      <c r="B275" s="353" t="s">
        <v>519</v>
      </c>
      <c r="C275" s="353" t="s">
        <v>520</v>
      </c>
      <c r="D275" s="353" t="s">
        <v>326</v>
      </c>
      <c r="E275" s="11" t="s">
        <v>649</v>
      </c>
      <c r="F275" s="450">
        <v>40015</v>
      </c>
      <c r="H275" s="256"/>
      <c r="I275" s="11"/>
      <c r="J275" s="256"/>
      <c r="K275" s="256"/>
      <c r="L275" s="11"/>
    </row>
    <row r="276" spans="1:12" x14ac:dyDescent="0.2">
      <c r="A276" s="353" t="s">
        <v>1595</v>
      </c>
      <c r="B276" s="353" t="s">
        <v>662</v>
      </c>
      <c r="C276" s="353" t="s">
        <v>521</v>
      </c>
      <c r="D276" s="11" t="s">
        <v>318</v>
      </c>
      <c r="E276" s="11" t="s">
        <v>649</v>
      </c>
      <c r="F276" s="450">
        <v>40081</v>
      </c>
      <c r="H276" s="256"/>
      <c r="I276" s="11"/>
      <c r="J276" s="256"/>
      <c r="K276" s="256"/>
      <c r="L276" s="11"/>
    </row>
    <row r="277" spans="1:12" x14ac:dyDescent="0.2">
      <c r="A277" s="353" t="s">
        <v>1596</v>
      </c>
      <c r="B277" s="353" t="s">
        <v>524</v>
      </c>
      <c r="C277" s="353" t="s">
        <v>1253</v>
      </c>
      <c r="D277" s="353" t="s">
        <v>320</v>
      </c>
      <c r="E277" s="11" t="s">
        <v>649</v>
      </c>
      <c r="F277" s="450">
        <v>40141</v>
      </c>
      <c r="H277" s="256"/>
      <c r="I277" s="11"/>
      <c r="J277" s="256"/>
      <c r="K277" s="256"/>
      <c r="L277" s="11"/>
    </row>
    <row r="278" spans="1:12" x14ac:dyDescent="0.2">
      <c r="A278" s="353" t="s">
        <v>1597</v>
      </c>
      <c r="B278" s="353" t="s">
        <v>525</v>
      </c>
      <c r="C278" s="353" t="s">
        <v>714</v>
      </c>
      <c r="D278" s="11" t="s">
        <v>326</v>
      </c>
      <c r="E278" s="11" t="s">
        <v>649</v>
      </c>
      <c r="F278" s="450">
        <v>40074</v>
      </c>
      <c r="H278" s="256"/>
      <c r="I278" s="11"/>
      <c r="J278" s="256"/>
      <c r="K278" s="256"/>
      <c r="L278" s="11"/>
    </row>
    <row r="279" spans="1:12" x14ac:dyDescent="0.2">
      <c r="A279" s="353" t="s">
        <v>1598</v>
      </c>
      <c r="B279" s="353" t="s">
        <v>527</v>
      </c>
      <c r="C279" s="353" t="s">
        <v>1599</v>
      </c>
      <c r="D279" s="353" t="s">
        <v>317</v>
      </c>
      <c r="E279" s="11" t="s">
        <v>649</v>
      </c>
      <c r="F279" s="450">
        <v>40256</v>
      </c>
      <c r="H279" s="256"/>
      <c r="I279" s="11"/>
      <c r="J279" s="256"/>
      <c r="K279" s="256"/>
      <c r="L279" s="11"/>
    </row>
    <row r="280" spans="1:12" x14ac:dyDescent="0.2">
      <c r="A280" s="353" t="s">
        <v>1600</v>
      </c>
      <c r="B280" s="353" t="s">
        <v>544</v>
      </c>
      <c r="C280" s="353" t="s">
        <v>663</v>
      </c>
      <c r="D280" s="353" t="s">
        <v>326</v>
      </c>
      <c r="E280" s="11" t="s">
        <v>649</v>
      </c>
      <c r="F280" s="450">
        <v>40081</v>
      </c>
      <c r="H280" s="256"/>
      <c r="I280" s="11"/>
      <c r="J280" s="256"/>
      <c r="K280" s="256"/>
      <c r="L280" s="11"/>
    </row>
    <row r="281" spans="1:12" x14ac:dyDescent="0.2">
      <c r="A281" s="353" t="s">
        <v>1601</v>
      </c>
      <c r="B281" s="353" t="s">
        <v>528</v>
      </c>
      <c r="C281" s="353" t="s">
        <v>529</v>
      </c>
      <c r="D281" s="353" t="s">
        <v>318</v>
      </c>
      <c r="E281" s="11" t="s">
        <v>649</v>
      </c>
      <c r="F281" s="450">
        <v>40155</v>
      </c>
      <c r="H281" s="256"/>
      <c r="I281" s="11"/>
      <c r="J281" s="256"/>
      <c r="K281" s="256"/>
      <c r="L281" s="11"/>
    </row>
    <row r="282" spans="1:12" x14ac:dyDescent="0.2">
      <c r="A282" s="353" t="s">
        <v>1602</v>
      </c>
      <c r="B282" s="353" t="s">
        <v>1227</v>
      </c>
      <c r="C282" s="353" t="s">
        <v>1228</v>
      </c>
      <c r="D282" s="11" t="s">
        <v>319</v>
      </c>
      <c r="E282" s="11" t="s">
        <v>649</v>
      </c>
      <c r="F282" s="450">
        <v>40158</v>
      </c>
      <c r="H282" s="256"/>
      <c r="I282" s="11"/>
      <c r="J282" s="256"/>
      <c r="K282" s="256"/>
      <c r="L282" s="11"/>
    </row>
    <row r="283" spans="1:12" x14ac:dyDescent="0.2">
      <c r="A283" s="353" t="s">
        <v>1603</v>
      </c>
      <c r="B283" s="353" t="s">
        <v>531</v>
      </c>
      <c r="C283" s="353" t="s">
        <v>532</v>
      </c>
      <c r="D283" s="11" t="s">
        <v>326</v>
      </c>
      <c r="E283" s="11" t="s">
        <v>649</v>
      </c>
      <c r="F283" s="450">
        <v>40135</v>
      </c>
      <c r="H283" s="256"/>
      <c r="I283" s="11"/>
      <c r="J283" s="256"/>
      <c r="K283" s="256"/>
      <c r="L283" s="11"/>
    </row>
    <row r="284" spans="1:12" x14ac:dyDescent="0.2">
      <c r="A284" s="353" t="s">
        <v>1604</v>
      </c>
      <c r="B284" s="353" t="s">
        <v>500</v>
      </c>
      <c r="C284" s="353" t="s">
        <v>534</v>
      </c>
      <c r="D284" s="353" t="s">
        <v>326</v>
      </c>
      <c r="E284" s="11" t="s">
        <v>649</v>
      </c>
      <c r="F284" s="450">
        <v>40144</v>
      </c>
      <c r="H284" s="256"/>
      <c r="I284" s="11"/>
      <c r="J284" s="256"/>
      <c r="K284" s="256"/>
      <c r="L284" s="11"/>
    </row>
    <row r="285" spans="1:12" x14ac:dyDescent="0.2">
      <c r="A285" s="353" t="s">
        <v>2049</v>
      </c>
      <c r="B285" s="353" t="s">
        <v>535</v>
      </c>
      <c r="C285" s="353" t="s">
        <v>288</v>
      </c>
      <c r="D285" s="11" t="s">
        <v>323</v>
      </c>
      <c r="E285" s="11" t="s">
        <v>649</v>
      </c>
      <c r="F285" s="450">
        <v>40310</v>
      </c>
      <c r="H285" s="256"/>
      <c r="I285" s="11"/>
      <c r="J285" s="256"/>
      <c r="K285" s="256"/>
      <c r="L285" s="11"/>
    </row>
    <row r="286" spans="1:12" x14ac:dyDescent="0.2">
      <c r="A286" s="353" t="s">
        <v>1605</v>
      </c>
      <c r="B286" s="353" t="s">
        <v>1254</v>
      </c>
      <c r="C286" s="353" t="s">
        <v>1394</v>
      </c>
      <c r="D286" s="11" t="s">
        <v>320</v>
      </c>
      <c r="E286" s="11" t="s">
        <v>649</v>
      </c>
      <c r="F286" s="450">
        <v>40232</v>
      </c>
      <c r="H286" s="256"/>
      <c r="I286" s="11"/>
      <c r="J286" s="256"/>
      <c r="K286" s="256"/>
      <c r="L286" s="11"/>
    </row>
    <row r="287" spans="1:12" x14ac:dyDescent="0.2">
      <c r="A287" s="353" t="s">
        <v>1606</v>
      </c>
      <c r="B287" s="353" t="s">
        <v>537</v>
      </c>
      <c r="C287" s="353" t="s">
        <v>538</v>
      </c>
      <c r="D287" s="11" t="s">
        <v>326</v>
      </c>
      <c r="E287" s="11" t="s">
        <v>649</v>
      </c>
      <c r="F287" s="450">
        <v>40528</v>
      </c>
      <c r="H287" s="256"/>
      <c r="I287" s="11"/>
      <c r="J287" s="256"/>
      <c r="K287" s="256"/>
      <c r="L287" s="11"/>
    </row>
    <row r="288" spans="1:12" x14ac:dyDescent="0.2">
      <c r="A288" s="353" t="s">
        <v>1607</v>
      </c>
      <c r="B288" s="353" t="s">
        <v>0</v>
      </c>
      <c r="C288" s="353" t="s">
        <v>1</v>
      </c>
      <c r="D288" s="353" t="s">
        <v>317</v>
      </c>
      <c r="E288" s="11" t="s">
        <v>649</v>
      </c>
      <c r="F288" s="450">
        <v>40284</v>
      </c>
      <c r="H288" s="256"/>
      <c r="I288" s="11"/>
      <c r="J288" s="256"/>
      <c r="K288" s="256"/>
      <c r="L288" s="11"/>
    </row>
    <row r="289" spans="1:12" x14ac:dyDescent="0.2">
      <c r="A289" s="353" t="s">
        <v>1609</v>
      </c>
      <c r="B289" s="353" t="s">
        <v>1397</v>
      </c>
      <c r="C289" s="353" t="s">
        <v>1398</v>
      </c>
      <c r="D289" s="353" t="s">
        <v>326</v>
      </c>
      <c r="E289" s="11" t="s">
        <v>649</v>
      </c>
      <c r="F289" s="450">
        <v>40218</v>
      </c>
      <c r="H289" s="256"/>
      <c r="I289" s="11"/>
      <c r="J289" s="256"/>
      <c r="K289" s="256"/>
      <c r="L289" s="11"/>
    </row>
    <row r="290" spans="1:12" x14ac:dyDescent="0.2">
      <c r="A290" s="353" t="s">
        <v>1610</v>
      </c>
      <c r="B290" s="353" t="s">
        <v>3</v>
      </c>
      <c r="C290" s="353" t="s">
        <v>411</v>
      </c>
      <c r="D290" s="11" t="s">
        <v>325</v>
      </c>
      <c r="E290" s="11" t="s">
        <v>649</v>
      </c>
      <c r="F290" s="450">
        <v>40242</v>
      </c>
      <c r="H290" s="256"/>
      <c r="I290" s="11"/>
      <c r="J290" s="256"/>
      <c r="K290" s="256"/>
      <c r="L290" s="11"/>
    </row>
    <row r="291" spans="1:12" x14ac:dyDescent="0.2">
      <c r="A291" s="353" t="s">
        <v>1611</v>
      </c>
      <c r="B291" s="353" t="s">
        <v>4</v>
      </c>
      <c r="C291" s="353" t="s">
        <v>5</v>
      </c>
      <c r="D291" s="353" t="s">
        <v>326</v>
      </c>
      <c r="E291" s="11" t="s">
        <v>649</v>
      </c>
      <c r="F291" s="450">
        <v>40234</v>
      </c>
      <c r="H291" s="256"/>
      <c r="I291" s="11"/>
      <c r="J291" s="256"/>
      <c r="K291" s="256"/>
      <c r="L291" s="11"/>
    </row>
    <row r="292" spans="1:12" x14ac:dyDescent="0.2">
      <c r="A292" s="353" t="s">
        <v>1612</v>
      </c>
      <c r="B292" s="353" t="s">
        <v>6</v>
      </c>
      <c r="C292" s="353" t="s">
        <v>626</v>
      </c>
      <c r="D292" s="11" t="s">
        <v>329</v>
      </c>
      <c r="E292" s="11" t="s">
        <v>649</v>
      </c>
      <c r="F292" s="450">
        <v>40283</v>
      </c>
      <c r="H292" s="256"/>
      <c r="I292" s="11"/>
      <c r="J292" s="256"/>
      <c r="K292" s="256"/>
      <c r="L292" s="11"/>
    </row>
    <row r="293" spans="1:12" x14ac:dyDescent="0.2">
      <c r="A293" s="353" t="s">
        <v>1613</v>
      </c>
      <c r="B293" s="353" t="s">
        <v>716</v>
      </c>
      <c r="C293" s="353" t="s">
        <v>1399</v>
      </c>
      <c r="D293" s="353" t="s">
        <v>320</v>
      </c>
      <c r="E293" s="11" t="s">
        <v>649</v>
      </c>
      <c r="F293" s="450">
        <v>40337</v>
      </c>
      <c r="H293" s="256"/>
      <c r="I293" s="11"/>
      <c r="J293" s="256"/>
      <c r="K293" s="256"/>
      <c r="L293" s="11"/>
    </row>
    <row r="294" spans="1:12" x14ac:dyDescent="0.2">
      <c r="A294" s="353" t="s">
        <v>1614</v>
      </c>
      <c r="B294" s="353" t="s">
        <v>573</v>
      </c>
      <c r="C294" s="353" t="s">
        <v>574</v>
      </c>
      <c r="D294" s="353" t="s">
        <v>326</v>
      </c>
      <c r="E294" s="11" t="s">
        <v>649</v>
      </c>
      <c r="F294" s="450">
        <v>40492</v>
      </c>
      <c r="H294" s="256"/>
      <c r="I294" s="11"/>
      <c r="J294" s="256"/>
      <c r="K294" s="256"/>
      <c r="L294" s="11"/>
    </row>
    <row r="295" spans="1:12" x14ac:dyDescent="0.2">
      <c r="A295" s="353" t="s">
        <v>1615</v>
      </c>
      <c r="B295" s="353" t="s">
        <v>10</v>
      </c>
      <c r="C295" s="353" t="s">
        <v>717</v>
      </c>
      <c r="D295" s="11" t="s">
        <v>323</v>
      </c>
      <c r="E295" s="11" t="s">
        <v>649</v>
      </c>
      <c r="F295" s="450">
        <v>40310</v>
      </c>
      <c r="H295" s="256"/>
      <c r="I295" s="11"/>
      <c r="J295" s="256"/>
      <c r="K295" s="256"/>
      <c r="L295" s="11"/>
    </row>
    <row r="296" spans="1:12" x14ac:dyDescent="0.2">
      <c r="A296" s="353" t="s">
        <v>1616</v>
      </c>
      <c r="B296" s="353" t="s">
        <v>11</v>
      </c>
      <c r="C296" s="353" t="s">
        <v>12</v>
      </c>
      <c r="D296" s="353" t="s">
        <v>330</v>
      </c>
      <c r="E296" s="11" t="s">
        <v>649</v>
      </c>
      <c r="F296" s="450">
        <v>40317</v>
      </c>
      <c r="H296" s="256"/>
      <c r="I296" s="11"/>
      <c r="J296" s="256"/>
      <c r="K296" s="256"/>
      <c r="L296" s="11"/>
    </row>
    <row r="297" spans="1:12" x14ac:dyDescent="0.2">
      <c r="A297" s="353" t="s">
        <v>1617</v>
      </c>
      <c r="B297" s="353" t="s">
        <v>1449</v>
      </c>
      <c r="C297" s="353" t="s">
        <v>13</v>
      </c>
      <c r="D297" s="353" t="s">
        <v>326</v>
      </c>
      <c r="E297" s="11" t="s">
        <v>649</v>
      </c>
      <c r="F297" s="450">
        <v>40354</v>
      </c>
      <c r="H297" s="256"/>
      <c r="I297" s="11"/>
      <c r="J297" s="256"/>
      <c r="K297" s="256"/>
      <c r="L297" s="11"/>
    </row>
    <row r="298" spans="1:12" x14ac:dyDescent="0.2">
      <c r="A298" s="353" t="s">
        <v>1618</v>
      </c>
      <c r="B298" s="353" t="s">
        <v>16</v>
      </c>
      <c r="C298" s="353" t="s">
        <v>17</v>
      </c>
      <c r="D298" s="11" t="s">
        <v>326</v>
      </c>
      <c r="E298" s="11" t="s">
        <v>649</v>
      </c>
      <c r="F298" s="450">
        <v>40473</v>
      </c>
      <c r="H298" s="256"/>
      <c r="I298" s="11"/>
      <c r="J298" s="256"/>
      <c r="K298" s="256"/>
      <c r="L298" s="11"/>
    </row>
    <row r="299" spans="1:12" x14ac:dyDescent="0.2">
      <c r="A299" s="353" t="s">
        <v>1620</v>
      </c>
      <c r="B299" s="353" t="s">
        <v>575</v>
      </c>
      <c r="C299" s="353" t="s">
        <v>576</v>
      </c>
      <c r="D299" s="353" t="s">
        <v>317</v>
      </c>
      <c r="E299" s="11" t="s">
        <v>649</v>
      </c>
      <c r="F299" s="450">
        <v>40487</v>
      </c>
      <c r="H299" s="256"/>
      <c r="I299" s="11"/>
      <c r="J299" s="256"/>
      <c r="K299" s="256"/>
      <c r="L299" s="11"/>
    </row>
    <row r="300" spans="1:12" x14ac:dyDescent="0.2">
      <c r="A300" s="353" t="s">
        <v>1621</v>
      </c>
      <c r="B300" s="353" t="s">
        <v>1451</v>
      </c>
      <c r="C300" s="353" t="s">
        <v>1452</v>
      </c>
      <c r="D300" s="11" t="s">
        <v>326</v>
      </c>
      <c r="E300" s="11" t="s">
        <v>649</v>
      </c>
      <c r="F300" s="450">
        <v>45083</v>
      </c>
      <c r="H300" s="256"/>
      <c r="I300" s="11"/>
      <c r="J300" s="256"/>
      <c r="K300" s="256"/>
      <c r="L300" s="11"/>
    </row>
    <row r="301" spans="1:12" x14ac:dyDescent="0.2">
      <c r="A301" s="353" t="s">
        <v>1622</v>
      </c>
      <c r="B301" s="353" t="s">
        <v>720</v>
      </c>
      <c r="C301" s="353" t="s">
        <v>721</v>
      </c>
      <c r="D301" s="11" t="s">
        <v>315</v>
      </c>
      <c r="E301" s="11" t="s">
        <v>649</v>
      </c>
      <c r="F301" s="450">
        <v>40522</v>
      </c>
      <c r="H301" s="256"/>
      <c r="I301" s="11"/>
      <c r="J301" s="256"/>
      <c r="K301" s="256"/>
      <c r="L301" s="11"/>
    </row>
    <row r="302" spans="1:12" x14ac:dyDescent="0.2">
      <c r="A302" s="353" t="s">
        <v>1623</v>
      </c>
      <c r="B302" s="353" t="s">
        <v>25</v>
      </c>
      <c r="C302" s="353" t="s">
        <v>26</v>
      </c>
      <c r="D302" s="11" t="s">
        <v>326</v>
      </c>
      <c r="E302" s="11" t="s">
        <v>649</v>
      </c>
      <c r="F302" s="450">
        <v>40604</v>
      </c>
      <c r="H302" s="256"/>
      <c r="I302" s="11"/>
      <c r="J302" s="256"/>
      <c r="K302" s="256"/>
      <c r="L302" s="11"/>
    </row>
    <row r="303" spans="1:12" x14ac:dyDescent="0.2">
      <c r="A303" s="353" t="s">
        <v>1624</v>
      </c>
      <c r="B303" s="353" t="s">
        <v>602</v>
      </c>
      <c r="C303" s="353" t="s">
        <v>603</v>
      </c>
      <c r="D303" s="353" t="s">
        <v>325</v>
      </c>
      <c r="E303" s="11" t="s">
        <v>649</v>
      </c>
      <c r="F303" s="450">
        <v>41985</v>
      </c>
      <c r="H303" s="256"/>
      <c r="I303" s="11"/>
      <c r="J303" s="256"/>
      <c r="K303" s="256"/>
      <c r="L303" s="11"/>
    </row>
    <row r="304" spans="1:12" x14ac:dyDescent="0.2">
      <c r="A304" s="353" t="s">
        <v>1625</v>
      </c>
      <c r="B304" s="353" t="s">
        <v>28</v>
      </c>
      <c r="C304" s="353" t="s">
        <v>2050</v>
      </c>
      <c r="D304" s="11" t="s">
        <v>318</v>
      </c>
      <c r="E304" s="11" t="s">
        <v>649</v>
      </c>
      <c r="F304" s="450">
        <v>40529</v>
      </c>
      <c r="H304" s="256"/>
      <c r="I304" s="11"/>
      <c r="J304" s="256"/>
      <c r="K304" s="256"/>
      <c r="L304" s="11"/>
    </row>
    <row r="305" spans="1:12" x14ac:dyDescent="0.2">
      <c r="A305" s="353" t="s">
        <v>1628</v>
      </c>
      <c r="B305" s="353" t="s">
        <v>1629</v>
      </c>
      <c r="C305" s="353" t="s">
        <v>1630</v>
      </c>
      <c r="D305" s="11" t="s">
        <v>326</v>
      </c>
      <c r="E305" s="11" t="s">
        <v>649</v>
      </c>
      <c r="F305" s="450">
        <v>40739</v>
      </c>
      <c r="H305" s="256"/>
      <c r="I305" s="11"/>
      <c r="J305" s="256"/>
      <c r="K305" s="256"/>
      <c r="L305" s="11"/>
    </row>
    <row r="306" spans="1:12" x14ac:dyDescent="0.2">
      <c r="A306" s="353" t="s">
        <v>1631</v>
      </c>
      <c r="B306" s="353" t="s">
        <v>43</v>
      </c>
      <c r="C306" s="353" t="s">
        <v>44</v>
      </c>
      <c r="D306" s="11" t="s">
        <v>317</v>
      </c>
      <c r="E306" s="11" t="s">
        <v>649</v>
      </c>
      <c r="F306" s="450">
        <v>40750</v>
      </c>
      <c r="H306" s="256"/>
      <c r="I306" s="11"/>
      <c r="J306" s="256"/>
      <c r="K306" s="256"/>
      <c r="L306" s="11"/>
    </row>
    <row r="307" spans="1:12" x14ac:dyDescent="0.2">
      <c r="A307" s="353" t="s">
        <v>1632</v>
      </c>
      <c r="B307" s="353" t="s">
        <v>1454</v>
      </c>
      <c r="C307" s="353" t="s">
        <v>1455</v>
      </c>
      <c r="D307" s="353" t="s">
        <v>331</v>
      </c>
      <c r="E307" s="11" t="s">
        <v>649</v>
      </c>
      <c r="F307" s="450">
        <v>40823</v>
      </c>
      <c r="H307" s="256"/>
      <c r="I307" s="11"/>
      <c r="J307" s="256"/>
      <c r="K307" s="256"/>
      <c r="L307" s="11"/>
    </row>
    <row r="308" spans="1:12" x14ac:dyDescent="0.2">
      <c r="A308" s="353" t="s">
        <v>2051</v>
      </c>
      <c r="B308" s="353" t="s">
        <v>2052</v>
      </c>
      <c r="C308" s="353" t="s">
        <v>2053</v>
      </c>
      <c r="D308" s="11" t="s">
        <v>326</v>
      </c>
      <c r="E308" s="11" t="s">
        <v>649</v>
      </c>
      <c r="F308" s="450">
        <v>40785</v>
      </c>
      <c r="H308" s="256"/>
      <c r="I308" s="11"/>
      <c r="J308" s="256"/>
      <c r="K308" s="256"/>
      <c r="L308" s="11"/>
    </row>
    <row r="309" spans="1:12" x14ac:dyDescent="0.2">
      <c r="A309" s="353" t="s">
        <v>1635</v>
      </c>
      <c r="B309" s="353" t="s">
        <v>1636</v>
      </c>
      <c r="C309" s="353" t="s">
        <v>1637</v>
      </c>
      <c r="D309" s="353" t="s">
        <v>326</v>
      </c>
      <c r="E309" s="11" t="s">
        <v>649</v>
      </c>
      <c r="F309" s="450">
        <v>40813</v>
      </c>
      <c r="H309" s="256"/>
      <c r="I309" s="11"/>
      <c r="J309" s="256"/>
      <c r="K309" s="256"/>
      <c r="L309" s="11"/>
    </row>
    <row r="310" spans="1:12" x14ac:dyDescent="0.2">
      <c r="A310" s="353" t="s">
        <v>2054</v>
      </c>
      <c r="B310" s="353" t="s">
        <v>2055</v>
      </c>
      <c r="C310" s="353" t="s">
        <v>2056</v>
      </c>
      <c r="D310" s="11" t="s">
        <v>326</v>
      </c>
      <c r="E310" s="11" t="s">
        <v>649</v>
      </c>
      <c r="F310" s="450">
        <v>41003</v>
      </c>
      <c r="H310" s="256"/>
      <c r="I310" s="11"/>
      <c r="J310" s="256"/>
      <c r="K310" s="256"/>
      <c r="L310" s="11"/>
    </row>
    <row r="311" spans="1:12" x14ac:dyDescent="0.2">
      <c r="A311" s="353" t="s">
        <v>1638</v>
      </c>
      <c r="B311" s="353" t="s">
        <v>545</v>
      </c>
      <c r="C311" s="353" t="s">
        <v>1457</v>
      </c>
      <c r="D311" s="353" t="s">
        <v>330</v>
      </c>
      <c r="E311" s="11" t="s">
        <v>649</v>
      </c>
      <c r="F311" s="450">
        <v>41229</v>
      </c>
      <c r="H311" s="256"/>
      <c r="I311" s="11"/>
      <c r="J311" s="256"/>
      <c r="K311" s="256"/>
      <c r="L311" s="11"/>
    </row>
    <row r="312" spans="1:12" x14ac:dyDescent="0.2">
      <c r="A312" s="353" t="s">
        <v>1639</v>
      </c>
      <c r="B312" s="353" t="s">
        <v>52</v>
      </c>
      <c r="C312" s="353" t="s">
        <v>580</v>
      </c>
      <c r="D312" s="353" t="s">
        <v>331</v>
      </c>
      <c r="E312" s="11" t="s">
        <v>649</v>
      </c>
      <c r="F312" s="450">
        <v>41023</v>
      </c>
      <c r="H312" s="256"/>
      <c r="I312" s="11"/>
      <c r="J312" s="256"/>
      <c r="K312" s="256"/>
      <c r="L312" s="11"/>
    </row>
    <row r="313" spans="1:12" x14ac:dyDescent="0.2">
      <c r="A313" s="353" t="s">
        <v>1640</v>
      </c>
      <c r="B313" s="353" t="s">
        <v>55</v>
      </c>
      <c r="C313" s="353" t="s">
        <v>581</v>
      </c>
      <c r="D313" s="353" t="s">
        <v>326</v>
      </c>
      <c r="E313" s="11" t="s">
        <v>649</v>
      </c>
      <c r="F313" s="450">
        <v>41080</v>
      </c>
      <c r="H313" s="256"/>
      <c r="I313" s="11"/>
      <c r="J313" s="256"/>
      <c r="K313" s="256"/>
      <c r="L313" s="11"/>
    </row>
    <row r="314" spans="1:12" x14ac:dyDescent="0.2">
      <c r="A314" s="353" t="s">
        <v>1641</v>
      </c>
      <c r="B314" s="353" t="s">
        <v>1336</v>
      </c>
      <c r="C314" s="353" t="s">
        <v>1337</v>
      </c>
      <c r="D314" s="353" t="s">
        <v>326</v>
      </c>
      <c r="E314" s="11" t="s">
        <v>649</v>
      </c>
      <c r="F314" s="450">
        <v>41052</v>
      </c>
      <c r="H314" s="256"/>
      <c r="I314" s="11"/>
      <c r="J314" s="256"/>
      <c r="K314" s="256"/>
      <c r="L314" s="11"/>
    </row>
    <row r="315" spans="1:12" x14ac:dyDescent="0.2">
      <c r="A315" s="353" t="s">
        <v>1642</v>
      </c>
      <c r="B315" s="353" t="s">
        <v>56</v>
      </c>
      <c r="C315" s="353" t="s">
        <v>287</v>
      </c>
      <c r="D315" s="353" t="s">
        <v>318</v>
      </c>
      <c r="E315" s="11" t="s">
        <v>649</v>
      </c>
      <c r="F315" s="450">
        <v>41082</v>
      </c>
      <c r="H315" s="256"/>
      <c r="I315" s="11"/>
      <c r="J315" s="256"/>
      <c r="K315" s="256"/>
      <c r="L315" s="11"/>
    </row>
    <row r="316" spans="1:12" x14ac:dyDescent="0.2">
      <c r="A316" s="353" t="s">
        <v>1643</v>
      </c>
      <c r="B316" s="353" t="s">
        <v>668</v>
      </c>
      <c r="C316" s="353" t="s">
        <v>669</v>
      </c>
      <c r="D316" s="11" t="s">
        <v>325</v>
      </c>
      <c r="E316" s="11" t="s">
        <v>649</v>
      </c>
      <c r="F316" s="450">
        <v>41163</v>
      </c>
      <c r="H316" s="256"/>
      <c r="I316" s="11"/>
      <c r="J316" s="256"/>
      <c r="K316" s="256"/>
      <c r="L316" s="11"/>
    </row>
    <row r="317" spans="1:12" x14ac:dyDescent="0.2">
      <c r="A317" s="353" t="s">
        <v>1644</v>
      </c>
      <c r="B317" s="353" t="s">
        <v>1338</v>
      </c>
      <c r="C317" s="353" t="s">
        <v>1339</v>
      </c>
      <c r="D317" s="11" t="s">
        <v>320</v>
      </c>
      <c r="E317" s="11" t="s">
        <v>649</v>
      </c>
      <c r="F317" s="450">
        <v>44239</v>
      </c>
      <c r="H317" s="256"/>
      <c r="I317" s="11"/>
      <c r="J317" s="256"/>
      <c r="K317" s="256"/>
      <c r="L317" s="11"/>
    </row>
    <row r="318" spans="1:12" x14ac:dyDescent="0.2">
      <c r="A318" s="353" t="s">
        <v>1645</v>
      </c>
      <c r="B318" s="353" t="s">
        <v>1229</v>
      </c>
      <c r="C318" s="353" t="s">
        <v>2057</v>
      </c>
      <c r="D318" s="353" t="s">
        <v>319</v>
      </c>
      <c r="E318" s="11" t="s">
        <v>649</v>
      </c>
      <c r="F318" s="450">
        <v>41205</v>
      </c>
      <c r="H318" s="256"/>
      <c r="I318" s="11"/>
      <c r="J318" s="256"/>
      <c r="K318" s="256"/>
      <c r="L318" s="11"/>
    </row>
    <row r="319" spans="1:12" x14ac:dyDescent="0.2">
      <c r="A319" s="353" t="s">
        <v>2058</v>
      </c>
      <c r="B319" s="353" t="s">
        <v>2059</v>
      </c>
      <c r="C319" s="353" t="s">
        <v>2060</v>
      </c>
      <c r="D319" s="11" t="s">
        <v>326</v>
      </c>
      <c r="E319" s="11" t="s">
        <v>649</v>
      </c>
      <c r="F319" s="450">
        <v>41208</v>
      </c>
      <c r="H319" s="256"/>
      <c r="I319" s="11"/>
      <c r="J319" s="256"/>
      <c r="K319" s="256"/>
      <c r="L319" s="11"/>
    </row>
    <row r="320" spans="1:12" x14ac:dyDescent="0.2">
      <c r="A320" s="353" t="s">
        <v>1646</v>
      </c>
      <c r="B320" s="353" t="s">
        <v>547</v>
      </c>
      <c r="C320" s="353" t="s">
        <v>63</v>
      </c>
      <c r="D320" s="11" t="s">
        <v>331</v>
      </c>
      <c r="E320" s="11" t="s">
        <v>649</v>
      </c>
      <c r="F320" s="450">
        <v>41247</v>
      </c>
      <c r="H320" s="256"/>
      <c r="I320" s="11"/>
      <c r="J320" s="256"/>
      <c r="K320" s="256"/>
      <c r="L320" s="11"/>
    </row>
    <row r="321" spans="1:12" x14ac:dyDescent="0.2">
      <c r="A321" s="353" t="s">
        <v>1647</v>
      </c>
      <c r="B321" s="353" t="s">
        <v>210</v>
      </c>
      <c r="C321" s="353" t="s">
        <v>211</v>
      </c>
      <c r="D321" s="353" t="s">
        <v>331</v>
      </c>
      <c r="E321" s="11" t="s">
        <v>649</v>
      </c>
      <c r="F321" s="450">
        <v>41380</v>
      </c>
      <c r="H321" s="256"/>
      <c r="I321" s="11"/>
      <c r="J321" s="256"/>
      <c r="K321" s="256"/>
      <c r="L321" s="11"/>
    </row>
    <row r="322" spans="1:12" x14ac:dyDescent="0.2">
      <c r="A322" s="353" t="s">
        <v>2061</v>
      </c>
      <c r="B322" s="353" t="s">
        <v>2062</v>
      </c>
      <c r="C322" s="353" t="s">
        <v>2063</v>
      </c>
      <c r="D322" s="11" t="s">
        <v>319</v>
      </c>
      <c r="E322" s="11" t="s">
        <v>649</v>
      </c>
      <c r="F322" s="450">
        <v>41352</v>
      </c>
      <c r="H322" s="256"/>
      <c r="I322" s="11"/>
      <c r="J322" s="256"/>
      <c r="K322" s="256"/>
      <c r="L322" s="11"/>
    </row>
    <row r="323" spans="1:12" x14ac:dyDescent="0.2">
      <c r="A323" s="353" t="s">
        <v>1648</v>
      </c>
      <c r="B323" s="353" t="s">
        <v>247</v>
      </c>
      <c r="C323" s="353" t="s">
        <v>552</v>
      </c>
      <c r="D323" s="11" t="s">
        <v>317</v>
      </c>
      <c r="E323" s="11" t="s">
        <v>649</v>
      </c>
      <c r="F323" s="450">
        <v>41361</v>
      </c>
      <c r="H323" s="256"/>
      <c r="I323" s="11"/>
      <c r="J323" s="256"/>
      <c r="K323" s="256"/>
      <c r="L323" s="11"/>
    </row>
    <row r="324" spans="1:12" x14ac:dyDescent="0.2">
      <c r="A324" s="353" t="s">
        <v>2064</v>
      </c>
      <c r="B324" s="353" t="s">
        <v>2065</v>
      </c>
      <c r="C324" s="353" t="s">
        <v>2066</v>
      </c>
      <c r="D324" s="353" t="s">
        <v>315</v>
      </c>
      <c r="E324" s="11" t="s">
        <v>649</v>
      </c>
      <c r="F324" s="450">
        <v>41436</v>
      </c>
      <c r="H324" s="256"/>
      <c r="I324" s="11"/>
      <c r="J324" s="256"/>
      <c r="K324" s="256"/>
      <c r="L324" s="11"/>
    </row>
    <row r="325" spans="1:12" x14ac:dyDescent="0.2">
      <c r="A325" s="353" t="s">
        <v>1649</v>
      </c>
      <c r="B325" s="353" t="s">
        <v>221</v>
      </c>
      <c r="C325" s="353" t="s">
        <v>725</v>
      </c>
      <c r="D325" s="353" t="s">
        <v>326</v>
      </c>
      <c r="E325" s="11" t="s">
        <v>649</v>
      </c>
      <c r="F325" s="450">
        <v>41786</v>
      </c>
      <c r="H325" s="256"/>
      <c r="I325" s="11"/>
      <c r="J325" s="256"/>
      <c r="K325" s="256"/>
      <c r="L325" s="11"/>
    </row>
    <row r="326" spans="1:12" x14ac:dyDescent="0.2">
      <c r="A326" s="353" t="s">
        <v>1650</v>
      </c>
      <c r="B326" s="353" t="s">
        <v>1218</v>
      </c>
      <c r="C326" s="353" t="s">
        <v>1219</v>
      </c>
      <c r="D326" s="353" t="s">
        <v>323</v>
      </c>
      <c r="E326" s="11" t="s">
        <v>649</v>
      </c>
      <c r="F326" s="450">
        <v>41611</v>
      </c>
      <c r="H326" s="256"/>
      <c r="I326" s="11"/>
      <c r="J326" s="256"/>
      <c r="K326" s="256"/>
      <c r="L326" s="11"/>
    </row>
    <row r="327" spans="1:12" x14ac:dyDescent="0.2">
      <c r="A327" s="353" t="s">
        <v>1651</v>
      </c>
      <c r="B327" s="353" t="s">
        <v>631</v>
      </c>
      <c r="C327" s="353" t="s">
        <v>632</v>
      </c>
      <c r="D327" s="353" t="s">
        <v>326</v>
      </c>
      <c r="E327" s="11" t="s">
        <v>649</v>
      </c>
      <c r="F327" s="450">
        <v>41565</v>
      </c>
      <c r="H327" s="256"/>
      <c r="I327" s="11"/>
      <c r="J327" s="256"/>
      <c r="K327" s="256"/>
      <c r="L327" s="11"/>
    </row>
    <row r="328" spans="1:12" x14ac:dyDescent="0.2">
      <c r="A328" s="353" t="s">
        <v>1652</v>
      </c>
      <c r="B328" s="353" t="s">
        <v>1261</v>
      </c>
      <c r="C328" s="353" t="s">
        <v>1262</v>
      </c>
      <c r="D328" s="353" t="s">
        <v>325</v>
      </c>
      <c r="E328" s="11" t="s">
        <v>649</v>
      </c>
      <c r="F328" s="450">
        <v>41781</v>
      </c>
      <c r="H328" s="256"/>
      <c r="I328" s="11"/>
      <c r="J328" s="256"/>
      <c r="K328" s="256"/>
      <c r="L328" s="11"/>
    </row>
    <row r="329" spans="1:12" x14ac:dyDescent="0.2">
      <c r="A329" s="353" t="s">
        <v>1653</v>
      </c>
      <c r="B329" s="353" t="s">
        <v>264</v>
      </c>
      <c r="C329" s="353" t="s">
        <v>265</v>
      </c>
      <c r="D329" s="11" t="s">
        <v>318</v>
      </c>
      <c r="E329" s="11" t="s">
        <v>649</v>
      </c>
      <c r="F329" s="450">
        <v>41765</v>
      </c>
      <c r="H329" s="256"/>
      <c r="I329" s="11"/>
      <c r="J329" s="256"/>
      <c r="K329" s="256"/>
      <c r="L329" s="11"/>
    </row>
    <row r="330" spans="1:12" x14ac:dyDescent="0.2">
      <c r="A330" s="353" t="s">
        <v>1654</v>
      </c>
      <c r="B330" s="353" t="s">
        <v>1402</v>
      </c>
      <c r="C330" s="353" t="s">
        <v>1403</v>
      </c>
      <c r="D330" s="353" t="s">
        <v>326</v>
      </c>
      <c r="E330" s="11" t="s">
        <v>649</v>
      </c>
      <c r="F330" s="471">
        <v>41787</v>
      </c>
      <c r="H330" s="256"/>
      <c r="I330" s="11"/>
      <c r="J330" s="256"/>
      <c r="K330" s="256"/>
      <c r="L330" s="11"/>
    </row>
    <row r="331" spans="1:12" x14ac:dyDescent="0.2">
      <c r="A331" s="353" t="s">
        <v>1655</v>
      </c>
      <c r="B331" s="353" t="s">
        <v>584</v>
      </c>
      <c r="C331" s="353" t="s">
        <v>585</v>
      </c>
      <c r="D331" s="11" t="s">
        <v>321</v>
      </c>
      <c r="E331" s="11" t="s">
        <v>649</v>
      </c>
      <c r="F331" s="450">
        <v>41836</v>
      </c>
      <c r="H331" s="256"/>
      <c r="I331" s="11"/>
      <c r="J331" s="256"/>
      <c r="K331" s="256"/>
      <c r="L331" s="11"/>
    </row>
    <row r="332" spans="1:12" x14ac:dyDescent="0.2">
      <c r="A332" s="353" t="s">
        <v>1656</v>
      </c>
      <c r="B332" s="353" t="s">
        <v>2067</v>
      </c>
      <c r="C332" s="353" t="s">
        <v>2068</v>
      </c>
      <c r="D332" s="11" t="s">
        <v>317</v>
      </c>
      <c r="E332" s="11" t="s">
        <v>649</v>
      </c>
      <c r="F332" s="471">
        <v>41975</v>
      </c>
      <c r="H332" s="256"/>
      <c r="I332" s="11"/>
      <c r="J332" s="256"/>
      <c r="K332" s="256"/>
      <c r="L332" s="11"/>
    </row>
    <row r="333" spans="1:12" x14ac:dyDescent="0.2">
      <c r="A333" s="353" t="s">
        <v>1657</v>
      </c>
      <c r="B333" s="353" t="s">
        <v>637</v>
      </c>
      <c r="C333" s="353" t="s">
        <v>638</v>
      </c>
      <c r="D333" s="11" t="s">
        <v>317</v>
      </c>
      <c r="E333" s="11" t="s">
        <v>649</v>
      </c>
      <c r="F333" s="471">
        <v>42151</v>
      </c>
      <c r="H333" s="256"/>
      <c r="I333" s="11"/>
      <c r="J333" s="256"/>
      <c r="K333" s="256"/>
      <c r="L333" s="11"/>
    </row>
    <row r="334" spans="1:12" x14ac:dyDescent="0.2">
      <c r="A334" s="353" t="s">
        <v>1658</v>
      </c>
      <c r="B334" s="353" t="s">
        <v>671</v>
      </c>
      <c r="C334" s="353" t="s">
        <v>672</v>
      </c>
      <c r="D334" s="11" t="s">
        <v>329</v>
      </c>
      <c r="E334" s="11" t="s">
        <v>649</v>
      </c>
      <c r="F334" s="471">
        <v>42332</v>
      </c>
      <c r="H334" s="256"/>
      <c r="I334" s="11"/>
      <c r="J334" s="256"/>
      <c r="K334" s="256"/>
      <c r="L334" s="11"/>
    </row>
    <row r="335" spans="1:12" x14ac:dyDescent="0.2">
      <c r="A335" s="353" t="s">
        <v>1659</v>
      </c>
      <c r="B335" s="353" t="s">
        <v>1230</v>
      </c>
      <c r="C335" s="353" t="s">
        <v>1231</v>
      </c>
      <c r="D335" s="353" t="s">
        <v>331</v>
      </c>
      <c r="E335" s="11" t="s">
        <v>649</v>
      </c>
      <c r="F335" s="471">
        <v>42325</v>
      </c>
      <c r="H335" s="256"/>
      <c r="I335" s="11"/>
      <c r="J335" s="256"/>
      <c r="K335" s="256"/>
      <c r="L335" s="11"/>
    </row>
    <row r="336" spans="1:12" x14ac:dyDescent="0.2">
      <c r="A336" s="353" t="s">
        <v>1660</v>
      </c>
      <c r="B336" s="353" t="s">
        <v>677</v>
      </c>
      <c r="C336" s="353" t="s">
        <v>678</v>
      </c>
      <c r="D336" s="353" t="s">
        <v>325</v>
      </c>
      <c r="E336" s="11" t="s">
        <v>649</v>
      </c>
      <c r="F336" s="471">
        <v>42481</v>
      </c>
      <c r="H336" s="256"/>
      <c r="I336" s="11"/>
      <c r="J336" s="256"/>
      <c r="K336" s="256"/>
      <c r="L336" s="11"/>
    </row>
    <row r="337" spans="1:12" x14ac:dyDescent="0.2">
      <c r="A337" s="353" t="s">
        <v>1661</v>
      </c>
      <c r="B337" s="353" t="s">
        <v>2069</v>
      </c>
      <c r="C337" s="353" t="s">
        <v>1662</v>
      </c>
      <c r="D337" s="11" t="s">
        <v>326</v>
      </c>
      <c r="E337" s="11" t="s">
        <v>649</v>
      </c>
      <c r="F337" s="471">
        <v>44694</v>
      </c>
      <c r="H337" s="256"/>
      <c r="I337" s="11"/>
      <c r="J337" s="256"/>
      <c r="K337" s="256"/>
      <c r="L337" s="11"/>
    </row>
    <row r="338" spans="1:12" x14ac:dyDescent="0.2">
      <c r="A338" s="353" t="s">
        <v>1663</v>
      </c>
      <c r="B338" s="353" t="s">
        <v>688</v>
      </c>
      <c r="C338" s="353" t="s">
        <v>689</v>
      </c>
      <c r="D338" s="11" t="s">
        <v>326</v>
      </c>
      <c r="E338" s="11" t="s">
        <v>649</v>
      </c>
      <c r="F338" s="471">
        <v>42824</v>
      </c>
      <c r="H338" s="256"/>
      <c r="I338" s="11"/>
      <c r="J338" s="256"/>
      <c r="K338" s="256"/>
      <c r="L338" s="11"/>
    </row>
    <row r="339" spans="1:12" x14ac:dyDescent="0.2">
      <c r="A339" s="353" t="s">
        <v>1664</v>
      </c>
      <c r="B339" s="353" t="s">
        <v>2070</v>
      </c>
      <c r="C339" s="353" t="s">
        <v>729</v>
      </c>
      <c r="D339" s="11" t="s">
        <v>315</v>
      </c>
      <c r="E339" s="11" t="s">
        <v>649</v>
      </c>
      <c r="F339" s="471">
        <v>42858</v>
      </c>
      <c r="H339" s="256"/>
      <c r="I339" s="11"/>
      <c r="J339" s="256"/>
      <c r="K339" s="256"/>
      <c r="L339" s="11"/>
    </row>
    <row r="340" spans="1:12" x14ac:dyDescent="0.2">
      <c r="A340" s="353" t="s">
        <v>1665</v>
      </c>
      <c r="B340" s="353" t="s">
        <v>2071</v>
      </c>
      <c r="C340" s="353" t="s">
        <v>1462</v>
      </c>
      <c r="D340" s="353" t="s">
        <v>326</v>
      </c>
      <c r="E340" s="11" t="s">
        <v>649</v>
      </c>
      <c r="F340" s="471">
        <v>43070</v>
      </c>
      <c r="H340" s="256"/>
      <c r="I340" s="11"/>
      <c r="J340" s="256"/>
      <c r="K340" s="256"/>
      <c r="L340" s="11"/>
    </row>
    <row r="341" spans="1:12" x14ac:dyDescent="0.2">
      <c r="A341" s="353" t="s">
        <v>1666</v>
      </c>
      <c r="B341" s="353" t="s">
        <v>1152</v>
      </c>
      <c r="C341" s="353" t="s">
        <v>734</v>
      </c>
      <c r="D341" s="353" t="s">
        <v>326</v>
      </c>
      <c r="E341" s="11" t="s">
        <v>649</v>
      </c>
      <c r="F341" s="471">
        <v>43028</v>
      </c>
      <c r="H341" s="256"/>
      <c r="I341" s="11"/>
      <c r="J341" s="256"/>
      <c r="K341" s="256"/>
      <c r="L341" s="11"/>
    </row>
    <row r="342" spans="1:12" x14ac:dyDescent="0.2">
      <c r="A342" s="353" t="s">
        <v>1667</v>
      </c>
      <c r="B342" s="353" t="s">
        <v>736</v>
      </c>
      <c r="C342" s="353" t="s">
        <v>737</v>
      </c>
      <c r="D342" s="11" t="s">
        <v>332</v>
      </c>
      <c r="E342" s="11" t="s">
        <v>332</v>
      </c>
      <c r="F342" s="471">
        <v>43055</v>
      </c>
      <c r="H342" s="256"/>
      <c r="I342" s="11"/>
      <c r="J342" s="256"/>
      <c r="K342" s="256"/>
      <c r="L342" s="11"/>
    </row>
    <row r="343" spans="1:12" x14ac:dyDescent="0.2">
      <c r="A343" s="353" t="s">
        <v>1668</v>
      </c>
      <c r="B343" s="353" t="s">
        <v>1346</v>
      </c>
      <c r="C343" s="353" t="s">
        <v>1347</v>
      </c>
      <c r="D343" s="11" t="s">
        <v>326</v>
      </c>
      <c r="E343" s="11" t="s">
        <v>649</v>
      </c>
      <c r="F343" s="471">
        <v>43088</v>
      </c>
      <c r="H343" s="256"/>
      <c r="I343" s="11"/>
      <c r="J343" s="256"/>
      <c r="K343" s="256"/>
      <c r="L343" s="11"/>
    </row>
    <row r="344" spans="1:12" x14ac:dyDescent="0.2">
      <c r="A344" s="353" t="s">
        <v>1669</v>
      </c>
      <c r="B344" s="353" t="s">
        <v>1155</v>
      </c>
      <c r="C344" s="353" t="s">
        <v>1156</v>
      </c>
      <c r="D344" s="11" t="s">
        <v>323</v>
      </c>
      <c r="E344" s="11" t="s">
        <v>649</v>
      </c>
      <c r="F344" s="471">
        <v>43396</v>
      </c>
      <c r="H344" s="256"/>
      <c r="I344" s="11"/>
      <c r="J344" s="256"/>
      <c r="K344" s="256"/>
      <c r="L344" s="11"/>
    </row>
    <row r="345" spans="1:12" x14ac:dyDescent="0.2">
      <c r="A345" s="353" t="s">
        <v>1670</v>
      </c>
      <c r="B345" s="353" t="s">
        <v>1157</v>
      </c>
      <c r="C345" s="353" t="s">
        <v>1158</v>
      </c>
      <c r="D345" s="353" t="s">
        <v>315</v>
      </c>
      <c r="E345" s="11" t="s">
        <v>649</v>
      </c>
      <c r="F345" s="471">
        <v>43329</v>
      </c>
      <c r="H345" s="256"/>
      <c r="I345" s="11"/>
      <c r="J345" s="256"/>
      <c r="K345" s="256"/>
      <c r="L345" s="11"/>
    </row>
    <row r="346" spans="1:12" x14ac:dyDescent="0.2">
      <c r="A346" s="353" t="s">
        <v>1671</v>
      </c>
      <c r="B346" s="353" t="s">
        <v>1159</v>
      </c>
      <c r="C346" s="353" t="s">
        <v>1160</v>
      </c>
      <c r="D346" s="353" t="s">
        <v>315</v>
      </c>
      <c r="E346" s="11" t="s">
        <v>649</v>
      </c>
      <c r="F346" s="471">
        <v>43350</v>
      </c>
      <c r="H346" s="256"/>
      <c r="I346" s="11"/>
      <c r="J346" s="256"/>
      <c r="K346" s="256"/>
      <c r="L346" s="11"/>
    </row>
    <row r="347" spans="1:12" x14ac:dyDescent="0.2">
      <c r="A347" s="353" t="s">
        <v>1672</v>
      </c>
      <c r="B347" s="353" t="s">
        <v>2072</v>
      </c>
      <c r="C347" s="353" t="s">
        <v>2073</v>
      </c>
      <c r="D347" s="353" t="s">
        <v>326</v>
      </c>
      <c r="E347" s="11" t="s">
        <v>649</v>
      </c>
      <c r="F347" s="471">
        <v>43650</v>
      </c>
      <c r="H347" s="256"/>
      <c r="I347" s="11"/>
      <c r="J347" s="256"/>
      <c r="K347" s="256"/>
      <c r="L347" s="11"/>
    </row>
    <row r="348" spans="1:12" x14ac:dyDescent="0.2">
      <c r="A348" s="353" t="s">
        <v>1673</v>
      </c>
      <c r="B348" s="353" t="s">
        <v>1352</v>
      </c>
      <c r="C348" s="353" t="s">
        <v>1353</v>
      </c>
      <c r="D348" s="11" t="s">
        <v>332</v>
      </c>
      <c r="E348" s="11" t="s">
        <v>332</v>
      </c>
      <c r="F348" s="471">
        <v>44125</v>
      </c>
      <c r="H348" s="256"/>
      <c r="I348" s="11"/>
      <c r="J348" s="256"/>
      <c r="K348" s="256"/>
      <c r="L348" s="11"/>
    </row>
    <row r="349" spans="1:12" x14ac:dyDescent="0.2">
      <c r="A349" s="353" t="s">
        <v>2074</v>
      </c>
      <c r="B349" s="353" t="s">
        <v>1354</v>
      </c>
      <c r="C349" s="353" t="s">
        <v>1355</v>
      </c>
      <c r="D349" s="11" t="s">
        <v>331</v>
      </c>
      <c r="E349" s="11" t="s">
        <v>649</v>
      </c>
      <c r="F349" s="471">
        <v>44302</v>
      </c>
      <c r="H349" s="256"/>
      <c r="I349" s="11"/>
      <c r="J349" s="256"/>
      <c r="K349" s="256"/>
      <c r="L349" s="11"/>
    </row>
    <row r="350" spans="1:12" x14ac:dyDescent="0.2">
      <c r="A350" s="353" t="s">
        <v>1674</v>
      </c>
      <c r="B350" s="353" t="s">
        <v>1464</v>
      </c>
      <c r="C350" s="353" t="s">
        <v>1465</v>
      </c>
      <c r="D350" s="353" t="s">
        <v>325</v>
      </c>
      <c r="E350" s="11" t="s">
        <v>649</v>
      </c>
      <c r="F350" s="471">
        <v>45006</v>
      </c>
      <c r="H350" s="256"/>
      <c r="I350" s="11"/>
      <c r="J350" s="256"/>
      <c r="K350" s="256"/>
      <c r="L350" s="11"/>
    </row>
    <row r="351" spans="1:12" x14ac:dyDescent="0.2">
      <c r="A351" s="353" t="s">
        <v>1675</v>
      </c>
      <c r="B351" s="353" t="s">
        <v>1356</v>
      </c>
      <c r="C351" s="353" t="s">
        <v>1357</v>
      </c>
      <c r="D351" s="353" t="s">
        <v>332</v>
      </c>
      <c r="E351" s="11" t="s">
        <v>332</v>
      </c>
      <c r="F351" s="471">
        <v>44152</v>
      </c>
      <c r="H351" s="256"/>
      <c r="I351" s="11"/>
      <c r="J351" s="256"/>
      <c r="K351" s="256"/>
      <c r="L351" s="11"/>
    </row>
    <row r="352" spans="1:12" x14ac:dyDescent="0.2">
      <c r="A352" s="353" t="s">
        <v>1676</v>
      </c>
      <c r="B352" s="353" t="s">
        <v>1406</v>
      </c>
      <c r="C352" s="353" t="s">
        <v>1407</v>
      </c>
      <c r="D352" s="353" t="s">
        <v>329</v>
      </c>
      <c r="E352" s="11" t="s">
        <v>649</v>
      </c>
      <c r="F352" s="471">
        <v>44302</v>
      </c>
      <c r="H352" s="256"/>
      <c r="I352" s="11"/>
      <c r="J352" s="256"/>
      <c r="K352" s="256"/>
      <c r="L352" s="11"/>
    </row>
    <row r="353" spans="1:12" x14ac:dyDescent="0.2">
      <c r="A353" s="353" t="s">
        <v>1677</v>
      </c>
      <c r="B353" s="353" t="s">
        <v>1360</v>
      </c>
      <c r="C353" s="353" t="s">
        <v>1361</v>
      </c>
      <c r="D353" s="353" t="s">
        <v>315</v>
      </c>
      <c r="E353" s="11" t="s">
        <v>649</v>
      </c>
      <c r="F353" s="471">
        <v>44370</v>
      </c>
      <c r="H353" s="256"/>
      <c r="I353" s="11"/>
      <c r="J353" s="256"/>
      <c r="K353" s="256"/>
      <c r="L353" s="11"/>
    </row>
    <row r="354" spans="1:12" x14ac:dyDescent="0.2">
      <c r="A354" s="353" t="s">
        <v>1678</v>
      </c>
      <c r="B354" s="353" t="s">
        <v>1409</v>
      </c>
      <c r="C354" s="353" t="s">
        <v>1410</v>
      </c>
      <c r="D354" s="353" t="s">
        <v>319</v>
      </c>
      <c r="E354" s="11" t="s">
        <v>649</v>
      </c>
      <c r="F354" s="471">
        <v>44467</v>
      </c>
      <c r="H354" s="256"/>
      <c r="I354" s="11"/>
      <c r="J354" s="256"/>
      <c r="K354" s="256"/>
      <c r="L354" s="11"/>
    </row>
    <row r="355" spans="1:12" x14ac:dyDescent="0.2">
      <c r="A355" s="353" t="s">
        <v>1679</v>
      </c>
      <c r="B355" s="353" t="s">
        <v>1413</v>
      </c>
      <c r="C355" s="353" t="s">
        <v>1414</v>
      </c>
      <c r="D355" s="11" t="s">
        <v>326</v>
      </c>
      <c r="E355" s="11" t="s">
        <v>649</v>
      </c>
      <c r="F355" s="471">
        <v>44495</v>
      </c>
      <c r="H355" s="256"/>
      <c r="I355" s="11"/>
      <c r="J355" s="256"/>
      <c r="K355" s="256"/>
      <c r="L355" s="11"/>
    </row>
    <row r="356" spans="1:12" x14ac:dyDescent="0.2">
      <c r="A356" s="353" t="s">
        <v>1680</v>
      </c>
      <c r="B356" s="353" t="s">
        <v>1415</v>
      </c>
      <c r="C356" s="353" t="s">
        <v>1416</v>
      </c>
      <c r="D356" s="353" t="s">
        <v>332</v>
      </c>
      <c r="E356" s="11" t="s">
        <v>332</v>
      </c>
      <c r="F356" s="471">
        <v>44460</v>
      </c>
      <c r="H356" s="256"/>
      <c r="I356" s="11"/>
      <c r="J356" s="256"/>
      <c r="K356" s="256"/>
      <c r="L356" s="11"/>
    </row>
    <row r="357" spans="1:12" x14ac:dyDescent="0.2">
      <c r="A357" s="353" t="s">
        <v>1681</v>
      </c>
      <c r="B357" s="353" t="s">
        <v>1682</v>
      </c>
      <c r="C357" s="353" t="s">
        <v>1683</v>
      </c>
      <c r="D357" s="11" t="s">
        <v>326</v>
      </c>
      <c r="E357" s="11" t="s">
        <v>649</v>
      </c>
      <c r="F357" s="471">
        <v>45156</v>
      </c>
      <c r="H357" s="256"/>
      <c r="I357" s="11"/>
      <c r="J357" s="256"/>
      <c r="K357" s="256"/>
      <c r="L357" s="11"/>
    </row>
    <row r="358" spans="1:12" x14ac:dyDescent="0.2">
      <c r="A358" s="353" t="s">
        <v>1684</v>
      </c>
      <c r="B358" s="353" t="s">
        <v>1685</v>
      </c>
      <c r="C358" s="353" t="s">
        <v>1686</v>
      </c>
      <c r="D358" s="353" t="s">
        <v>326</v>
      </c>
      <c r="E358" s="11" t="s">
        <v>649</v>
      </c>
      <c r="F358" s="471">
        <v>45190</v>
      </c>
      <c r="H358" s="256"/>
      <c r="I358" s="11"/>
      <c r="J358" s="256"/>
      <c r="K358" s="256"/>
      <c r="L358" s="11"/>
    </row>
    <row r="359" spans="1:12" x14ac:dyDescent="0.2">
      <c r="A359" s="353" t="s">
        <v>1687</v>
      </c>
      <c r="B359" s="353" t="s">
        <v>1468</v>
      </c>
      <c r="C359" s="353" t="s">
        <v>1469</v>
      </c>
      <c r="D359" s="353" t="s">
        <v>332</v>
      </c>
      <c r="E359" s="11" t="s">
        <v>332</v>
      </c>
      <c r="F359" s="471">
        <v>44698</v>
      </c>
      <c r="H359" s="256"/>
      <c r="I359" s="11"/>
      <c r="J359" s="256"/>
      <c r="K359" s="256"/>
      <c r="L359" s="11"/>
    </row>
    <row r="360" spans="1:12" x14ac:dyDescent="0.2">
      <c r="A360" s="353" t="s">
        <v>1688</v>
      </c>
      <c r="B360" s="353" t="s">
        <v>1421</v>
      </c>
      <c r="C360" s="353" t="s">
        <v>1422</v>
      </c>
      <c r="D360" s="353" t="s">
        <v>326</v>
      </c>
      <c r="E360" s="11" t="s">
        <v>649</v>
      </c>
      <c r="F360" s="471">
        <v>44698</v>
      </c>
      <c r="H360" s="256"/>
      <c r="I360" s="11"/>
      <c r="J360" s="256"/>
      <c r="K360" s="256"/>
      <c r="L360" s="11"/>
    </row>
    <row r="361" spans="1:12" x14ac:dyDescent="0.2">
      <c r="A361" s="353" t="s">
        <v>1689</v>
      </c>
      <c r="B361" s="353" t="s">
        <v>1423</v>
      </c>
      <c r="C361" s="353" t="s">
        <v>1470</v>
      </c>
      <c r="D361" s="353" t="s">
        <v>326</v>
      </c>
      <c r="E361" s="11" t="s">
        <v>649</v>
      </c>
      <c r="F361" s="471">
        <v>44693</v>
      </c>
      <c r="H361" s="256"/>
      <c r="I361" s="11"/>
      <c r="J361" s="256"/>
      <c r="K361" s="256"/>
      <c r="L361" s="11"/>
    </row>
    <row r="362" spans="1:12" x14ac:dyDescent="0.2">
      <c r="A362" s="353" t="s">
        <v>1690</v>
      </c>
      <c r="B362" s="353" t="s">
        <v>1424</v>
      </c>
      <c r="C362" s="353" t="s">
        <v>1425</v>
      </c>
      <c r="D362" s="353" t="s">
        <v>67</v>
      </c>
      <c r="E362" s="11" t="s">
        <v>67</v>
      </c>
      <c r="F362" s="471">
        <v>44734</v>
      </c>
      <c r="H362" s="256"/>
      <c r="I362" s="11"/>
      <c r="J362" s="256"/>
      <c r="K362" s="256"/>
      <c r="L362" s="11"/>
    </row>
    <row r="363" spans="1:12" x14ac:dyDescent="0.2">
      <c r="A363" s="353" t="s">
        <v>1691</v>
      </c>
      <c r="B363" s="353" t="s">
        <v>1471</v>
      </c>
      <c r="C363" s="353" t="s">
        <v>1472</v>
      </c>
      <c r="D363" s="353" t="s">
        <v>317</v>
      </c>
      <c r="E363" s="11" t="s">
        <v>649</v>
      </c>
      <c r="F363" s="471">
        <v>44834</v>
      </c>
      <c r="H363" s="256"/>
      <c r="I363" s="11"/>
      <c r="J363" s="256"/>
      <c r="K363" s="256"/>
      <c r="L363" s="11"/>
    </row>
    <row r="364" spans="1:12" x14ac:dyDescent="0.2">
      <c r="A364" s="353" t="s">
        <v>1692</v>
      </c>
      <c r="B364" s="353" t="s">
        <v>1473</v>
      </c>
      <c r="C364" s="353" t="s">
        <v>1474</v>
      </c>
      <c r="D364" s="353" t="s">
        <v>332</v>
      </c>
      <c r="E364" s="11" t="s">
        <v>332</v>
      </c>
      <c r="F364" s="471">
        <v>44827</v>
      </c>
      <c r="H364" s="256"/>
      <c r="I364" s="11"/>
      <c r="J364" s="256"/>
      <c r="K364" s="256"/>
      <c r="L364" s="11"/>
    </row>
    <row r="365" spans="1:12" x14ac:dyDescent="0.2">
      <c r="A365" s="353" t="s">
        <v>1693</v>
      </c>
      <c r="B365" s="353" t="s">
        <v>1475</v>
      </c>
      <c r="C365" s="353" t="s">
        <v>1476</v>
      </c>
      <c r="D365" s="353" t="s">
        <v>329</v>
      </c>
      <c r="E365" s="11" t="s">
        <v>649</v>
      </c>
      <c r="F365" s="471">
        <v>44917</v>
      </c>
      <c r="H365" s="256"/>
      <c r="I365" s="11"/>
      <c r="J365" s="256"/>
      <c r="K365" s="256"/>
      <c r="L365" s="11"/>
    </row>
    <row r="366" spans="1:12" x14ac:dyDescent="0.2">
      <c r="A366" s="353" t="s">
        <v>1694</v>
      </c>
      <c r="B366" s="353" t="s">
        <v>1477</v>
      </c>
      <c r="C366" s="353" t="s">
        <v>1478</v>
      </c>
      <c r="D366" s="353" t="s">
        <v>317</v>
      </c>
      <c r="E366" s="11" t="s">
        <v>649</v>
      </c>
      <c r="F366" s="471">
        <v>45009</v>
      </c>
      <c r="H366" s="256"/>
      <c r="I366" s="11"/>
      <c r="J366" s="256"/>
      <c r="K366" s="256"/>
      <c r="L366" s="11"/>
    </row>
    <row r="367" spans="1:12" x14ac:dyDescent="0.2">
      <c r="A367" s="353" t="s">
        <v>1697</v>
      </c>
      <c r="B367" s="353" t="s">
        <v>1479</v>
      </c>
      <c r="C367" s="353" t="s">
        <v>1480</v>
      </c>
      <c r="D367" s="353" t="s">
        <v>332</v>
      </c>
      <c r="E367" s="11" t="s">
        <v>332</v>
      </c>
      <c r="F367" s="471">
        <v>45097</v>
      </c>
      <c r="H367" s="256"/>
      <c r="I367" s="11"/>
      <c r="J367" s="256"/>
      <c r="K367" s="256"/>
      <c r="L367" s="11"/>
    </row>
    <row r="368" spans="1:12" x14ac:dyDescent="0.2">
      <c r="A368" s="353" t="s">
        <v>1698</v>
      </c>
      <c r="B368" s="353" t="s">
        <v>1481</v>
      </c>
      <c r="C368" s="353" t="s">
        <v>1482</v>
      </c>
      <c r="D368" s="353" t="s">
        <v>326</v>
      </c>
      <c r="E368" s="11" t="s">
        <v>649</v>
      </c>
      <c r="F368" s="471">
        <v>45099</v>
      </c>
      <c r="H368" s="256"/>
      <c r="I368" s="11"/>
      <c r="J368" s="256"/>
      <c r="K368" s="256"/>
      <c r="L368" s="11"/>
    </row>
    <row r="369" spans="1:12" x14ac:dyDescent="0.2">
      <c r="A369" s="353" t="s">
        <v>1699</v>
      </c>
      <c r="B369" s="353" t="s">
        <v>1700</v>
      </c>
      <c r="C369" s="353" t="s">
        <v>1701</v>
      </c>
      <c r="D369" s="353" t="s">
        <v>332</v>
      </c>
      <c r="E369" s="11" t="s">
        <v>332</v>
      </c>
      <c r="F369" s="471">
        <v>45419</v>
      </c>
      <c r="H369" s="256"/>
      <c r="I369" s="11"/>
      <c r="J369" s="256"/>
      <c r="K369" s="256"/>
      <c r="L369" s="11"/>
    </row>
    <row r="370" spans="1:12" x14ac:dyDescent="0.2">
      <c r="A370" s="353" t="s">
        <v>1702</v>
      </c>
      <c r="B370" s="353" t="s">
        <v>1703</v>
      </c>
      <c r="C370" s="353" t="s">
        <v>1704</v>
      </c>
      <c r="D370" s="353" t="s">
        <v>330</v>
      </c>
      <c r="E370" s="11" t="s">
        <v>649</v>
      </c>
      <c r="F370" s="471">
        <v>45258</v>
      </c>
      <c r="H370" s="256"/>
      <c r="I370" s="11"/>
      <c r="J370" s="256"/>
      <c r="K370" s="256"/>
      <c r="L370" s="11"/>
    </row>
    <row r="371" spans="1:12" x14ac:dyDescent="0.2">
      <c r="A371" s="353" t="s">
        <v>1705</v>
      </c>
      <c r="B371" s="353" t="s">
        <v>2075</v>
      </c>
      <c r="C371" s="353" t="s">
        <v>1706</v>
      </c>
      <c r="D371" s="353" t="s">
        <v>332</v>
      </c>
      <c r="E371" s="11" t="s">
        <v>332</v>
      </c>
      <c r="F371" s="471">
        <v>45275</v>
      </c>
      <c r="H371" s="256"/>
      <c r="I371" s="11"/>
      <c r="J371" s="256"/>
      <c r="K371" s="256"/>
      <c r="L371" s="11"/>
    </row>
    <row r="372" spans="1:12" x14ac:dyDescent="0.2">
      <c r="A372" s="353" t="s">
        <v>1707</v>
      </c>
      <c r="B372" s="353" t="s">
        <v>2076</v>
      </c>
      <c r="C372" s="353" t="s">
        <v>1708</v>
      </c>
      <c r="D372" s="353" t="s">
        <v>326</v>
      </c>
      <c r="E372" s="11" t="s">
        <v>649</v>
      </c>
      <c r="F372" s="471">
        <v>45254</v>
      </c>
      <c r="H372" s="256"/>
      <c r="I372" s="11"/>
      <c r="J372" s="256"/>
      <c r="K372" s="256"/>
      <c r="L372" s="11"/>
    </row>
    <row r="373" spans="1:12" x14ac:dyDescent="0.2">
      <c r="A373" s="353" t="s">
        <v>1709</v>
      </c>
      <c r="B373" s="353" t="s">
        <v>1710</v>
      </c>
      <c r="C373" s="353" t="s">
        <v>1711</v>
      </c>
      <c r="D373" s="353" t="s">
        <v>325</v>
      </c>
      <c r="E373" s="11" t="s">
        <v>649</v>
      </c>
      <c r="F373" s="471">
        <v>45279</v>
      </c>
      <c r="H373" s="256"/>
      <c r="I373" s="11"/>
      <c r="J373" s="256"/>
      <c r="K373" s="256"/>
      <c r="L373" s="11"/>
    </row>
    <row r="374" spans="1:12" x14ac:dyDescent="0.2">
      <c r="A374" s="353" t="s">
        <v>1712</v>
      </c>
      <c r="B374" s="353" t="s">
        <v>1713</v>
      </c>
      <c r="C374" s="353" t="s">
        <v>1714</v>
      </c>
      <c r="D374" s="353" t="s">
        <v>325</v>
      </c>
      <c r="E374" s="11" t="s">
        <v>649</v>
      </c>
      <c r="F374" s="471">
        <v>45441</v>
      </c>
      <c r="H374" s="256"/>
      <c r="I374" s="11"/>
      <c r="J374" s="256"/>
      <c r="K374" s="256"/>
      <c r="L374" s="11"/>
    </row>
    <row r="375" spans="1:12" x14ac:dyDescent="0.2">
      <c r="A375" s="353" t="s">
        <v>2077</v>
      </c>
      <c r="B375" s="353" t="s">
        <v>2078</v>
      </c>
      <c r="C375" s="353" t="s">
        <v>2079</v>
      </c>
      <c r="D375" s="353" t="s">
        <v>332</v>
      </c>
      <c r="E375" s="11" t="s">
        <v>332</v>
      </c>
      <c r="F375" s="471">
        <v>45548</v>
      </c>
      <c r="H375" s="256"/>
      <c r="I375" s="11"/>
      <c r="J375" s="256"/>
      <c r="K375" s="256"/>
      <c r="L375" s="11"/>
    </row>
    <row r="376" spans="1:12" x14ac:dyDescent="0.2">
      <c r="A376" s="353" t="s">
        <v>2080</v>
      </c>
      <c r="B376" s="353" t="s">
        <v>2081</v>
      </c>
      <c r="C376" s="353" t="s">
        <v>2082</v>
      </c>
      <c r="D376" s="353" t="s">
        <v>317</v>
      </c>
      <c r="E376" s="11" t="s">
        <v>649</v>
      </c>
      <c r="F376" s="471">
        <v>45646</v>
      </c>
      <c r="H376" s="256"/>
      <c r="I376" s="11"/>
      <c r="J376" s="256"/>
      <c r="K376" s="256"/>
      <c r="L376" s="11"/>
    </row>
    <row r="377" spans="1:12" x14ac:dyDescent="0.2">
      <c r="A377" s="353" t="s">
        <v>2083</v>
      </c>
      <c r="B377" s="353" t="s">
        <v>2084</v>
      </c>
      <c r="C377" s="353" t="s">
        <v>2085</v>
      </c>
      <c r="D377" s="353" t="s">
        <v>318</v>
      </c>
      <c r="E377" s="11" t="s">
        <v>649</v>
      </c>
      <c r="F377" s="471">
        <v>45758</v>
      </c>
      <c r="H377" s="256"/>
      <c r="I377" s="11"/>
      <c r="J377" s="256"/>
      <c r="K377" s="256"/>
      <c r="L377" s="11"/>
    </row>
    <row r="378" spans="1:12" x14ac:dyDescent="0.2">
      <c r="A378" s="353" t="s">
        <v>2086</v>
      </c>
      <c r="B378" s="353" t="s">
        <v>2087</v>
      </c>
      <c r="C378" s="353" t="s">
        <v>2088</v>
      </c>
      <c r="D378" s="353" t="s">
        <v>319</v>
      </c>
      <c r="E378" s="11" t="s">
        <v>649</v>
      </c>
      <c r="F378" s="471">
        <v>45741</v>
      </c>
      <c r="H378" s="256"/>
      <c r="I378" s="11"/>
      <c r="J378" s="256"/>
      <c r="K378" s="256"/>
      <c r="L378" s="11"/>
    </row>
    <row r="379" spans="1:12" x14ac:dyDescent="0.2">
      <c r="A379" s="353" t="s">
        <v>2089</v>
      </c>
      <c r="B379" s="353" t="s">
        <v>2090</v>
      </c>
      <c r="C379" s="353" t="s">
        <v>2091</v>
      </c>
      <c r="D379" s="353" t="s">
        <v>320</v>
      </c>
      <c r="E379" s="11" t="s">
        <v>649</v>
      </c>
      <c r="F379" s="471">
        <v>45834</v>
      </c>
      <c r="H379" s="256"/>
      <c r="I379" s="11"/>
      <c r="J379" s="256"/>
      <c r="K379" s="256"/>
      <c r="L379" s="11"/>
    </row>
    <row r="380" spans="1:12" x14ac:dyDescent="0.2">
      <c r="A380" s="353" t="s">
        <v>2092</v>
      </c>
      <c r="B380" s="353" t="s">
        <v>2093</v>
      </c>
      <c r="C380" s="353" t="s">
        <v>2094</v>
      </c>
      <c r="D380" s="353" t="s">
        <v>321</v>
      </c>
      <c r="E380" s="11" t="s">
        <v>649</v>
      </c>
      <c r="F380" s="471">
        <v>45833</v>
      </c>
      <c r="H380" s="256"/>
      <c r="I380" s="11"/>
      <c r="J380" s="256"/>
      <c r="K380" s="256"/>
      <c r="L380" s="11"/>
    </row>
    <row r="381" spans="1:12" x14ac:dyDescent="0.2">
      <c r="A381" s="353" t="s">
        <v>2095</v>
      </c>
      <c r="B381" s="353" t="s">
        <v>2096</v>
      </c>
      <c r="C381" s="353" t="s">
        <v>2097</v>
      </c>
      <c r="D381" s="353" t="s">
        <v>326</v>
      </c>
      <c r="E381" s="11" t="s">
        <v>649</v>
      </c>
      <c r="F381" s="471">
        <v>45840</v>
      </c>
      <c r="H381" s="256"/>
      <c r="I381" s="11"/>
      <c r="J381" s="256"/>
      <c r="K381" s="256"/>
      <c r="L381" s="11"/>
    </row>
    <row r="382" spans="1:12" ht="15" x14ac:dyDescent="0.25">
      <c r="A382" s="82" t="s">
        <v>80</v>
      </c>
      <c r="B382" s="82" t="s">
        <v>87</v>
      </c>
      <c r="C382" s="82" t="s">
        <v>87</v>
      </c>
      <c r="D382" s="82" t="s">
        <v>87</v>
      </c>
      <c r="E382"/>
      <c r="F382" s="451" t="s">
        <v>87</v>
      </c>
    </row>
    <row r="383" spans="1:12" ht="15" x14ac:dyDescent="0.25">
      <c r="E383"/>
      <c r="F383" s="318"/>
    </row>
    <row r="384" spans="1:12" ht="15" x14ac:dyDescent="0.25">
      <c r="E384"/>
    </row>
  </sheetData>
  <autoFilter ref="A47:IF382" xr:uid="{00000000-0009-0000-0000-000003000000}"/>
  <phoneticPr fontId="81" type="noConversion"/>
  <pageMargins left="0.7" right="0.7" top="0.78740157499999996" bottom="0.78740157499999996" header="0.3" footer="0.3"/>
  <pageSetup paperSize="9" orientation="portrait"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K40"/>
  <sheetViews>
    <sheetView showGridLines="0" zoomScaleNormal="100" workbookViewId="0">
      <pane ySplit="10" topLeftCell="A11" activePane="bottomLeft" state="frozen"/>
      <selection pane="bottomLeft" activeCell="A11" sqref="A11"/>
    </sheetView>
  </sheetViews>
  <sheetFormatPr defaultColWidth="9.140625" defaultRowHeight="15" x14ac:dyDescent="0.25"/>
  <cols>
    <col min="1" max="1" width="46.7109375" customWidth="1"/>
    <col min="2" max="2" width="50.7109375" customWidth="1"/>
    <col min="3" max="3" width="20.5703125" customWidth="1"/>
    <col min="4" max="5" width="20.7109375" customWidth="1"/>
    <col min="9" max="11" width="9.140625" style="502" hidden="1" customWidth="1"/>
  </cols>
  <sheetData>
    <row r="1" spans="1:11" ht="7.5" customHeight="1" x14ac:dyDescent="0.25"/>
    <row r="2" spans="1:11" x14ac:dyDescent="0.25">
      <c r="A2" s="503" t="str">
        <f>Basisdaten!A2</f>
        <v>Anlage EB P1.1 (Auditjahr 2026 / Kennzahlenjahr 2025)</v>
      </c>
    </row>
    <row r="3" spans="1:11" ht="15.75" x14ac:dyDescent="0.25">
      <c r="A3" s="504" t="s">
        <v>1494</v>
      </c>
    </row>
    <row r="4" spans="1:11" ht="15.95" customHeight="1" thickBot="1" x14ac:dyDescent="0.3"/>
    <row r="5" spans="1:11" ht="18" customHeight="1" thickBot="1" x14ac:dyDescent="0.3">
      <c r="D5" s="511" t="s">
        <v>1495</v>
      </c>
      <c r="E5" s="505">
        <f>SUM(K11:K40)</f>
        <v>0</v>
      </c>
    </row>
    <row r="6" spans="1:11" ht="21.75" customHeight="1" x14ac:dyDescent="0.25">
      <c r="A6" s="510" t="s">
        <v>1503</v>
      </c>
    </row>
    <row r="7" spans="1:11" ht="35.25" customHeight="1" x14ac:dyDescent="0.25">
      <c r="A7" s="612" t="s">
        <v>1502</v>
      </c>
      <c r="B7" s="613"/>
      <c r="C7" s="613"/>
      <c r="D7" s="613"/>
      <c r="E7" s="613"/>
    </row>
    <row r="8" spans="1:11" ht="12.75" customHeight="1" thickBot="1" x14ac:dyDescent="0.3"/>
    <row r="9" spans="1:11" ht="18.75" customHeight="1" x14ac:dyDescent="0.25">
      <c r="A9" s="614" t="s">
        <v>1496</v>
      </c>
      <c r="B9" s="616" t="s">
        <v>1497</v>
      </c>
      <c r="C9" s="616" t="s">
        <v>1498</v>
      </c>
      <c r="D9" s="616"/>
      <c r="E9" s="618"/>
    </row>
    <row r="10" spans="1:11" ht="51.75" customHeight="1" thickBot="1" x14ac:dyDescent="0.3">
      <c r="A10" s="615"/>
      <c r="B10" s="617"/>
      <c r="C10" s="523" t="s">
        <v>1499</v>
      </c>
      <c r="D10" s="523" t="s">
        <v>1500</v>
      </c>
      <c r="E10" s="524" t="s">
        <v>1501</v>
      </c>
    </row>
    <row r="11" spans="1:11" ht="26.1" customHeight="1" x14ac:dyDescent="0.25">
      <c r="A11" s="542"/>
      <c r="B11" s="543"/>
      <c r="C11" s="544"/>
      <c r="D11" s="544"/>
      <c r="E11" s="545"/>
      <c r="I11" s="502">
        <f>IF(A11&lt;&gt;"",1,0)</f>
        <v>0</v>
      </c>
      <c r="J11" s="502">
        <f>IF(B11&lt;&gt;"",1,0)</f>
        <v>0</v>
      </c>
      <c r="K11" s="502" t="str">
        <f t="shared" ref="K11:K40" si="0">IF(AND(SUM($C$11:$C$40)&gt;=1,SUM(I11:J11)=2),SUM(C11:E11),"")</f>
        <v/>
      </c>
    </row>
    <row r="12" spans="1:11" ht="26.1" customHeight="1" x14ac:dyDescent="0.25">
      <c r="A12" s="546"/>
      <c r="B12" s="547"/>
      <c r="C12" s="548"/>
      <c r="D12" s="548"/>
      <c r="E12" s="549"/>
      <c r="I12" s="502">
        <f>IF(A12&lt;&gt;"",1,0)</f>
        <v>0</v>
      </c>
      <c r="J12" s="502">
        <f>IF(B12&lt;&gt;"",1,0)</f>
        <v>0</v>
      </c>
      <c r="K12" s="502" t="str">
        <f t="shared" si="0"/>
        <v/>
      </c>
    </row>
    <row r="13" spans="1:11" ht="26.1" customHeight="1" x14ac:dyDescent="0.25">
      <c r="A13" s="546"/>
      <c r="B13" s="547"/>
      <c r="C13" s="548"/>
      <c r="D13" s="548"/>
      <c r="E13" s="549"/>
      <c r="I13" s="502">
        <f t="shared" ref="I13:J40" si="1">IF(A13&lt;&gt;"",1,0)</f>
        <v>0</v>
      </c>
      <c r="J13" s="502">
        <f t="shared" si="1"/>
        <v>0</v>
      </c>
      <c r="K13" s="502" t="str">
        <f t="shared" si="0"/>
        <v/>
      </c>
    </row>
    <row r="14" spans="1:11" ht="26.1" customHeight="1" x14ac:dyDescent="0.25">
      <c r="A14" s="546"/>
      <c r="B14" s="547"/>
      <c r="C14" s="548"/>
      <c r="D14" s="548"/>
      <c r="E14" s="549"/>
      <c r="I14" s="502">
        <f t="shared" si="1"/>
        <v>0</v>
      </c>
      <c r="J14" s="502">
        <f t="shared" si="1"/>
        <v>0</v>
      </c>
      <c r="K14" s="502" t="str">
        <f t="shared" si="0"/>
        <v/>
      </c>
    </row>
    <row r="15" spans="1:11" ht="26.1" customHeight="1" x14ac:dyDescent="0.25">
      <c r="A15" s="546"/>
      <c r="B15" s="547"/>
      <c r="C15" s="548"/>
      <c r="D15" s="548"/>
      <c r="E15" s="549"/>
      <c r="I15" s="502">
        <f t="shared" si="1"/>
        <v>0</v>
      </c>
      <c r="J15" s="502">
        <f t="shared" si="1"/>
        <v>0</v>
      </c>
      <c r="K15" s="502" t="str">
        <f t="shared" si="0"/>
        <v/>
      </c>
    </row>
    <row r="16" spans="1:11" ht="26.1" customHeight="1" x14ac:dyDescent="0.25">
      <c r="A16" s="546"/>
      <c r="B16" s="547"/>
      <c r="C16" s="548"/>
      <c r="D16" s="548"/>
      <c r="E16" s="549"/>
      <c r="I16" s="502">
        <f t="shared" si="1"/>
        <v>0</v>
      </c>
      <c r="J16" s="502">
        <f t="shared" si="1"/>
        <v>0</v>
      </c>
      <c r="K16" s="502" t="str">
        <f t="shared" si="0"/>
        <v/>
      </c>
    </row>
    <row r="17" spans="1:11" ht="26.1" customHeight="1" x14ac:dyDescent="0.25">
      <c r="A17" s="546"/>
      <c r="B17" s="547"/>
      <c r="C17" s="548"/>
      <c r="D17" s="548"/>
      <c r="E17" s="549"/>
      <c r="I17" s="502">
        <f t="shared" si="1"/>
        <v>0</v>
      </c>
      <c r="J17" s="502">
        <f t="shared" si="1"/>
        <v>0</v>
      </c>
      <c r="K17" s="502" t="str">
        <f t="shared" si="0"/>
        <v/>
      </c>
    </row>
    <row r="18" spans="1:11" ht="26.1" customHeight="1" x14ac:dyDescent="0.25">
      <c r="A18" s="546"/>
      <c r="B18" s="547"/>
      <c r="C18" s="548"/>
      <c r="D18" s="548"/>
      <c r="E18" s="549"/>
      <c r="I18" s="502">
        <f t="shared" si="1"/>
        <v>0</v>
      </c>
      <c r="J18" s="502">
        <f t="shared" si="1"/>
        <v>0</v>
      </c>
      <c r="K18" s="502" t="str">
        <f t="shared" si="0"/>
        <v/>
      </c>
    </row>
    <row r="19" spans="1:11" ht="26.1" customHeight="1" x14ac:dyDescent="0.25">
      <c r="A19" s="546"/>
      <c r="B19" s="547"/>
      <c r="C19" s="548"/>
      <c r="D19" s="548"/>
      <c r="E19" s="549"/>
      <c r="I19" s="502">
        <f t="shared" si="1"/>
        <v>0</v>
      </c>
      <c r="J19" s="502">
        <f t="shared" si="1"/>
        <v>0</v>
      </c>
      <c r="K19" s="502" t="str">
        <f t="shared" si="0"/>
        <v/>
      </c>
    </row>
    <row r="20" spans="1:11" ht="26.1" customHeight="1" x14ac:dyDescent="0.25">
      <c r="A20" s="546"/>
      <c r="B20" s="547"/>
      <c r="C20" s="548"/>
      <c r="D20" s="548"/>
      <c r="E20" s="549"/>
      <c r="I20" s="502">
        <f t="shared" si="1"/>
        <v>0</v>
      </c>
      <c r="J20" s="502">
        <f t="shared" si="1"/>
        <v>0</v>
      </c>
      <c r="K20" s="502" t="str">
        <f t="shared" si="0"/>
        <v/>
      </c>
    </row>
    <row r="21" spans="1:11" ht="26.1" customHeight="1" x14ac:dyDescent="0.25">
      <c r="A21" s="546"/>
      <c r="B21" s="547"/>
      <c r="C21" s="548"/>
      <c r="D21" s="548"/>
      <c r="E21" s="549"/>
      <c r="I21" s="502">
        <f t="shared" si="1"/>
        <v>0</v>
      </c>
      <c r="J21" s="502">
        <f t="shared" si="1"/>
        <v>0</v>
      </c>
      <c r="K21" s="502" t="str">
        <f t="shared" si="0"/>
        <v/>
      </c>
    </row>
    <row r="22" spans="1:11" ht="26.1" customHeight="1" x14ac:dyDescent="0.25">
      <c r="A22" s="546"/>
      <c r="B22" s="547"/>
      <c r="C22" s="548"/>
      <c r="D22" s="548"/>
      <c r="E22" s="549"/>
      <c r="I22" s="502">
        <f t="shared" si="1"/>
        <v>0</v>
      </c>
      <c r="J22" s="502">
        <f t="shared" si="1"/>
        <v>0</v>
      </c>
      <c r="K22" s="502" t="str">
        <f t="shared" si="0"/>
        <v/>
      </c>
    </row>
    <row r="23" spans="1:11" ht="26.1" customHeight="1" x14ac:dyDescent="0.25">
      <c r="A23" s="546"/>
      <c r="B23" s="547"/>
      <c r="C23" s="548"/>
      <c r="D23" s="548"/>
      <c r="E23" s="549"/>
      <c r="I23" s="502">
        <f t="shared" si="1"/>
        <v>0</v>
      </c>
      <c r="J23" s="502">
        <f t="shared" si="1"/>
        <v>0</v>
      </c>
      <c r="K23" s="502" t="str">
        <f t="shared" si="0"/>
        <v/>
      </c>
    </row>
    <row r="24" spans="1:11" ht="26.1" customHeight="1" x14ac:dyDescent="0.25">
      <c r="A24" s="546"/>
      <c r="B24" s="547"/>
      <c r="C24" s="548"/>
      <c r="D24" s="548"/>
      <c r="E24" s="549"/>
      <c r="I24" s="502">
        <f t="shared" si="1"/>
        <v>0</v>
      </c>
      <c r="J24" s="502">
        <f t="shared" si="1"/>
        <v>0</v>
      </c>
      <c r="K24" s="502" t="str">
        <f t="shared" si="0"/>
        <v/>
      </c>
    </row>
    <row r="25" spans="1:11" ht="26.1" customHeight="1" x14ac:dyDescent="0.25">
      <c r="A25" s="546"/>
      <c r="B25" s="547"/>
      <c r="C25" s="548"/>
      <c r="D25" s="548"/>
      <c r="E25" s="549"/>
      <c r="I25" s="502">
        <f t="shared" si="1"/>
        <v>0</v>
      </c>
      <c r="J25" s="502">
        <f t="shared" si="1"/>
        <v>0</v>
      </c>
      <c r="K25" s="502" t="str">
        <f t="shared" si="0"/>
        <v/>
      </c>
    </row>
    <row r="26" spans="1:11" ht="26.1" customHeight="1" x14ac:dyDescent="0.25">
      <c r="A26" s="546"/>
      <c r="B26" s="547"/>
      <c r="C26" s="548"/>
      <c r="D26" s="548"/>
      <c r="E26" s="549"/>
      <c r="I26" s="502">
        <f t="shared" si="1"/>
        <v>0</v>
      </c>
      <c r="J26" s="502">
        <f t="shared" si="1"/>
        <v>0</v>
      </c>
      <c r="K26" s="502" t="str">
        <f t="shared" si="0"/>
        <v/>
      </c>
    </row>
    <row r="27" spans="1:11" ht="26.1" customHeight="1" x14ac:dyDescent="0.25">
      <c r="A27" s="546"/>
      <c r="B27" s="547"/>
      <c r="C27" s="548"/>
      <c r="D27" s="548"/>
      <c r="E27" s="549"/>
      <c r="I27" s="502">
        <f t="shared" si="1"/>
        <v>0</v>
      </c>
      <c r="J27" s="502">
        <f t="shared" si="1"/>
        <v>0</v>
      </c>
      <c r="K27" s="502" t="str">
        <f t="shared" si="0"/>
        <v/>
      </c>
    </row>
    <row r="28" spans="1:11" ht="26.1" customHeight="1" x14ac:dyDescent="0.25">
      <c r="A28" s="546"/>
      <c r="B28" s="547"/>
      <c r="C28" s="548"/>
      <c r="D28" s="548"/>
      <c r="E28" s="549"/>
      <c r="I28" s="502">
        <f t="shared" si="1"/>
        <v>0</v>
      </c>
      <c r="J28" s="502">
        <f t="shared" si="1"/>
        <v>0</v>
      </c>
      <c r="K28" s="502" t="str">
        <f t="shared" si="0"/>
        <v/>
      </c>
    </row>
    <row r="29" spans="1:11" ht="26.1" customHeight="1" x14ac:dyDescent="0.25">
      <c r="A29" s="546"/>
      <c r="B29" s="547"/>
      <c r="C29" s="548"/>
      <c r="D29" s="548"/>
      <c r="E29" s="549"/>
      <c r="I29" s="502">
        <f t="shared" si="1"/>
        <v>0</v>
      </c>
      <c r="J29" s="502">
        <f t="shared" si="1"/>
        <v>0</v>
      </c>
      <c r="K29" s="502" t="str">
        <f t="shared" si="0"/>
        <v/>
      </c>
    </row>
    <row r="30" spans="1:11" ht="26.1" customHeight="1" x14ac:dyDescent="0.25">
      <c r="A30" s="546"/>
      <c r="B30" s="547"/>
      <c r="C30" s="548"/>
      <c r="D30" s="548"/>
      <c r="E30" s="549"/>
      <c r="I30" s="502">
        <f t="shared" si="1"/>
        <v>0</v>
      </c>
      <c r="J30" s="502">
        <f t="shared" si="1"/>
        <v>0</v>
      </c>
      <c r="K30" s="502" t="str">
        <f t="shared" si="0"/>
        <v/>
      </c>
    </row>
    <row r="31" spans="1:11" ht="26.1" customHeight="1" x14ac:dyDescent="0.25">
      <c r="A31" s="546"/>
      <c r="B31" s="547"/>
      <c r="C31" s="548"/>
      <c r="D31" s="548"/>
      <c r="E31" s="549"/>
      <c r="I31" s="502">
        <f t="shared" si="1"/>
        <v>0</v>
      </c>
      <c r="J31" s="502">
        <f t="shared" si="1"/>
        <v>0</v>
      </c>
      <c r="K31" s="502" t="str">
        <f t="shared" si="0"/>
        <v/>
      </c>
    </row>
    <row r="32" spans="1:11" ht="26.1" customHeight="1" x14ac:dyDescent="0.25">
      <c r="A32" s="546"/>
      <c r="B32" s="547"/>
      <c r="C32" s="548"/>
      <c r="D32" s="548"/>
      <c r="E32" s="549"/>
      <c r="I32" s="502">
        <f t="shared" si="1"/>
        <v>0</v>
      </c>
      <c r="J32" s="502">
        <f t="shared" si="1"/>
        <v>0</v>
      </c>
      <c r="K32" s="502" t="str">
        <f t="shared" si="0"/>
        <v/>
      </c>
    </row>
    <row r="33" spans="1:11" ht="26.1" customHeight="1" x14ac:dyDescent="0.25">
      <c r="A33" s="546"/>
      <c r="B33" s="547"/>
      <c r="C33" s="548"/>
      <c r="D33" s="548"/>
      <c r="E33" s="549"/>
      <c r="I33" s="502">
        <f t="shared" si="1"/>
        <v>0</v>
      </c>
      <c r="J33" s="502">
        <f t="shared" si="1"/>
        <v>0</v>
      </c>
      <c r="K33" s="502" t="str">
        <f t="shared" si="0"/>
        <v/>
      </c>
    </row>
    <row r="34" spans="1:11" ht="26.1" customHeight="1" x14ac:dyDescent="0.25">
      <c r="A34" s="546"/>
      <c r="B34" s="547"/>
      <c r="C34" s="548"/>
      <c r="D34" s="548"/>
      <c r="E34" s="549"/>
      <c r="I34" s="502">
        <f t="shared" si="1"/>
        <v>0</v>
      </c>
      <c r="J34" s="502">
        <f t="shared" si="1"/>
        <v>0</v>
      </c>
      <c r="K34" s="502" t="str">
        <f t="shared" si="0"/>
        <v/>
      </c>
    </row>
    <row r="35" spans="1:11" ht="26.1" customHeight="1" x14ac:dyDescent="0.25">
      <c r="A35" s="546"/>
      <c r="B35" s="547"/>
      <c r="C35" s="548"/>
      <c r="D35" s="548"/>
      <c r="E35" s="549"/>
      <c r="I35" s="502">
        <f t="shared" si="1"/>
        <v>0</v>
      </c>
      <c r="J35" s="502">
        <f t="shared" si="1"/>
        <v>0</v>
      </c>
      <c r="K35" s="502" t="str">
        <f t="shared" si="0"/>
        <v/>
      </c>
    </row>
    <row r="36" spans="1:11" ht="26.1" customHeight="1" x14ac:dyDescent="0.25">
      <c r="A36" s="546"/>
      <c r="B36" s="550" t="s">
        <v>1795</v>
      </c>
      <c r="C36" s="548"/>
      <c r="D36" s="548"/>
      <c r="E36" s="549"/>
      <c r="I36" s="502">
        <f t="shared" si="1"/>
        <v>0</v>
      </c>
      <c r="J36" s="502">
        <f t="shared" si="1"/>
        <v>1</v>
      </c>
      <c r="K36" s="502" t="str">
        <f t="shared" si="0"/>
        <v/>
      </c>
    </row>
    <row r="37" spans="1:11" ht="26.1" customHeight="1" x14ac:dyDescent="0.25">
      <c r="A37" s="546"/>
      <c r="B37" s="550" t="s">
        <v>1795</v>
      </c>
      <c r="C37" s="548"/>
      <c r="D37" s="548"/>
      <c r="E37" s="549"/>
      <c r="I37" s="502">
        <f t="shared" si="1"/>
        <v>0</v>
      </c>
      <c r="J37" s="502">
        <f t="shared" si="1"/>
        <v>1</v>
      </c>
      <c r="K37" s="502" t="str">
        <f t="shared" si="0"/>
        <v/>
      </c>
    </row>
    <row r="38" spans="1:11" ht="26.1" customHeight="1" x14ac:dyDescent="0.25">
      <c r="A38" s="546"/>
      <c r="B38" s="550" t="s">
        <v>1795</v>
      </c>
      <c r="C38" s="548"/>
      <c r="D38" s="548"/>
      <c r="E38" s="549"/>
      <c r="I38" s="502">
        <f t="shared" si="1"/>
        <v>0</v>
      </c>
      <c r="J38" s="502">
        <f t="shared" si="1"/>
        <v>1</v>
      </c>
      <c r="K38" s="502" t="str">
        <f t="shared" si="0"/>
        <v/>
      </c>
    </row>
    <row r="39" spans="1:11" ht="26.1" customHeight="1" x14ac:dyDescent="0.25">
      <c r="A39" s="546"/>
      <c r="B39" s="550" t="s">
        <v>1795</v>
      </c>
      <c r="C39" s="548"/>
      <c r="D39" s="548"/>
      <c r="E39" s="549"/>
      <c r="I39" s="502">
        <f t="shared" si="1"/>
        <v>0</v>
      </c>
      <c r="J39" s="502">
        <f t="shared" si="1"/>
        <v>1</v>
      </c>
      <c r="K39" s="502" t="str">
        <f t="shared" si="0"/>
        <v/>
      </c>
    </row>
    <row r="40" spans="1:11" ht="26.1" customHeight="1" thickBot="1" x14ac:dyDescent="0.3">
      <c r="A40" s="551"/>
      <c r="B40" s="552" t="s">
        <v>1795</v>
      </c>
      <c r="C40" s="553"/>
      <c r="D40" s="553"/>
      <c r="E40" s="554"/>
      <c r="I40" s="502">
        <f t="shared" si="1"/>
        <v>0</v>
      </c>
      <c r="J40" s="502">
        <f t="shared" si="1"/>
        <v>1</v>
      </c>
      <c r="K40" s="502" t="str">
        <f t="shared" si="0"/>
        <v/>
      </c>
    </row>
  </sheetData>
  <sheetProtection algorithmName="SHA-512" hashValue="dTK5wB/SlAWAwMJni9MZZDmmWXQRlOHnWIncDCXVvba6MpBGvdRwdk2G9SZ0weBOAWu50H8e8Ap14NGYsX3WzQ==" saltValue="VWEHrc3s5wtoN7/49SOPag==" spinCount="100000" sheet="1" objects="1" scenarios="1" selectLockedCells="1"/>
  <mergeCells count="4">
    <mergeCell ref="A7:E7"/>
    <mergeCell ref="A9:A10"/>
    <mergeCell ref="B9:B10"/>
    <mergeCell ref="C9:E9"/>
  </mergeCells>
  <phoneticPr fontId="142" type="noConversion"/>
  <conditionalFormatting sqref="A11:E35 A36:A40 C36:E40">
    <cfRule type="expression" dxfId="246" priority="2" stopIfTrue="1">
      <formula>LEN(TRIM(A11))=0</formula>
    </cfRule>
  </conditionalFormatting>
  <conditionalFormatting sqref="B11:B35">
    <cfRule type="duplicateValues" dxfId="245" priority="1"/>
  </conditionalFormatting>
  <dataValidations count="3">
    <dataValidation type="whole" showInputMessage="1" showErrorMessage="1" errorTitle="Eingabefehler" error="Ganze Zahl zwischen 0 und 5000 eingeben." sqref="D11:E40 C12:C13" xr:uid="{00000000-0002-0000-0400-000000000000}">
      <formula1>0</formula1>
      <formula2>5000</formula2>
    </dataValidation>
    <dataValidation type="textLength" showInputMessage="1" showErrorMessage="1" errorTitle="Zeichenlänge" error="Nur Texteingabe bis 200 Zeichen möglich." sqref="A11:A40 B36:B40" xr:uid="{00000000-0002-0000-0400-000001000000}">
      <formula1>2</formula1>
      <formula2>200</formula2>
    </dataValidation>
    <dataValidation type="whole" allowBlank="1" showInputMessage="1" showErrorMessage="1" errorTitle="Eingabefehler" error="Ganze Zahl zwischen 0 und 5000 eingeben." sqref="C14:C40 C11" xr:uid="{00000000-0002-0000-0400-000002000000}">
      <formula1>0</formula1>
      <formula2>5000</formula2>
    </dataValidation>
  </dataValidations>
  <pageMargins left="0.7" right="0.7" top="0.75" bottom="0.75" header="0.3" footer="0.3"/>
  <pageSetup scale="56" orientation="portrait" r:id="rId1"/>
  <headerFooter>
    <oddFooter>&amp;L&amp;"Arial,Regular"&amp;7&amp;F&amp;C&amp;"Arial,Regular"&amp;7 © DKG  Alle Rechte vorbehalten&amp;R&amp;"Arial,Regular"&amp;7&amp;P</oddFooter>
  </headerFooter>
  <colBreaks count="1" manualBreakCount="1">
    <brk id="5" max="1048575" man="1"/>
  </colBreaks>
  <drawing r:id="rId2"/>
  <legacyDrawing r:id="rId3"/>
  <extLst>
    <ext xmlns:x14="http://schemas.microsoft.com/office/spreadsheetml/2009/9/main" uri="{CCE6A557-97BC-4b89-ADB6-D9C93CAAB3DF}">
      <x14:dataValidations xmlns:xm="http://schemas.microsoft.com/office/excel/2006/main" count="1">
        <x14:dataValidation type="list" showInputMessage="1" showErrorMessage="1" errorTitle="Eingabefehler" error="Auswahl treffen über Dropdown-Liste." xr:uid="{00000000-0002-0000-0400-000003000000}">
          <x14:formula1>
            <xm:f>Datenquelle!$I$48:$I$163</xm:f>
          </x14:formula1>
          <xm:sqref>B11:B34 B35</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M31"/>
  <sheetViews>
    <sheetView workbookViewId="0">
      <selection activeCell="G6" sqref="G6"/>
    </sheetView>
  </sheetViews>
  <sheetFormatPr defaultColWidth="9.140625" defaultRowHeight="15" x14ac:dyDescent="0.25"/>
  <cols>
    <col min="1" max="5" width="37.7109375" customWidth="1"/>
  </cols>
  <sheetData>
    <row r="1" spans="1:13" ht="41.25" customHeight="1" x14ac:dyDescent="0.25">
      <c r="A1" s="508" t="s">
        <v>1537</v>
      </c>
      <c r="B1" s="508" t="s">
        <v>1497</v>
      </c>
      <c r="C1" s="508" t="s">
        <v>1499</v>
      </c>
      <c r="D1" s="508" t="s">
        <v>1500</v>
      </c>
      <c r="E1" s="508" t="s">
        <v>1501</v>
      </c>
      <c r="F1" s="418" t="s">
        <v>1538</v>
      </c>
      <c r="G1" s="418" t="s">
        <v>1539</v>
      </c>
      <c r="H1" s="418" t="s">
        <v>1540</v>
      </c>
      <c r="I1" s="418" t="s">
        <v>1541</v>
      </c>
      <c r="J1" s="418" t="s">
        <v>1542</v>
      </c>
      <c r="K1" s="418" t="s">
        <v>1543</v>
      </c>
      <c r="L1" s="418" t="s">
        <v>1544</v>
      </c>
      <c r="M1" s="418" t="s">
        <v>1545</v>
      </c>
    </row>
    <row r="2" spans="1:13" x14ac:dyDescent="0.25">
      <c r="A2" s="509" t="str">
        <f>IF(AND(SUM(Studien!I11:J11)=2,Studien!K11&lt;&gt;0),Studien!A11,"")</f>
        <v/>
      </c>
      <c r="B2" s="509" t="str">
        <f>IF(AND(SUM(Studien!I11:J11)=2,Studien!K11&lt;&gt;0),Studien!B11,"")</f>
        <v/>
      </c>
      <c r="C2" s="509" t="str">
        <f>IF(AND(SUM(Studien!I11:J11)=2,Studien!K11&lt;&gt;0),Studien!C11,"")</f>
        <v/>
      </c>
      <c r="D2" s="509" t="str">
        <f>IF(AND(SUM(Studien!I11:J11)=2,Studien!K11&lt;&gt;0),Studien!D11,"")</f>
        <v/>
      </c>
      <c r="E2" s="509" t="str">
        <f>IF(AND(SUM(Studien!I11:J11)=2,Studien!K11&lt;&gt;0),Studien!E11,"")</f>
        <v/>
      </c>
      <c r="F2" s="532"/>
      <c r="G2" s="532"/>
      <c r="H2" s="532"/>
      <c r="I2" s="532"/>
      <c r="J2" s="532"/>
      <c r="K2" s="532"/>
      <c r="L2" s="532"/>
      <c r="M2" s="532"/>
    </row>
    <row r="3" spans="1:13" x14ac:dyDescent="0.25">
      <c r="A3" s="509" t="str">
        <f>IF(AND(SUM(Studien!I12:J12)=2,Studien!K12&lt;&gt;0),Studien!A12,"")</f>
        <v/>
      </c>
      <c r="B3" s="509" t="str">
        <f>IF(AND(SUM(Studien!I12:J12)=2,Studien!K12&lt;&gt;0),Studien!B12,"")</f>
        <v/>
      </c>
      <c r="C3" s="509" t="str">
        <f>IF(AND(SUM(Studien!I12:J12)=2,Studien!K12&lt;&gt;0),Studien!C12,"")</f>
        <v/>
      </c>
      <c r="D3" s="509" t="str">
        <f>IF(AND(SUM(Studien!I12:J12)=2,Studien!K12&lt;&gt;0),Studien!D12,"")</f>
        <v/>
      </c>
      <c r="E3" s="509" t="str">
        <f>IF(AND(SUM(Studien!I12:J12)=2,Studien!K12&lt;&gt;0),Studien!E12,"")</f>
        <v/>
      </c>
      <c r="F3" s="532"/>
      <c r="G3" s="532"/>
      <c r="H3" s="532"/>
      <c r="I3" s="532"/>
      <c r="J3" s="532"/>
      <c r="K3" s="532"/>
      <c r="L3" s="532"/>
      <c r="M3" s="532"/>
    </row>
    <row r="4" spans="1:13" x14ac:dyDescent="0.25">
      <c r="A4" s="509" t="str">
        <f>IF(AND(SUM(Studien!I13:J13)=2,Studien!K13&lt;&gt;0),Studien!A13,"")</f>
        <v/>
      </c>
      <c r="B4" s="509" t="str">
        <f>IF(AND(SUM(Studien!I13:J13)=2,Studien!K13&lt;&gt;0),Studien!B13,"")</f>
        <v/>
      </c>
      <c r="C4" s="509" t="str">
        <f>IF(AND(SUM(Studien!I13:J13)=2,Studien!K13&lt;&gt;0),Studien!C13,"")</f>
        <v/>
      </c>
      <c r="D4" s="509" t="str">
        <f>IF(AND(SUM(Studien!I13:J13)=2,Studien!K13&lt;&gt;0),Studien!D13,"")</f>
        <v/>
      </c>
      <c r="E4" s="509" t="str">
        <f>IF(AND(SUM(Studien!I13:J13)=2,Studien!K13&lt;&gt;0),Studien!E13,"")</f>
        <v/>
      </c>
      <c r="F4" s="532"/>
      <c r="G4" s="532"/>
      <c r="H4" s="532"/>
      <c r="I4" s="532"/>
      <c r="J4" s="532"/>
      <c r="K4" s="532"/>
      <c r="L4" s="532"/>
      <c r="M4" s="532"/>
    </row>
    <row r="5" spans="1:13" x14ac:dyDescent="0.25">
      <c r="A5" s="509" t="str">
        <f>IF(AND(SUM(Studien!I14:J14)=2,Studien!K14&lt;&gt;0),Studien!A14,"")</f>
        <v/>
      </c>
      <c r="B5" s="509" t="str">
        <f>IF(AND(SUM(Studien!I14:J14)=2,Studien!K14&lt;&gt;0),Studien!B14,"")</f>
        <v/>
      </c>
      <c r="C5" s="509" t="str">
        <f>IF(AND(SUM(Studien!I14:J14)=2,Studien!K14&lt;&gt;0),Studien!C14,"")</f>
        <v/>
      </c>
      <c r="D5" s="509" t="str">
        <f>IF(AND(SUM(Studien!I14:J14)=2,Studien!K14&lt;&gt;0),Studien!D14,"")</f>
        <v/>
      </c>
      <c r="E5" s="509" t="str">
        <f>IF(AND(SUM(Studien!I14:J14)=2,Studien!K14&lt;&gt;0),Studien!E14,"")</f>
        <v/>
      </c>
      <c r="F5" s="532"/>
      <c r="G5" s="532"/>
      <c r="H5" s="532"/>
      <c r="I5" s="532"/>
      <c r="J5" s="532"/>
      <c r="K5" s="532"/>
      <c r="L5" s="532"/>
      <c r="M5" s="532"/>
    </row>
    <row r="6" spans="1:13" x14ac:dyDescent="0.25">
      <c r="A6" s="509" t="str">
        <f>IF(AND(SUM(Studien!I15:J15)=2,Studien!K15&lt;&gt;0),Studien!A15,"")</f>
        <v/>
      </c>
      <c r="B6" s="509" t="str">
        <f>IF(AND(SUM(Studien!I15:J15)=2,Studien!K15&lt;&gt;0),Studien!B15,"")</f>
        <v/>
      </c>
      <c r="C6" s="509" t="str">
        <f>IF(AND(SUM(Studien!I15:J15)=2,Studien!K15&lt;&gt;0),Studien!C15,"")</f>
        <v/>
      </c>
      <c r="D6" s="509" t="str">
        <f>IF(AND(SUM(Studien!I15:J15)=2,Studien!K15&lt;&gt;0),Studien!D15,"")</f>
        <v/>
      </c>
      <c r="E6" s="509" t="str">
        <f>IF(AND(SUM(Studien!I15:J15)=2,Studien!K15&lt;&gt;0),Studien!E15,"")</f>
        <v/>
      </c>
      <c r="F6" s="532"/>
      <c r="G6" s="532"/>
      <c r="H6" s="532"/>
      <c r="I6" s="532"/>
      <c r="J6" s="532"/>
      <c r="K6" s="532"/>
      <c r="L6" s="532"/>
      <c r="M6" s="532"/>
    </row>
    <row r="7" spans="1:13" x14ac:dyDescent="0.25">
      <c r="A7" s="509" t="str">
        <f>IF(AND(SUM(Studien!I16:J16)=2,Studien!K16&lt;&gt;0),Studien!A16,"")</f>
        <v/>
      </c>
      <c r="B7" s="509" t="str">
        <f>IF(AND(SUM(Studien!I16:J16)=2,Studien!K16&lt;&gt;0),Studien!B16,"")</f>
        <v/>
      </c>
      <c r="C7" s="509" t="str">
        <f>IF(AND(SUM(Studien!I16:J16)=2,Studien!K16&lt;&gt;0),Studien!C16,"")</f>
        <v/>
      </c>
      <c r="D7" s="509" t="str">
        <f>IF(AND(SUM(Studien!I16:J16)=2,Studien!K16&lt;&gt;0),Studien!D16,"")</f>
        <v/>
      </c>
      <c r="E7" s="509" t="str">
        <f>IF(AND(SUM(Studien!I16:J16)=2,Studien!K16&lt;&gt;0),Studien!E16,"")</f>
        <v/>
      </c>
      <c r="F7" s="532"/>
      <c r="G7" s="532"/>
      <c r="H7" s="532"/>
      <c r="I7" s="532"/>
      <c r="J7" s="532"/>
      <c r="K7" s="532"/>
      <c r="L7" s="532"/>
      <c r="M7" s="532"/>
    </row>
    <row r="8" spans="1:13" x14ac:dyDescent="0.25">
      <c r="A8" s="509" t="str">
        <f>IF(AND(SUM(Studien!I17:J17)=2,Studien!K17&lt;&gt;0),Studien!A17,"")</f>
        <v/>
      </c>
      <c r="B8" s="509" t="str">
        <f>IF(AND(SUM(Studien!I17:J17)=2,Studien!K17&lt;&gt;0),Studien!B17,"")</f>
        <v/>
      </c>
      <c r="C8" s="509" t="str">
        <f>IF(AND(SUM(Studien!I17:J17)=2,Studien!K17&lt;&gt;0),Studien!C17,"")</f>
        <v/>
      </c>
      <c r="D8" s="509" t="str">
        <f>IF(AND(SUM(Studien!I17:J17)=2,Studien!K17&lt;&gt;0),Studien!D17,"")</f>
        <v/>
      </c>
      <c r="E8" s="509" t="str">
        <f>IF(AND(SUM(Studien!I17:J17)=2,Studien!K17&lt;&gt;0),Studien!E17,"")</f>
        <v/>
      </c>
      <c r="F8" s="532"/>
      <c r="G8" s="532"/>
      <c r="H8" s="532"/>
      <c r="I8" s="532"/>
      <c r="J8" s="532"/>
      <c r="K8" s="532"/>
      <c r="L8" s="532"/>
      <c r="M8" s="532"/>
    </row>
    <row r="9" spans="1:13" x14ac:dyDescent="0.25">
      <c r="A9" s="509" t="str">
        <f>IF(AND(SUM(Studien!I18:J18)=2,Studien!K18&lt;&gt;0),Studien!A18,"")</f>
        <v/>
      </c>
      <c r="B9" s="509" t="str">
        <f>IF(AND(SUM(Studien!I18:J18)=2,Studien!K18&lt;&gt;0),Studien!B18,"")</f>
        <v/>
      </c>
      <c r="C9" s="509" t="str">
        <f>IF(AND(SUM(Studien!I18:J18)=2,Studien!K18&lt;&gt;0),Studien!C18,"")</f>
        <v/>
      </c>
      <c r="D9" s="509" t="str">
        <f>IF(AND(SUM(Studien!I18:J18)=2,Studien!K18&lt;&gt;0),Studien!D18,"")</f>
        <v/>
      </c>
      <c r="E9" s="509" t="str">
        <f>IF(AND(SUM(Studien!I18:J18)=2,Studien!K18&lt;&gt;0),Studien!E18,"")</f>
        <v/>
      </c>
      <c r="F9" s="532"/>
      <c r="G9" s="532"/>
      <c r="H9" s="532"/>
      <c r="I9" s="532"/>
      <c r="J9" s="532"/>
      <c r="K9" s="532"/>
      <c r="L9" s="532"/>
      <c r="M9" s="532"/>
    </row>
    <row r="10" spans="1:13" x14ac:dyDescent="0.25">
      <c r="A10" s="509" t="str">
        <f>IF(AND(SUM(Studien!I19:J19)=2,Studien!K19&lt;&gt;0),Studien!A19,"")</f>
        <v/>
      </c>
      <c r="B10" s="509" t="str">
        <f>IF(AND(SUM(Studien!I19:J19)=2,Studien!K19&lt;&gt;0),Studien!B19,"")</f>
        <v/>
      </c>
      <c r="C10" s="509" t="str">
        <f>IF(AND(SUM(Studien!I19:J19)=2,Studien!K19&lt;&gt;0),Studien!C19,"")</f>
        <v/>
      </c>
      <c r="D10" s="509" t="str">
        <f>IF(AND(SUM(Studien!I19:J19)=2,Studien!K19&lt;&gt;0),Studien!D19,"")</f>
        <v/>
      </c>
      <c r="E10" s="509" t="str">
        <f>IF(AND(SUM(Studien!I19:J19)=2,Studien!K19&lt;&gt;0),Studien!E19,"")</f>
        <v/>
      </c>
      <c r="F10" s="532"/>
      <c r="G10" s="532"/>
      <c r="H10" s="532"/>
      <c r="I10" s="532"/>
      <c r="J10" s="532"/>
      <c r="K10" s="532"/>
      <c r="L10" s="532"/>
      <c r="M10" s="532"/>
    </row>
    <row r="11" spans="1:13" x14ac:dyDescent="0.25">
      <c r="A11" s="509" t="str">
        <f>IF(AND(SUM(Studien!I20:J20)=2,Studien!K20&lt;&gt;0),Studien!A20,"")</f>
        <v/>
      </c>
      <c r="B11" s="509" t="str">
        <f>IF(AND(SUM(Studien!I20:J20)=2,Studien!K20&lt;&gt;0),Studien!B20,"")</f>
        <v/>
      </c>
      <c r="C11" s="509" t="str">
        <f>IF(AND(SUM(Studien!I20:J20)=2,Studien!K20&lt;&gt;0),Studien!C20,"")</f>
        <v/>
      </c>
      <c r="D11" s="509" t="str">
        <f>IF(AND(SUM(Studien!I20:J20)=2,Studien!K20&lt;&gt;0),Studien!D20,"")</f>
        <v/>
      </c>
      <c r="E11" s="509" t="str">
        <f>IF(AND(SUM(Studien!I20:J20)=2,Studien!K20&lt;&gt;0),Studien!E20,"")</f>
        <v/>
      </c>
      <c r="F11" s="532"/>
      <c r="G11" s="532"/>
      <c r="H11" s="532"/>
      <c r="I11" s="532"/>
      <c r="J11" s="532"/>
      <c r="K11" s="532"/>
      <c r="L11" s="532"/>
      <c r="M11" s="532"/>
    </row>
    <row r="12" spans="1:13" x14ac:dyDescent="0.25">
      <c r="A12" s="509" t="str">
        <f>IF(AND(SUM(Studien!I21:J21)=2,Studien!K21&lt;&gt;0),Studien!A21,"")</f>
        <v/>
      </c>
      <c r="B12" s="509" t="str">
        <f>IF(AND(SUM(Studien!I21:J21)=2,Studien!K21&lt;&gt;0),Studien!B21,"")</f>
        <v/>
      </c>
      <c r="C12" s="509" t="str">
        <f>IF(AND(SUM(Studien!I21:J21)=2,Studien!K21&lt;&gt;0),Studien!C21,"")</f>
        <v/>
      </c>
      <c r="D12" s="509" t="str">
        <f>IF(AND(SUM(Studien!I21:J21)=2,Studien!K21&lt;&gt;0),Studien!D21,"")</f>
        <v/>
      </c>
      <c r="E12" s="509" t="str">
        <f>IF(AND(SUM(Studien!I21:J21)=2,Studien!K21&lt;&gt;0),Studien!E21,"")</f>
        <v/>
      </c>
      <c r="F12" s="532"/>
      <c r="G12" s="532"/>
      <c r="H12" s="532"/>
      <c r="I12" s="532"/>
      <c r="J12" s="532"/>
      <c r="K12" s="532"/>
      <c r="L12" s="532"/>
      <c r="M12" s="532"/>
    </row>
    <row r="13" spans="1:13" x14ac:dyDescent="0.25">
      <c r="A13" s="509" t="str">
        <f>IF(AND(SUM(Studien!I22:J22)=2,Studien!K22&lt;&gt;0),Studien!A22,"")</f>
        <v/>
      </c>
      <c r="B13" s="509" t="str">
        <f>IF(AND(SUM(Studien!I22:J22)=2,Studien!K22&lt;&gt;0),Studien!B22,"")</f>
        <v/>
      </c>
      <c r="C13" s="509" t="str">
        <f>IF(AND(SUM(Studien!I22:J22)=2,Studien!K22&lt;&gt;0),Studien!C22,"")</f>
        <v/>
      </c>
      <c r="D13" s="509" t="str">
        <f>IF(AND(SUM(Studien!I22:J22)=2,Studien!K22&lt;&gt;0),Studien!D22,"")</f>
        <v/>
      </c>
      <c r="E13" s="509" t="str">
        <f>IF(AND(SUM(Studien!I22:J22)=2,Studien!K22&lt;&gt;0),Studien!E22,"")</f>
        <v/>
      </c>
      <c r="F13" s="532"/>
      <c r="G13" s="532"/>
      <c r="H13" s="532"/>
      <c r="I13" s="532"/>
      <c r="J13" s="532"/>
      <c r="K13" s="532"/>
      <c r="L13" s="532"/>
      <c r="M13" s="532"/>
    </row>
    <row r="14" spans="1:13" x14ac:dyDescent="0.25">
      <c r="A14" s="509" t="str">
        <f>IF(AND(SUM(Studien!I23:J23)=2,Studien!K23&lt;&gt;0),Studien!A23,"")</f>
        <v/>
      </c>
      <c r="B14" s="509" t="str">
        <f>IF(AND(SUM(Studien!I23:J23)=2,Studien!K23&lt;&gt;0),Studien!B23,"")</f>
        <v/>
      </c>
      <c r="C14" s="509" t="str">
        <f>IF(AND(SUM(Studien!I23:J23)=2,Studien!K23&lt;&gt;0),Studien!C23,"")</f>
        <v/>
      </c>
      <c r="D14" s="509" t="str">
        <f>IF(AND(SUM(Studien!I23:J23)=2,Studien!K23&lt;&gt;0),Studien!D23,"")</f>
        <v/>
      </c>
      <c r="E14" s="509" t="str">
        <f>IF(AND(SUM(Studien!I23:J23)=2,Studien!K23&lt;&gt;0),Studien!E23,"")</f>
        <v/>
      </c>
      <c r="F14" s="532"/>
      <c r="G14" s="532"/>
      <c r="H14" s="532"/>
      <c r="I14" s="532"/>
      <c r="J14" s="532"/>
      <c r="K14" s="532"/>
      <c r="L14" s="532"/>
      <c r="M14" s="532"/>
    </row>
    <row r="15" spans="1:13" x14ac:dyDescent="0.25">
      <c r="A15" s="509" t="str">
        <f>IF(AND(SUM(Studien!I24:J24)=2,Studien!K24&lt;&gt;0),Studien!A24,"")</f>
        <v/>
      </c>
      <c r="B15" s="509" t="str">
        <f>IF(AND(SUM(Studien!I24:J24)=2,Studien!K24&lt;&gt;0),Studien!B24,"")</f>
        <v/>
      </c>
      <c r="C15" s="509" t="str">
        <f>IF(AND(SUM(Studien!I24:J24)=2,Studien!K24&lt;&gt;0),Studien!C24,"")</f>
        <v/>
      </c>
      <c r="D15" s="509" t="str">
        <f>IF(AND(SUM(Studien!I24:J24)=2,Studien!K24&lt;&gt;0),Studien!D24,"")</f>
        <v/>
      </c>
      <c r="E15" s="509" t="str">
        <f>IF(AND(SUM(Studien!I24:J24)=2,Studien!K24&lt;&gt;0),Studien!E24,"")</f>
        <v/>
      </c>
      <c r="F15" s="532"/>
      <c r="G15" s="532"/>
      <c r="H15" s="532"/>
      <c r="I15" s="532"/>
      <c r="J15" s="532"/>
      <c r="K15" s="532"/>
      <c r="L15" s="532"/>
      <c r="M15" s="532"/>
    </row>
    <row r="16" spans="1:13" x14ac:dyDescent="0.25">
      <c r="A16" s="509" t="str">
        <f>IF(AND(SUM(Studien!I25:J25)=2,Studien!K25&lt;&gt;0),Studien!A25,"")</f>
        <v/>
      </c>
      <c r="B16" s="509" t="str">
        <f>IF(AND(SUM(Studien!I25:J25)=2,Studien!K25&lt;&gt;0),Studien!B25,"")</f>
        <v/>
      </c>
      <c r="C16" s="509" t="str">
        <f>IF(AND(SUM(Studien!I25:J25)=2,Studien!K25&lt;&gt;0),Studien!C25,"")</f>
        <v/>
      </c>
      <c r="D16" s="509" t="str">
        <f>IF(AND(SUM(Studien!I25:J25)=2,Studien!K25&lt;&gt;0),Studien!D25,"")</f>
        <v/>
      </c>
      <c r="E16" s="509" t="str">
        <f>IF(AND(SUM(Studien!I25:J25)=2,Studien!K25&lt;&gt;0),Studien!E25,"")</f>
        <v/>
      </c>
      <c r="F16" s="532"/>
      <c r="G16" s="532"/>
      <c r="H16" s="532"/>
      <c r="I16" s="532"/>
      <c r="J16" s="532"/>
      <c r="K16" s="532"/>
      <c r="L16" s="532"/>
      <c r="M16" s="532"/>
    </row>
    <row r="17" spans="1:13" x14ac:dyDescent="0.25">
      <c r="A17" s="509" t="str">
        <f>IF(AND(SUM(Studien!I26:J26)=2,Studien!K26&lt;&gt;0),Studien!A26,"")</f>
        <v/>
      </c>
      <c r="B17" s="509" t="str">
        <f>IF(AND(SUM(Studien!I26:J26)=2,Studien!K26&lt;&gt;0),Studien!B26,"")</f>
        <v/>
      </c>
      <c r="C17" s="509" t="str">
        <f>IF(AND(SUM(Studien!I26:J26)=2,Studien!K26&lt;&gt;0),Studien!C26,"")</f>
        <v/>
      </c>
      <c r="D17" s="509" t="str">
        <f>IF(AND(SUM(Studien!I26:J26)=2,Studien!K26&lt;&gt;0),Studien!D26,"")</f>
        <v/>
      </c>
      <c r="E17" s="509" t="str">
        <f>IF(AND(SUM(Studien!I26:J26)=2,Studien!K26&lt;&gt;0),Studien!E26,"")</f>
        <v/>
      </c>
      <c r="F17" s="532"/>
      <c r="G17" s="532"/>
      <c r="H17" s="532"/>
      <c r="I17" s="532"/>
      <c r="J17" s="532"/>
      <c r="K17" s="532"/>
      <c r="L17" s="532"/>
      <c r="M17" s="532"/>
    </row>
    <row r="18" spans="1:13" x14ac:dyDescent="0.25">
      <c r="A18" s="509" t="str">
        <f>IF(AND(SUM(Studien!I27:J27)=2,Studien!K27&lt;&gt;0),Studien!A27,"")</f>
        <v/>
      </c>
      <c r="B18" s="509" t="str">
        <f>IF(AND(SUM(Studien!I27:J27)=2,Studien!K27&lt;&gt;0),Studien!B27,"")</f>
        <v/>
      </c>
      <c r="C18" s="509" t="str">
        <f>IF(AND(SUM(Studien!I27:J27)=2,Studien!K27&lt;&gt;0),Studien!C27,"")</f>
        <v/>
      </c>
      <c r="D18" s="509" t="str">
        <f>IF(AND(SUM(Studien!I27:J27)=2,Studien!K27&lt;&gt;0),Studien!D27,"")</f>
        <v/>
      </c>
      <c r="E18" s="509" t="str">
        <f>IF(AND(SUM(Studien!I27:J27)=2,Studien!K27&lt;&gt;0),Studien!E27,"")</f>
        <v/>
      </c>
      <c r="F18" s="532"/>
      <c r="G18" s="532"/>
      <c r="H18" s="532"/>
      <c r="I18" s="532"/>
      <c r="J18" s="532"/>
      <c r="K18" s="532"/>
      <c r="L18" s="532"/>
      <c r="M18" s="532"/>
    </row>
    <row r="19" spans="1:13" x14ac:dyDescent="0.25">
      <c r="A19" s="509" t="str">
        <f>IF(AND(SUM(Studien!I28:J28)=2,Studien!K28&lt;&gt;0),Studien!A28,"")</f>
        <v/>
      </c>
      <c r="B19" s="509" t="str">
        <f>IF(AND(SUM(Studien!I28:J28)=2,Studien!K28&lt;&gt;0),Studien!B28,"")</f>
        <v/>
      </c>
      <c r="C19" s="509" t="str">
        <f>IF(AND(SUM(Studien!I28:J28)=2,Studien!K28&lt;&gt;0),Studien!C28,"")</f>
        <v/>
      </c>
      <c r="D19" s="509" t="str">
        <f>IF(AND(SUM(Studien!I28:J28)=2,Studien!K28&lt;&gt;0),Studien!D28,"")</f>
        <v/>
      </c>
      <c r="E19" s="509" t="str">
        <f>IF(AND(SUM(Studien!I28:J28)=2,Studien!K28&lt;&gt;0),Studien!E28,"")</f>
        <v/>
      </c>
      <c r="F19" s="532"/>
      <c r="G19" s="532"/>
      <c r="H19" s="532"/>
      <c r="I19" s="532"/>
      <c r="J19" s="532"/>
      <c r="K19" s="532"/>
      <c r="L19" s="532"/>
      <c r="M19" s="532"/>
    </row>
    <row r="20" spans="1:13" x14ac:dyDescent="0.25">
      <c r="A20" s="509" t="str">
        <f>IF(AND(SUM(Studien!I29:J29)=2,Studien!K29&lt;&gt;0),Studien!A29,"")</f>
        <v/>
      </c>
      <c r="B20" s="509" t="str">
        <f>IF(AND(SUM(Studien!I29:J29)=2,Studien!K29&lt;&gt;0),Studien!B29,"")</f>
        <v/>
      </c>
      <c r="C20" s="509" t="str">
        <f>IF(AND(SUM(Studien!I29:J29)=2,Studien!K29&lt;&gt;0),Studien!C29,"")</f>
        <v/>
      </c>
      <c r="D20" s="509" t="str">
        <f>IF(AND(SUM(Studien!I29:J29)=2,Studien!K29&lt;&gt;0),Studien!D29,"")</f>
        <v/>
      </c>
      <c r="E20" s="509" t="str">
        <f>IF(AND(SUM(Studien!I29:J29)=2,Studien!K29&lt;&gt;0),Studien!E29,"")</f>
        <v/>
      </c>
      <c r="F20" s="532"/>
      <c r="G20" s="532"/>
      <c r="H20" s="532"/>
      <c r="I20" s="532"/>
      <c r="J20" s="532"/>
      <c r="K20" s="532"/>
      <c r="L20" s="532"/>
      <c r="M20" s="532"/>
    </row>
    <row r="21" spans="1:13" x14ac:dyDescent="0.25">
      <c r="A21" s="509" t="str">
        <f>IF(AND(SUM(Studien!I30:J30)=2,Studien!K30&lt;&gt;0),Studien!A30,"")</f>
        <v/>
      </c>
      <c r="B21" s="509" t="str">
        <f>IF(AND(SUM(Studien!I30:J30)=2,Studien!K30&lt;&gt;0),Studien!B30,"")</f>
        <v/>
      </c>
      <c r="C21" s="509" t="str">
        <f>IF(AND(SUM(Studien!I30:J30)=2,Studien!K30&lt;&gt;0),Studien!C30,"")</f>
        <v/>
      </c>
      <c r="D21" s="509" t="str">
        <f>IF(AND(SUM(Studien!I30:J30)=2,Studien!K30&lt;&gt;0),Studien!D30,"")</f>
        <v/>
      </c>
      <c r="E21" s="509" t="str">
        <f>IF(AND(SUM(Studien!I30:J30)=2,Studien!K30&lt;&gt;0),Studien!E30,"")</f>
        <v/>
      </c>
      <c r="F21" s="532"/>
      <c r="G21" s="532"/>
      <c r="H21" s="532"/>
      <c r="I21" s="532"/>
      <c r="J21" s="532"/>
      <c r="K21" s="532"/>
      <c r="L21" s="532"/>
      <c r="M21" s="532"/>
    </row>
    <row r="22" spans="1:13" x14ac:dyDescent="0.25">
      <c r="A22" s="509" t="str">
        <f>IF(AND(SUM(Studien!I31:J31)=2,Studien!K31&lt;&gt;0),Studien!A31,"")</f>
        <v/>
      </c>
      <c r="B22" s="509" t="str">
        <f>IF(AND(SUM(Studien!I31:J31)=2,Studien!K31&lt;&gt;0),Studien!B31,"")</f>
        <v/>
      </c>
      <c r="C22" s="509" t="str">
        <f>IF(AND(SUM(Studien!I31:J31)=2,Studien!K31&lt;&gt;0),Studien!C31,"")</f>
        <v/>
      </c>
      <c r="D22" s="509" t="str">
        <f>IF(AND(SUM(Studien!I31:J31)=2,Studien!K31&lt;&gt;0),Studien!D31,"")</f>
        <v/>
      </c>
      <c r="E22" s="509" t="str">
        <f>IF(AND(SUM(Studien!I31:J31)=2,Studien!K31&lt;&gt;0),Studien!E31,"")</f>
        <v/>
      </c>
      <c r="F22" s="532"/>
      <c r="G22" s="532"/>
      <c r="H22" s="532"/>
      <c r="I22" s="532"/>
      <c r="J22" s="532"/>
      <c r="K22" s="532"/>
      <c r="L22" s="532"/>
      <c r="M22" s="532"/>
    </row>
    <row r="23" spans="1:13" x14ac:dyDescent="0.25">
      <c r="A23" s="509" t="str">
        <f>IF(AND(SUM(Studien!I32:J32)=2,Studien!K32&lt;&gt;0),Studien!A32,"")</f>
        <v/>
      </c>
      <c r="B23" s="509" t="str">
        <f>IF(AND(SUM(Studien!I32:J32)=2,Studien!K32&lt;&gt;0),Studien!B32,"")</f>
        <v/>
      </c>
      <c r="C23" s="509" t="str">
        <f>IF(AND(SUM(Studien!I32:J32)=2,Studien!K32&lt;&gt;0),Studien!C32,"")</f>
        <v/>
      </c>
      <c r="D23" s="509" t="str">
        <f>IF(AND(SUM(Studien!I32:J32)=2,Studien!K32&lt;&gt;0),Studien!D32,"")</f>
        <v/>
      </c>
      <c r="E23" s="509" t="str">
        <f>IF(AND(SUM(Studien!I32:J32)=2,Studien!K32&lt;&gt;0),Studien!E32,"")</f>
        <v/>
      </c>
      <c r="F23" s="532"/>
      <c r="G23" s="532"/>
      <c r="H23" s="532"/>
      <c r="I23" s="532"/>
      <c r="J23" s="532"/>
      <c r="K23" s="532"/>
      <c r="L23" s="532"/>
      <c r="M23" s="532"/>
    </row>
    <row r="24" spans="1:13" x14ac:dyDescent="0.25">
      <c r="A24" s="509" t="str">
        <f>IF(AND(SUM(Studien!I33:J33)=2,Studien!K33&lt;&gt;0),Studien!A33,"")</f>
        <v/>
      </c>
      <c r="B24" s="509" t="str">
        <f>IF(AND(SUM(Studien!I33:J33)=2,Studien!K33&lt;&gt;0),Studien!B33,"")</f>
        <v/>
      </c>
      <c r="C24" s="509" t="str">
        <f>IF(AND(SUM(Studien!I33:J33)=2,Studien!K33&lt;&gt;0),Studien!C33,"")</f>
        <v/>
      </c>
      <c r="D24" s="509" t="str">
        <f>IF(AND(SUM(Studien!I33:J33)=2,Studien!K33&lt;&gt;0),Studien!D33,"")</f>
        <v/>
      </c>
      <c r="E24" s="509" t="str">
        <f>IF(AND(SUM(Studien!I33:J33)=2,Studien!K33&lt;&gt;0),Studien!E33,"")</f>
        <v/>
      </c>
      <c r="F24" s="532"/>
      <c r="G24" s="532"/>
      <c r="H24" s="532"/>
      <c r="I24" s="532"/>
      <c r="J24" s="532"/>
      <c r="K24" s="532"/>
      <c r="L24" s="532"/>
      <c r="M24" s="532"/>
    </row>
    <row r="25" spans="1:13" x14ac:dyDescent="0.25">
      <c r="A25" s="509" t="str">
        <f>IF(AND(SUM(Studien!I34:J34)=2,Studien!K34&lt;&gt;0),Studien!A34,"")</f>
        <v/>
      </c>
      <c r="B25" s="509" t="str">
        <f>IF(AND(SUM(Studien!I34:J34)=2,Studien!K34&lt;&gt;0),Studien!B34,"")</f>
        <v/>
      </c>
      <c r="C25" s="509" t="str">
        <f>IF(AND(SUM(Studien!I34:J34)=2,Studien!K34&lt;&gt;0),Studien!C34,"")</f>
        <v/>
      </c>
      <c r="D25" s="509" t="str">
        <f>IF(AND(SUM(Studien!I34:J34)=2,Studien!K34&lt;&gt;0),Studien!D34,"")</f>
        <v/>
      </c>
      <c r="E25" s="509" t="str">
        <f>IF(AND(SUM(Studien!I34:J34)=2,Studien!K34&lt;&gt;0),Studien!E34,"")</f>
        <v/>
      </c>
      <c r="F25" s="532"/>
      <c r="G25" s="532"/>
      <c r="H25" s="532"/>
      <c r="I25" s="532"/>
      <c r="J25" s="532"/>
      <c r="K25" s="532"/>
      <c r="L25" s="532"/>
      <c r="M25" s="532"/>
    </row>
    <row r="26" spans="1:13" x14ac:dyDescent="0.25">
      <c r="A26" s="509" t="str">
        <f>IF(AND(SUM(Studien!I35:J35)=2,Studien!K35&lt;&gt;0),Studien!A35,"")</f>
        <v/>
      </c>
      <c r="B26" s="509" t="str">
        <f>IF(AND(SUM(Studien!I35:J35)=2,Studien!K35&lt;&gt;0),Studien!B35,"")</f>
        <v/>
      </c>
      <c r="C26" s="509" t="str">
        <f>IF(AND(SUM(Studien!I35:J35)=2,Studien!K35&lt;&gt;0),Studien!C35,"")</f>
        <v/>
      </c>
      <c r="D26" s="509" t="str">
        <f>IF(AND(SUM(Studien!I35:J35)=2,Studien!K35&lt;&gt;0),Studien!D35,"")</f>
        <v/>
      </c>
      <c r="E26" s="509" t="str">
        <f>IF(AND(SUM(Studien!I35:J35)=2,Studien!K35&lt;&gt;0),Studien!E35,"")</f>
        <v/>
      </c>
      <c r="F26" s="532"/>
      <c r="G26" s="532"/>
      <c r="H26" s="532"/>
      <c r="I26" s="532"/>
      <c r="J26" s="532"/>
      <c r="K26" s="532"/>
      <c r="L26" s="532"/>
      <c r="M26" s="532"/>
    </row>
    <row r="27" spans="1:13" x14ac:dyDescent="0.25">
      <c r="A27" s="509" t="str">
        <f>IF(AND(SUM(Studien!I36:J36)=2,Studien!K36&lt;&gt;0),Studien!A36,"")</f>
        <v/>
      </c>
      <c r="B27" s="509" t="str">
        <f>IF(AND(SUM(Studien!I36:J36)=2,Studien!K36&lt;&gt;0),Studien!B36,"")</f>
        <v/>
      </c>
      <c r="C27" s="509" t="str">
        <f>IF(AND(SUM(Studien!I36:J36)=2,Studien!K36&lt;&gt;0),Studien!C36,"")</f>
        <v/>
      </c>
      <c r="D27" s="509" t="str">
        <f>IF(AND(SUM(Studien!I36:J36)=2,Studien!K36&lt;&gt;0),Studien!D36,"")</f>
        <v/>
      </c>
      <c r="E27" s="509" t="str">
        <f>IF(AND(SUM(Studien!I36:J36)=2,Studien!K36&lt;&gt;0),Studien!E36,"")</f>
        <v/>
      </c>
      <c r="F27" s="532"/>
      <c r="G27" s="532"/>
      <c r="H27" s="532"/>
      <c r="I27" s="532"/>
      <c r="J27" s="532"/>
      <c r="K27" s="532"/>
      <c r="L27" s="532"/>
      <c r="M27" s="532"/>
    </row>
    <row r="28" spans="1:13" x14ac:dyDescent="0.25">
      <c r="A28" s="509" t="str">
        <f>IF(AND(SUM(Studien!I37:J37)=2,Studien!K37&lt;&gt;0),Studien!A37,"")</f>
        <v/>
      </c>
      <c r="B28" s="509" t="str">
        <f>IF(AND(SUM(Studien!I37:J37)=2,Studien!K37&lt;&gt;0),Studien!B37,"")</f>
        <v/>
      </c>
      <c r="C28" s="509" t="str">
        <f>IF(AND(SUM(Studien!I37:J37)=2,Studien!K37&lt;&gt;0),Studien!C37,"")</f>
        <v/>
      </c>
      <c r="D28" s="509" t="str">
        <f>IF(AND(SUM(Studien!I37:J37)=2,Studien!K37&lt;&gt;0),Studien!D37,"")</f>
        <v/>
      </c>
      <c r="E28" s="509" t="str">
        <f>IF(AND(SUM(Studien!I37:J37)=2,Studien!K37&lt;&gt;0),Studien!E37,"")</f>
        <v/>
      </c>
      <c r="F28" s="532"/>
      <c r="G28" s="532"/>
      <c r="H28" s="532"/>
      <c r="I28" s="532"/>
      <c r="J28" s="532"/>
      <c r="K28" s="532"/>
      <c r="L28" s="532"/>
      <c r="M28" s="532"/>
    </row>
    <row r="29" spans="1:13" x14ac:dyDescent="0.25">
      <c r="A29" s="509" t="str">
        <f>IF(AND(SUM(Studien!I38:J38)=2,Studien!K38&lt;&gt;0),Studien!A38,"")</f>
        <v/>
      </c>
      <c r="B29" s="509" t="str">
        <f>IF(AND(SUM(Studien!I38:J38)=2,Studien!K38&lt;&gt;0),Studien!B38,"")</f>
        <v/>
      </c>
      <c r="C29" s="509" t="str">
        <f>IF(AND(SUM(Studien!I38:J38)=2,Studien!K38&lt;&gt;0),Studien!C38,"")</f>
        <v/>
      </c>
      <c r="D29" s="509" t="str">
        <f>IF(AND(SUM(Studien!I38:J38)=2,Studien!K38&lt;&gt;0),Studien!D38,"")</f>
        <v/>
      </c>
      <c r="E29" s="509" t="str">
        <f>IF(AND(SUM(Studien!I38:J38)=2,Studien!K38&lt;&gt;0),Studien!E38,"")</f>
        <v/>
      </c>
      <c r="F29" s="532"/>
      <c r="G29" s="532"/>
      <c r="H29" s="532"/>
      <c r="I29" s="532"/>
      <c r="J29" s="532"/>
      <c r="K29" s="532"/>
      <c r="L29" s="532"/>
      <c r="M29" s="532"/>
    </row>
    <row r="30" spans="1:13" x14ac:dyDescent="0.25">
      <c r="A30" s="509" t="str">
        <f>IF(AND(SUM(Studien!I39:J39)=2,Studien!K39&lt;&gt;0),Studien!A39,"")</f>
        <v/>
      </c>
      <c r="B30" s="509" t="str">
        <f>IF(AND(SUM(Studien!I39:J39)=2,Studien!K39&lt;&gt;0),Studien!B39,"")</f>
        <v/>
      </c>
      <c r="C30" s="509" t="str">
        <f>IF(AND(SUM(Studien!I39:J39)=2,Studien!K39&lt;&gt;0),Studien!C39,"")</f>
        <v/>
      </c>
      <c r="D30" s="509" t="str">
        <f>IF(AND(SUM(Studien!I39:J39)=2,Studien!K39&lt;&gt;0),Studien!D39,"")</f>
        <v/>
      </c>
      <c r="E30" s="509" t="str">
        <f>IF(AND(SUM(Studien!I39:J39)=2,Studien!K39&lt;&gt;0),Studien!E39,"")</f>
        <v/>
      </c>
      <c r="F30" s="532"/>
      <c r="G30" s="532"/>
      <c r="H30" s="532"/>
      <c r="I30" s="532"/>
      <c r="J30" s="532"/>
      <c r="K30" s="532"/>
      <c r="L30" s="532"/>
      <c r="M30" s="532"/>
    </row>
    <row r="31" spans="1:13" x14ac:dyDescent="0.25">
      <c r="A31" s="509" t="str">
        <f>IF(AND(SUM(Studien!I40:J40)=2,Studien!K40&lt;&gt;0),Studien!A40,"")</f>
        <v/>
      </c>
      <c r="B31" s="509" t="str">
        <f>IF(AND(SUM(Studien!I40:J40)=2,Studien!K40&lt;&gt;0),Studien!B40,"")</f>
        <v/>
      </c>
      <c r="C31" s="509" t="str">
        <f>IF(AND(SUM(Studien!I40:J40)=2,Studien!K40&lt;&gt;0),Studien!C40,"")</f>
        <v/>
      </c>
      <c r="D31" s="509" t="str">
        <f>IF(AND(SUM(Studien!I40:J40)=2,Studien!K40&lt;&gt;0),Studien!D40,"")</f>
        <v/>
      </c>
      <c r="E31" s="509" t="str">
        <f>IF(AND(SUM(Studien!I40:J40)=2,Studien!K40&lt;&gt;0),Studien!E40,"")</f>
        <v/>
      </c>
      <c r="F31" s="532"/>
      <c r="G31" s="532"/>
      <c r="H31" s="532"/>
      <c r="I31" s="532"/>
      <c r="J31" s="532"/>
      <c r="K31" s="532"/>
      <c r="L31" s="532"/>
      <c r="M31" s="532"/>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H22"/>
  <sheetViews>
    <sheetView showGridLines="0" zoomScaleNormal="100" workbookViewId="0">
      <pane ySplit="6" topLeftCell="A7" activePane="bottomLeft" state="frozen"/>
      <selection pane="bottomLeft" activeCell="A7" sqref="A7"/>
    </sheetView>
  </sheetViews>
  <sheetFormatPr defaultColWidth="9.140625" defaultRowHeight="15" x14ac:dyDescent="0.25"/>
  <cols>
    <col min="1" max="1" width="32.5703125" customWidth="1"/>
    <col min="2" max="2" width="15.85546875" customWidth="1"/>
    <col min="3" max="3" width="20.7109375" customWidth="1"/>
    <col min="4" max="4" width="49.7109375" customWidth="1"/>
    <col min="5" max="5" width="13.42578125" customWidth="1"/>
    <col min="6" max="6" width="17.42578125" customWidth="1"/>
    <col min="7" max="7" width="19.5703125" customWidth="1"/>
    <col min="8" max="8" width="50.140625" customWidth="1"/>
  </cols>
  <sheetData>
    <row r="1" spans="1:8" ht="7.5" customHeight="1" x14ac:dyDescent="0.25"/>
    <row r="2" spans="1:8" x14ac:dyDescent="0.25">
      <c r="A2" s="503" t="str">
        <f>Basisdaten!A2</f>
        <v>Anlage EB P1.1 (Auditjahr 2026 / Kennzahlenjahr 2025)</v>
      </c>
      <c r="B2" s="503"/>
      <c r="C2" s="503"/>
    </row>
    <row r="3" spans="1:8" ht="15.75" x14ac:dyDescent="0.25">
      <c r="A3" s="504" t="s">
        <v>1504</v>
      </c>
      <c r="B3" s="504"/>
      <c r="C3" s="504"/>
    </row>
    <row r="4" spans="1:8" ht="15.95" customHeight="1" x14ac:dyDescent="0.25">
      <c r="A4" s="353" t="s">
        <v>1796</v>
      </c>
    </row>
    <row r="5" spans="1:8" ht="12.75" customHeight="1" thickBot="1" x14ac:dyDescent="0.3"/>
    <row r="6" spans="1:8" ht="51.75" customHeight="1" thickBot="1" x14ac:dyDescent="0.3">
      <c r="A6" s="527" t="s">
        <v>1505</v>
      </c>
      <c r="B6" s="528" t="s">
        <v>1512</v>
      </c>
      <c r="C6" s="528" t="s">
        <v>1506</v>
      </c>
      <c r="D6" s="529" t="s">
        <v>1507</v>
      </c>
      <c r="E6" s="529" t="s">
        <v>1508</v>
      </c>
      <c r="F6" s="529" t="s">
        <v>1509</v>
      </c>
      <c r="G6" s="529" t="s">
        <v>1510</v>
      </c>
      <c r="H6" s="530" t="s">
        <v>1511</v>
      </c>
    </row>
    <row r="7" spans="1:8" ht="26.1" customHeight="1" x14ac:dyDescent="0.25">
      <c r="A7" s="533"/>
      <c r="B7" s="525"/>
      <c r="C7" s="526"/>
      <c r="D7" s="536"/>
      <c r="E7" s="539"/>
      <c r="F7" s="522"/>
      <c r="G7" s="522"/>
      <c r="H7" s="557"/>
    </row>
    <row r="8" spans="1:8" ht="26.1" customHeight="1" x14ac:dyDescent="0.25">
      <c r="A8" s="534"/>
      <c r="B8" s="512"/>
      <c r="C8" s="514"/>
      <c r="D8" s="537"/>
      <c r="E8" s="540"/>
      <c r="F8" s="506"/>
      <c r="G8" s="506"/>
      <c r="H8" s="558"/>
    </row>
    <row r="9" spans="1:8" ht="26.1" customHeight="1" x14ac:dyDescent="0.25">
      <c r="A9" s="534"/>
      <c r="B9" s="512"/>
      <c r="C9" s="514"/>
      <c r="D9" s="537"/>
      <c r="E9" s="540"/>
      <c r="F9" s="506"/>
      <c r="G9" s="506"/>
      <c r="H9" s="558"/>
    </row>
    <row r="10" spans="1:8" ht="26.1" customHeight="1" x14ac:dyDescent="0.25">
      <c r="A10" s="534"/>
      <c r="B10" s="512"/>
      <c r="C10" s="514"/>
      <c r="D10" s="537"/>
      <c r="E10" s="540"/>
      <c r="F10" s="506"/>
      <c r="G10" s="506"/>
      <c r="H10" s="558"/>
    </row>
    <row r="11" spans="1:8" ht="26.1" customHeight="1" x14ac:dyDescent="0.25">
      <c r="A11" s="534"/>
      <c r="B11" s="512"/>
      <c r="C11" s="514"/>
      <c r="D11" s="537"/>
      <c r="E11" s="540"/>
      <c r="F11" s="506"/>
      <c r="G11" s="506"/>
      <c r="H11" s="558"/>
    </row>
    <row r="12" spans="1:8" ht="26.1" customHeight="1" x14ac:dyDescent="0.25">
      <c r="A12" s="534"/>
      <c r="B12" s="512"/>
      <c r="C12" s="514"/>
      <c r="D12" s="537"/>
      <c r="E12" s="540"/>
      <c r="F12" s="506"/>
      <c r="G12" s="506"/>
      <c r="H12" s="558"/>
    </row>
    <row r="13" spans="1:8" ht="26.1" customHeight="1" x14ac:dyDescent="0.25">
      <c r="A13" s="534"/>
      <c r="B13" s="512"/>
      <c r="C13" s="514"/>
      <c r="D13" s="537"/>
      <c r="E13" s="540"/>
      <c r="F13" s="506"/>
      <c r="G13" s="506"/>
      <c r="H13" s="558"/>
    </row>
    <row r="14" spans="1:8" ht="26.1" customHeight="1" x14ac:dyDescent="0.25">
      <c r="A14" s="534"/>
      <c r="B14" s="512"/>
      <c r="C14" s="514"/>
      <c r="D14" s="537"/>
      <c r="E14" s="540"/>
      <c r="F14" s="506"/>
      <c r="G14" s="506"/>
      <c r="H14" s="558"/>
    </row>
    <row r="15" spans="1:8" ht="26.1" customHeight="1" x14ac:dyDescent="0.25">
      <c r="A15" s="534"/>
      <c r="B15" s="512"/>
      <c r="C15" s="514"/>
      <c r="D15" s="537"/>
      <c r="E15" s="540"/>
      <c r="F15" s="506"/>
      <c r="G15" s="506"/>
      <c r="H15" s="558"/>
    </row>
    <row r="16" spans="1:8" ht="26.1" customHeight="1" x14ac:dyDescent="0.25">
      <c r="A16" s="534"/>
      <c r="B16" s="512"/>
      <c r="C16" s="514"/>
      <c r="D16" s="537"/>
      <c r="E16" s="540"/>
      <c r="F16" s="506"/>
      <c r="G16" s="506"/>
      <c r="H16" s="558"/>
    </row>
    <row r="17" spans="1:8" ht="26.1" customHeight="1" x14ac:dyDescent="0.25">
      <c r="A17" s="534"/>
      <c r="B17" s="512"/>
      <c r="C17" s="514"/>
      <c r="D17" s="537"/>
      <c r="E17" s="540"/>
      <c r="F17" s="506"/>
      <c r="G17" s="506"/>
      <c r="H17" s="558"/>
    </row>
    <row r="18" spans="1:8" ht="26.1" customHeight="1" x14ac:dyDescent="0.25">
      <c r="A18" s="534"/>
      <c r="B18" s="512"/>
      <c r="C18" s="514"/>
      <c r="D18" s="537"/>
      <c r="E18" s="540"/>
      <c r="F18" s="506"/>
      <c r="G18" s="506"/>
      <c r="H18" s="558"/>
    </row>
    <row r="19" spans="1:8" ht="26.1" customHeight="1" x14ac:dyDescent="0.25">
      <c r="A19" s="534"/>
      <c r="B19" s="512"/>
      <c r="C19" s="514"/>
      <c r="D19" s="537"/>
      <c r="E19" s="540"/>
      <c r="F19" s="506"/>
      <c r="G19" s="506"/>
      <c r="H19" s="558"/>
    </row>
    <row r="20" spans="1:8" ht="26.1" customHeight="1" x14ac:dyDescent="0.25">
      <c r="A20" s="534"/>
      <c r="B20" s="512"/>
      <c r="C20" s="514"/>
      <c r="D20" s="537"/>
      <c r="E20" s="540"/>
      <c r="F20" s="506"/>
      <c r="G20" s="506"/>
      <c r="H20" s="558"/>
    </row>
    <row r="21" spans="1:8" ht="26.1" customHeight="1" x14ac:dyDescent="0.25">
      <c r="A21" s="534"/>
      <c r="B21" s="512"/>
      <c r="C21" s="514"/>
      <c r="D21" s="537"/>
      <c r="E21" s="540"/>
      <c r="F21" s="506"/>
      <c r="G21" s="506"/>
      <c r="H21" s="558"/>
    </row>
    <row r="22" spans="1:8" ht="26.1" customHeight="1" thickBot="1" x14ac:dyDescent="0.3">
      <c r="A22" s="535"/>
      <c r="B22" s="513"/>
      <c r="C22" s="515"/>
      <c r="D22" s="538"/>
      <c r="E22" s="541"/>
      <c r="F22" s="507"/>
      <c r="G22" s="507"/>
      <c r="H22" s="559"/>
    </row>
  </sheetData>
  <sheetProtection algorithmName="SHA-512" hashValue="6VraL/5V9dXw57U5CKH9pj1KCLK0ekQ1/UoScw59cM0/Qyzky3dSwuO5FNKcOs+Sh/r+DEFsD1+s7Ou1SuBOhg==" saltValue="mRwJzGmdbmI1WBV8KWeG7w==" spinCount="100000" sheet="1" objects="1" scenarios="1" selectLockedCells="1"/>
  <conditionalFormatting sqref="A7:H22">
    <cfRule type="expression" dxfId="244" priority="4" stopIfTrue="1">
      <formula>LEN(TRIM(A7))=0</formula>
    </cfRule>
  </conditionalFormatting>
  <conditionalFormatting sqref="F7:F22">
    <cfRule type="cellIs" dxfId="243" priority="6" operator="lessThan">
      <formula>200</formula>
    </cfRule>
  </conditionalFormatting>
  <conditionalFormatting sqref="G7:G22">
    <cfRule type="cellIs" dxfId="242" priority="5" operator="lessThan">
      <formula>25</formula>
    </cfRule>
  </conditionalFormatting>
  <conditionalFormatting sqref="H7:H22">
    <cfRule type="expression" dxfId="241" priority="1">
      <formula>$C7="nicht benannter Untersucher"</formula>
    </cfRule>
    <cfRule type="expression" dxfId="240" priority="2">
      <formula>AND($C7="benannter Untersucher",$F7&gt;=200,$G7&gt;=25)</formula>
    </cfRule>
  </conditionalFormatting>
  <dataValidations count="7">
    <dataValidation type="whole" allowBlank="1" showInputMessage="1" showErrorMessage="1" errorTitle="Eingabefehler" error="Ganze Zahl zwischen 0 und 5000 eingeben." sqref="F7:F22" xr:uid="{00000000-0002-0000-0600-000000000000}">
      <formula1>0</formula1>
      <formula2>5000</formula2>
    </dataValidation>
    <dataValidation type="textLength" showInputMessage="1" showErrorMessage="1" errorTitle="Zeichenlänge" error="Nur Texteingabe bis 200 Zeichen möglich." sqref="D7:D22 A7 A8:A22" xr:uid="{00000000-0002-0000-0600-000001000000}">
      <formula1>2</formula1>
      <formula2>200</formula2>
    </dataValidation>
    <dataValidation type="whole" showInputMessage="1" showErrorMessage="1" errorTitle="Eingabefehler" error="Ganze Zahl zwischen 0 und 5000 eingeben." sqref="G7:G22" xr:uid="{00000000-0002-0000-0600-000002000000}">
      <formula1>0</formula1>
      <formula2>5000</formula2>
    </dataValidation>
    <dataValidation type="list" showInputMessage="1" showErrorMessage="1" errorTitle="Hinweis" error="Auswahl treffen über Dropdown-Liste." sqref="B7:B22" xr:uid="{00000000-0002-0000-0600-000003000000}">
      <formula1>"Ja, Nein"</formula1>
    </dataValidation>
    <dataValidation type="list" showInputMessage="1" showErrorMessage="1" errorTitle="Hinweis" error="Auswahl treffen über Dropdown-Liste." sqref="C7:C22" xr:uid="{00000000-0002-0000-0600-000004000000}">
      <formula1>"benannter Untersucher, nicht benannter Untersucher"</formula1>
    </dataValidation>
    <dataValidation type="textLength" showInputMessage="1" showErrorMessage="1" errorTitle="Eingabefehler" error="Nur Texteingabe bis 500 Zeichen möglich." sqref="H7:H22" xr:uid="{00000000-0002-0000-0600-000005000000}">
      <formula1>2</formula1>
      <formula2>500</formula2>
    </dataValidation>
    <dataValidation type="textLength" showInputMessage="1" showErrorMessage="1" errorTitle="Hinweis" error="Bitte Zeitraum von ... bis im Kennzahlenjahr eintragen." sqref="E7:E22" xr:uid="{00000000-0002-0000-0600-000006000000}">
      <formula1>2</formula1>
      <formula2>200</formula2>
    </dataValidation>
  </dataValidations>
  <pageMargins left="0.7" right="0.7" top="0.75" bottom="0.75" header="0.3" footer="0.3"/>
  <pageSetup scale="55" orientation="landscape" r:id="rId1"/>
  <headerFooter>
    <oddFooter>&amp;L&amp;"Arial,Regular"&amp;7&amp;F&amp;C&amp;"Arial,Regular"&amp;7 © DKG  Alle Rechte vorbehalten&amp;R&amp;"Arial,Regular"&amp;7&amp;P</oddFooter>
  </headerFooter>
  <colBreaks count="1" manualBreakCount="1">
    <brk id="8" max="1048575" man="1"/>
  </colBreaks>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J23"/>
  <sheetViews>
    <sheetView showGridLines="0" zoomScaleNormal="100" workbookViewId="0">
      <pane ySplit="6" topLeftCell="A7" activePane="bottomLeft" state="frozen"/>
      <selection pane="bottomLeft" activeCell="A7" sqref="A7"/>
    </sheetView>
  </sheetViews>
  <sheetFormatPr defaultColWidth="9.140625" defaultRowHeight="15" x14ac:dyDescent="0.25"/>
  <cols>
    <col min="1" max="1" width="32.5703125" customWidth="1"/>
    <col min="2" max="2" width="15.85546875" customWidth="1"/>
    <col min="3" max="3" width="20.7109375" customWidth="1"/>
    <col min="4" max="4" width="49.7109375" customWidth="1"/>
    <col min="5" max="5" width="13.42578125" customWidth="1"/>
    <col min="6" max="7" width="11.85546875" customWidth="1"/>
    <col min="8" max="8" width="50.140625" customWidth="1"/>
    <col min="10" max="10" width="0" hidden="1" customWidth="1"/>
  </cols>
  <sheetData>
    <row r="1" spans="1:10" ht="7.5" customHeight="1" x14ac:dyDescent="0.25"/>
    <row r="2" spans="1:10" x14ac:dyDescent="0.25">
      <c r="A2" s="503" t="str">
        <f>Basisdaten!A2</f>
        <v>Anlage EB P1.1 (Auditjahr 2026 / Kennzahlenjahr 2025)</v>
      </c>
      <c r="B2" s="503"/>
      <c r="C2" s="503"/>
    </row>
    <row r="3" spans="1:10" ht="15.75" x14ac:dyDescent="0.25">
      <c r="A3" s="504" t="s">
        <v>1513</v>
      </c>
      <c r="B3" s="504"/>
      <c r="C3" s="504"/>
    </row>
    <row r="4" spans="1:10" ht="15.95" customHeight="1" x14ac:dyDescent="0.25">
      <c r="A4" s="353" t="s">
        <v>1797</v>
      </c>
    </row>
    <row r="5" spans="1:10" ht="12.75" customHeight="1" thickBot="1" x14ac:dyDescent="0.3"/>
    <row r="6" spans="1:10" ht="51.75" customHeight="1" thickBot="1" x14ac:dyDescent="0.3">
      <c r="A6" s="527" t="s">
        <v>1505</v>
      </c>
      <c r="B6" s="528" t="s">
        <v>1512</v>
      </c>
      <c r="C6" s="528" t="s">
        <v>1514</v>
      </c>
      <c r="D6" s="529" t="s">
        <v>1515</v>
      </c>
      <c r="E6" s="529" t="s">
        <v>1508</v>
      </c>
      <c r="F6" s="529" t="s">
        <v>1516</v>
      </c>
      <c r="G6" s="529" t="s">
        <v>1517</v>
      </c>
      <c r="H6" s="530" t="s">
        <v>1511</v>
      </c>
      <c r="J6" t="s">
        <v>1518</v>
      </c>
    </row>
    <row r="7" spans="1:10" ht="26.1" customHeight="1" x14ac:dyDescent="0.25">
      <c r="A7" s="533"/>
      <c r="B7" s="525"/>
      <c r="C7" s="526"/>
      <c r="D7" s="536"/>
      <c r="E7" s="539"/>
      <c r="F7" s="522"/>
      <c r="G7" s="522"/>
      <c r="H7" s="557"/>
      <c r="J7" t="s">
        <v>1519</v>
      </c>
    </row>
    <row r="8" spans="1:10" ht="26.1" customHeight="1" x14ac:dyDescent="0.25">
      <c r="A8" s="534"/>
      <c r="B8" s="512"/>
      <c r="C8" s="514"/>
      <c r="D8" s="537"/>
      <c r="E8" s="540"/>
      <c r="F8" s="506"/>
      <c r="G8" s="506"/>
      <c r="H8" s="558"/>
      <c r="J8" t="s">
        <v>1520</v>
      </c>
    </row>
    <row r="9" spans="1:10" ht="26.1" customHeight="1" x14ac:dyDescent="0.25">
      <c r="A9" s="534"/>
      <c r="B9" s="512"/>
      <c r="C9" s="514"/>
      <c r="D9" s="537"/>
      <c r="E9" s="540"/>
      <c r="F9" s="506"/>
      <c r="G9" s="506"/>
      <c r="H9" s="558"/>
    </row>
    <row r="10" spans="1:10" ht="26.1" customHeight="1" x14ac:dyDescent="0.25">
      <c r="A10" s="534"/>
      <c r="B10" s="512"/>
      <c r="C10" s="514"/>
      <c r="D10" s="537"/>
      <c r="E10" s="540"/>
      <c r="F10" s="506"/>
      <c r="G10" s="506"/>
      <c r="H10" s="558"/>
    </row>
    <row r="11" spans="1:10" ht="26.1" customHeight="1" x14ac:dyDescent="0.25">
      <c r="A11" s="534"/>
      <c r="B11" s="512"/>
      <c r="C11" s="514"/>
      <c r="D11" s="537"/>
      <c r="E11" s="540"/>
      <c r="F11" s="506"/>
      <c r="G11" s="506"/>
      <c r="H11" s="558"/>
    </row>
    <row r="12" spans="1:10" ht="26.1" customHeight="1" x14ac:dyDescent="0.25">
      <c r="A12" s="534"/>
      <c r="B12" s="512"/>
      <c r="C12" s="514"/>
      <c r="D12" s="537"/>
      <c r="E12" s="540"/>
      <c r="F12" s="506"/>
      <c r="G12" s="506"/>
      <c r="H12" s="558"/>
    </row>
    <row r="13" spans="1:10" ht="26.1" customHeight="1" x14ac:dyDescent="0.25">
      <c r="A13" s="534"/>
      <c r="B13" s="512"/>
      <c r="C13" s="514"/>
      <c r="D13" s="537"/>
      <c r="E13" s="540"/>
      <c r="F13" s="506"/>
      <c r="G13" s="506"/>
      <c r="H13" s="558"/>
    </row>
    <row r="14" spans="1:10" ht="26.1" customHeight="1" x14ac:dyDescent="0.25">
      <c r="A14" s="534"/>
      <c r="B14" s="512"/>
      <c r="C14" s="514"/>
      <c r="D14" s="537"/>
      <c r="E14" s="540"/>
      <c r="F14" s="506"/>
      <c r="G14" s="506"/>
      <c r="H14" s="558"/>
    </row>
    <row r="15" spans="1:10" ht="26.1" customHeight="1" x14ac:dyDescent="0.25">
      <c r="A15" s="534"/>
      <c r="B15" s="512"/>
      <c r="C15" s="514"/>
      <c r="D15" s="537"/>
      <c r="E15" s="540"/>
      <c r="F15" s="506"/>
      <c r="G15" s="506"/>
      <c r="H15" s="558"/>
    </row>
    <row r="16" spans="1:10" ht="26.1" customHeight="1" x14ac:dyDescent="0.25">
      <c r="A16" s="534"/>
      <c r="B16" s="512"/>
      <c r="C16" s="514"/>
      <c r="D16" s="537"/>
      <c r="E16" s="540"/>
      <c r="F16" s="506"/>
      <c r="G16" s="506"/>
      <c r="H16" s="558"/>
    </row>
    <row r="17" spans="1:8" ht="26.1" customHeight="1" x14ac:dyDescent="0.25">
      <c r="A17" s="534"/>
      <c r="B17" s="512"/>
      <c r="C17" s="514"/>
      <c r="D17" s="537"/>
      <c r="E17" s="540"/>
      <c r="F17" s="506"/>
      <c r="G17" s="506"/>
      <c r="H17" s="558"/>
    </row>
    <row r="18" spans="1:8" ht="26.1" customHeight="1" x14ac:dyDescent="0.25">
      <c r="A18" s="534"/>
      <c r="B18" s="512"/>
      <c r="C18" s="514"/>
      <c r="D18" s="537"/>
      <c r="E18" s="540"/>
      <c r="F18" s="506"/>
      <c r="G18" s="506"/>
      <c r="H18" s="558"/>
    </row>
    <row r="19" spans="1:8" ht="26.1" customHeight="1" x14ac:dyDescent="0.25">
      <c r="A19" s="534"/>
      <c r="B19" s="512"/>
      <c r="C19" s="514"/>
      <c r="D19" s="537"/>
      <c r="E19" s="540"/>
      <c r="F19" s="506"/>
      <c r="G19" s="506"/>
      <c r="H19" s="558"/>
    </row>
    <row r="20" spans="1:8" ht="26.1" customHeight="1" x14ac:dyDescent="0.25">
      <c r="A20" s="534"/>
      <c r="B20" s="512"/>
      <c r="C20" s="514"/>
      <c r="D20" s="537"/>
      <c r="E20" s="540"/>
      <c r="F20" s="506"/>
      <c r="G20" s="506"/>
      <c r="H20" s="558"/>
    </row>
    <row r="21" spans="1:8" ht="26.1" customHeight="1" x14ac:dyDescent="0.25">
      <c r="A21" s="534"/>
      <c r="B21" s="512"/>
      <c r="C21" s="514"/>
      <c r="D21" s="537"/>
      <c r="E21" s="540"/>
      <c r="F21" s="506"/>
      <c r="G21" s="506"/>
      <c r="H21" s="558"/>
    </row>
    <row r="22" spans="1:8" ht="26.1" customHeight="1" thickBot="1" x14ac:dyDescent="0.3">
      <c r="A22" s="535"/>
      <c r="B22" s="513"/>
      <c r="C22" s="515"/>
      <c r="D22" s="538"/>
      <c r="E22" s="541"/>
      <c r="F22" s="507"/>
      <c r="G22" s="507"/>
      <c r="H22" s="559"/>
    </row>
    <row r="23" spans="1:8" ht="26.1" customHeight="1" thickBot="1" x14ac:dyDescent="0.3">
      <c r="E23" s="519" t="s">
        <v>1521</v>
      </c>
      <c r="F23" s="520">
        <f>SUM(F7:F22)</f>
        <v>0</v>
      </c>
      <c r="G23" s="521">
        <f>SUM(G7:G22)</f>
        <v>0</v>
      </c>
    </row>
  </sheetData>
  <sheetProtection algorithmName="SHA-512" hashValue="9cniR7/T/baNX/QZrNCebUI8FHFCqhX4ORbw7MIenJ4A6YLngNNtYgmqdD85jdss7YFDxv/zzpGNN44th36QZQ==" saltValue="tb7NPsDyUZX/ws9X33XNsA==" spinCount="100000" sheet="1" objects="1" scenarios="1" selectLockedCells="1"/>
  <conditionalFormatting sqref="A7:H22">
    <cfRule type="expression" dxfId="8" priority="9" stopIfTrue="1">
      <formula>LEN(TRIM(A7))=0</formula>
    </cfRule>
  </conditionalFormatting>
  <conditionalFormatting sqref="F7:F22">
    <cfRule type="expression" dxfId="7" priority="8">
      <formula>AND($C7="benannter Operateur",$F7&lt;&gt;0,$F7&lt;15)</formula>
    </cfRule>
    <cfRule type="expression" dxfId="6" priority="10">
      <formula>AND($C7="nicht benannter Operateur",$F7&lt;&gt;0,$F7&lt;15)</formula>
    </cfRule>
  </conditionalFormatting>
  <conditionalFormatting sqref="F7:G22">
    <cfRule type="expression" dxfId="5" priority="2">
      <formula>AND($C7="Senior-Operateur",$G7&lt;&gt;0,$G7&gt;=0)</formula>
    </cfRule>
  </conditionalFormatting>
  <conditionalFormatting sqref="G7:G22">
    <cfRule type="expression" dxfId="4" priority="6">
      <formula>AND($C7="benannter Operateur",$G7&lt;&gt;0,$G7&lt;10)</formula>
    </cfRule>
    <cfRule type="expression" dxfId="3" priority="7">
      <formula>AND($C7="nicht benannter Operateur",$G7&lt;&gt;0,$G7&lt;10)</formula>
    </cfRule>
  </conditionalFormatting>
  <conditionalFormatting sqref="H7:H22">
    <cfRule type="expression" dxfId="2" priority="1">
      <formula>AND($C7="Senior-Operateur",$F7&lt;&gt;"",$G7&lt;&gt;"")</formula>
    </cfRule>
    <cfRule type="expression" dxfId="1" priority="4">
      <formula>AND($C7="benannter Operateur",$F7&gt;=15,$G7&gt;=10)</formula>
    </cfRule>
    <cfRule type="expression" dxfId="0" priority="5">
      <formula>AND($C7="nicht benannter Operateur",$F7&lt;&gt;0,$G7&lt;&gt;0,$H$7="")</formula>
    </cfRule>
  </conditionalFormatting>
  <dataValidations count="7">
    <dataValidation type="textLength" showInputMessage="1" showErrorMessage="1" errorTitle="Eingabefehler" error="Nur Texteingabe bis 500 Zeichen möglich." sqref="H7:H22" xr:uid="{00000000-0002-0000-0700-000000000000}">
      <formula1>2</formula1>
      <formula2>500</formula2>
    </dataValidation>
    <dataValidation type="list" showInputMessage="1" showErrorMessage="1" errorTitle="Hinweis" error="Auswahl treffen über Dropdown-Liste." sqref="C7:C22" xr:uid="{00000000-0002-0000-0700-000001000000}">
      <formula1>$J$6:$J$8</formula1>
    </dataValidation>
    <dataValidation type="list" showInputMessage="1" showErrorMessage="1" errorTitle="Hinweis" error="Auswahl treffen über Dropdown-Liste." sqref="B7:B22" xr:uid="{00000000-0002-0000-0700-000002000000}">
      <formula1>"Ja, Nein"</formula1>
    </dataValidation>
    <dataValidation type="whole" showInputMessage="1" showErrorMessage="1" errorTitle="Eingabefehler" error="Ganze Zahl zwischen 0 und 5000 eingeben." sqref="F8:F9 G7:G22" xr:uid="{00000000-0002-0000-0700-000003000000}">
      <formula1>0</formula1>
      <formula2>5000</formula2>
    </dataValidation>
    <dataValidation type="textLength" showInputMessage="1" showErrorMessage="1" errorTitle="Zeichenlänge" error="Nur Texteingabe bis 200 Zeichen möglich." sqref="A7:A22 D7:D22" xr:uid="{00000000-0002-0000-0700-000004000000}">
      <formula1>2</formula1>
      <formula2>200</formula2>
    </dataValidation>
    <dataValidation type="whole" allowBlank="1" showInputMessage="1" showErrorMessage="1" errorTitle="Eingabefehler" error="Ganze Zahl zwischen 0 und 5000 eingeben." sqref="F7 F10:F22" xr:uid="{00000000-0002-0000-0700-000005000000}">
      <formula1>0</formula1>
      <formula2>5000</formula2>
    </dataValidation>
    <dataValidation type="textLength" showInputMessage="1" showErrorMessage="1" errorTitle="Hinweis" error="Bitte Zeitraum von ... bis im Kennzahlenjahr eintragen." sqref="E7:E22" xr:uid="{00000000-0002-0000-0700-000006000000}">
      <formula1>2</formula1>
      <formula2>200</formula2>
    </dataValidation>
  </dataValidations>
  <pageMargins left="0.7" right="0.7" top="0.75" bottom="0.75" header="0.3" footer="0.3"/>
  <pageSetup scale="59" orientation="landscape" r:id="rId1"/>
  <headerFooter>
    <oddFooter>&amp;L&amp;"Arial,Regular"&amp;7&amp;F&amp;C&amp;"Arial,Regular"&amp;7 © DKG  Alle Rechte vorbehalten&amp;R&amp;"Arial,Regular"&amp;7&amp;P</oddFooter>
  </headerFooter>
  <colBreaks count="1" manualBreakCount="1">
    <brk id="8" max="1048575" man="1"/>
  </colBreaks>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Tabelle2"/>
  <dimension ref="A1:S116"/>
  <sheetViews>
    <sheetView showGridLines="0" showRuler="0" zoomScaleNormal="100" zoomScaleSheetLayoutView="100" workbookViewId="0">
      <pane ySplit="7" topLeftCell="A8" activePane="bottomLeft" state="frozen"/>
      <selection pane="bottomLeft" activeCell="Q8" sqref="Q8:Q10"/>
    </sheetView>
  </sheetViews>
  <sheetFormatPr defaultColWidth="9.140625" defaultRowHeight="15" x14ac:dyDescent="0.25"/>
  <cols>
    <col min="1" max="1" width="7" customWidth="1"/>
    <col min="2" max="2" width="4.42578125" customWidth="1"/>
    <col min="3" max="3" width="20.42578125" customWidth="1"/>
    <col min="4" max="5" width="12.7109375" customWidth="1"/>
    <col min="6" max="6" width="13.5703125" customWidth="1"/>
    <col min="7" max="7" width="12.42578125" customWidth="1"/>
    <col min="8" max="8" width="13.85546875" customWidth="1"/>
    <col min="9" max="9" width="8.28515625" customWidth="1"/>
    <col min="10" max="10" width="5.5703125" customWidth="1"/>
    <col min="11" max="11" width="3.42578125" customWidth="1"/>
    <col min="12" max="12" width="3.28515625" customWidth="1"/>
    <col min="13" max="13" width="5.5703125" customWidth="1"/>
    <col min="14" max="14" width="6.42578125" customWidth="1"/>
    <col min="15" max="15" width="6.85546875" customWidth="1"/>
    <col min="16" max="16" width="8" customWidth="1"/>
    <col min="17" max="18" width="73" customWidth="1"/>
    <col min="19" max="19" width="5.42578125" style="320" hidden="1" customWidth="1"/>
  </cols>
  <sheetData>
    <row r="1" spans="1:19" ht="9.9499999999999993" customHeight="1" x14ac:dyDescent="0.25">
      <c r="A1" s="8"/>
      <c r="B1" s="8"/>
      <c r="C1" s="8"/>
      <c r="D1" s="8"/>
      <c r="E1" s="8"/>
      <c r="F1" s="8"/>
      <c r="G1" s="8"/>
      <c r="H1" s="8"/>
      <c r="I1" s="8"/>
      <c r="J1" s="8"/>
      <c r="K1" s="8"/>
      <c r="L1" s="8"/>
      <c r="M1" s="8"/>
      <c r="N1" s="8"/>
      <c r="O1" s="8"/>
      <c r="P1" s="8"/>
      <c r="Q1" s="8"/>
      <c r="R1" s="8"/>
    </row>
    <row r="2" spans="1:19" s="8" customFormat="1" ht="12.95" customHeight="1" x14ac:dyDescent="0.2">
      <c r="A2" s="26" t="str">
        <f>Basisdaten!A2</f>
        <v>Anlage EB P1.1 (Auditjahr 2026 / Kennzahlenjahr 2025)</v>
      </c>
      <c r="S2" s="321"/>
    </row>
    <row r="3" spans="1:19" ht="19.5" customHeight="1" x14ac:dyDescent="0.25">
      <c r="A3" s="500" t="s">
        <v>192</v>
      </c>
      <c r="B3" s="8"/>
      <c r="C3" s="8"/>
      <c r="D3" s="8"/>
      <c r="E3" s="8"/>
      <c r="F3" s="8"/>
      <c r="G3" s="8"/>
      <c r="H3" s="8"/>
      <c r="I3" s="8"/>
      <c r="J3" s="8"/>
      <c r="K3" s="8"/>
      <c r="L3" s="8"/>
      <c r="M3" s="8"/>
      <c r="N3" s="23"/>
      <c r="O3" s="8"/>
      <c r="P3" s="8"/>
      <c r="Q3" s="8"/>
      <c r="R3" s="8"/>
    </row>
    <row r="4" spans="1:19" x14ac:dyDescent="0.25">
      <c r="A4" s="29" t="s">
        <v>346</v>
      </c>
      <c r="B4" s="8"/>
      <c r="C4" s="701" t="str">
        <f>IF(Basisdaten!B6=0,"",Basisdaten!B6)</f>
        <v/>
      </c>
      <c r="D4" s="702"/>
      <c r="E4" s="498" t="s">
        <v>398</v>
      </c>
      <c r="F4" s="619" t="str">
        <f>IF(Basisdaten!B8=0,"",Basisdaten!B8)</f>
        <v/>
      </c>
      <c r="G4" s="619"/>
      <c r="H4" s="619"/>
      <c r="I4" s="619"/>
      <c r="J4" s="619"/>
      <c r="K4" s="619"/>
      <c r="L4" s="619"/>
      <c r="M4" s="619"/>
      <c r="N4" s="499"/>
      <c r="Q4" s="8"/>
      <c r="R4" s="8"/>
    </row>
    <row r="5" spans="1:19" ht="8.25" customHeight="1" thickBot="1" x14ac:dyDescent="0.3">
      <c r="A5" s="8"/>
      <c r="B5" s="8"/>
      <c r="C5" s="8"/>
      <c r="D5" s="15"/>
      <c r="E5" s="15"/>
      <c r="F5" s="15"/>
      <c r="G5" s="15"/>
      <c r="H5" s="15"/>
      <c r="I5" s="15"/>
      <c r="J5" s="15"/>
      <c r="K5" s="15"/>
      <c r="L5" s="15"/>
      <c r="M5" s="15"/>
      <c r="N5" s="23"/>
      <c r="O5" s="8"/>
      <c r="P5" s="8"/>
      <c r="Q5" s="8"/>
      <c r="R5" s="8"/>
    </row>
    <row r="6" spans="1:19" s="12" customFormat="1" ht="16.5" customHeight="1" thickBot="1" x14ac:dyDescent="0.3">
      <c r="A6" s="698" t="s">
        <v>540</v>
      </c>
      <c r="B6" s="698" t="s">
        <v>1234</v>
      </c>
      <c r="C6" s="698" t="s">
        <v>158</v>
      </c>
      <c r="D6" s="703" t="s">
        <v>159</v>
      </c>
      <c r="E6" s="704"/>
      <c r="F6" s="703" t="s">
        <v>160</v>
      </c>
      <c r="G6" s="704"/>
      <c r="H6" s="713" t="s">
        <v>161</v>
      </c>
      <c r="I6" s="714"/>
      <c r="J6" s="719" t="s">
        <v>218</v>
      </c>
      <c r="K6" s="716" t="s">
        <v>217</v>
      </c>
      <c r="L6" s="717"/>
      <c r="M6" s="719" t="s">
        <v>218</v>
      </c>
      <c r="N6" s="703" t="s">
        <v>162</v>
      </c>
      <c r="O6" s="721"/>
      <c r="P6" s="698" t="s">
        <v>216</v>
      </c>
      <c r="Q6" s="711" t="s">
        <v>163</v>
      </c>
      <c r="R6" s="712"/>
      <c r="S6" s="322"/>
    </row>
    <row r="7" spans="1:19" s="12" customFormat="1" ht="25.5" customHeight="1" thickBot="1" x14ac:dyDescent="0.3">
      <c r="A7" s="699"/>
      <c r="B7" s="699"/>
      <c r="C7" s="699"/>
      <c r="D7" s="705"/>
      <c r="E7" s="706"/>
      <c r="F7" s="705"/>
      <c r="G7" s="706"/>
      <c r="H7" s="715"/>
      <c r="I7" s="714"/>
      <c r="J7" s="720"/>
      <c r="K7" s="718"/>
      <c r="L7" s="717"/>
      <c r="M7" s="720"/>
      <c r="N7" s="722"/>
      <c r="O7" s="723"/>
      <c r="P7" s="707"/>
      <c r="Q7" s="300" t="s">
        <v>601</v>
      </c>
      <c r="R7" s="300" t="s">
        <v>261</v>
      </c>
      <c r="S7" s="322"/>
    </row>
    <row r="8" spans="1:19" s="12" customFormat="1" ht="25.5" customHeight="1" thickBot="1" x14ac:dyDescent="0.3">
      <c r="A8" s="625">
        <v>1</v>
      </c>
      <c r="B8" s="685"/>
      <c r="C8" s="694" t="s">
        <v>1529</v>
      </c>
      <c r="D8" s="777" t="s">
        <v>87</v>
      </c>
      <c r="E8" s="657"/>
      <c r="F8" s="669" t="s">
        <v>1529</v>
      </c>
      <c r="G8" s="657"/>
      <c r="H8" s="778" t="s">
        <v>87</v>
      </c>
      <c r="I8" s="635"/>
      <c r="J8" s="681"/>
      <c r="K8" s="662" t="s">
        <v>167</v>
      </c>
      <c r="L8" s="663"/>
      <c r="M8" s="681"/>
      <c r="N8" s="780" t="s">
        <v>151</v>
      </c>
      <c r="O8" s="783"/>
      <c r="P8" s="779" t="str">
        <f>IF(O8="",Berechnung1!F5,IF(O8=0,Berechnung1!H5,IF(O8=Berechnung1!D25,Berechnung1!$F$5,IF(OR(O8&lt;Berechnung1!E25,O8&gt;Berechnung1!F25),Berechnung1!$G$5,IF(OR(ROUND(O8,4)&lt;Berechnung1!J25,ROUND(O8,4)&gt;Berechnung1!K25),Berechnung1!$D$5,IF(OR(ROUND(O8,4)&lt;Berechnung1!G25,ROUND(O8,4)&gt;Berechnung1!H25),Berechnung1!$E$5,Berechnung1!$C$5))))))</f>
        <v>Unvollständig</v>
      </c>
      <c r="Q8" s="623"/>
      <c r="R8" s="724"/>
      <c r="S8" s="322"/>
    </row>
    <row r="9" spans="1:19" s="12" customFormat="1" ht="25.5" customHeight="1" thickBot="1" x14ac:dyDescent="0.3">
      <c r="A9" s="626"/>
      <c r="B9" s="686"/>
      <c r="C9" s="689"/>
      <c r="D9" s="658"/>
      <c r="E9" s="659"/>
      <c r="F9" s="658"/>
      <c r="G9" s="659"/>
      <c r="H9" s="636"/>
      <c r="I9" s="637"/>
      <c r="J9" s="682"/>
      <c r="K9" s="664"/>
      <c r="L9" s="665"/>
      <c r="M9" s="682"/>
      <c r="N9" s="781"/>
      <c r="O9" s="784"/>
      <c r="P9" s="668"/>
      <c r="Q9" s="624"/>
      <c r="R9" s="624"/>
      <c r="S9" s="322"/>
    </row>
    <row r="10" spans="1:19" s="12" customFormat="1" ht="25.5" customHeight="1" thickBot="1" x14ac:dyDescent="0.3">
      <c r="A10" s="627"/>
      <c r="B10" s="687"/>
      <c r="C10" s="690"/>
      <c r="D10" s="660"/>
      <c r="E10" s="661"/>
      <c r="F10" s="660"/>
      <c r="G10" s="661"/>
      <c r="H10" s="638"/>
      <c r="I10" s="639"/>
      <c r="J10" s="683"/>
      <c r="K10" s="666"/>
      <c r="L10" s="667"/>
      <c r="M10" s="683"/>
      <c r="N10" s="782"/>
      <c r="O10" s="785"/>
      <c r="P10" s="668"/>
      <c r="Q10" s="624"/>
      <c r="R10" s="624"/>
      <c r="S10" s="322"/>
    </row>
    <row r="11" spans="1:19" ht="30" customHeight="1" thickBot="1" x14ac:dyDescent="0.3">
      <c r="A11" s="700" t="s">
        <v>1235</v>
      </c>
      <c r="B11" s="685" t="s">
        <v>1239</v>
      </c>
      <c r="C11" s="688" t="s">
        <v>164</v>
      </c>
      <c r="D11" s="669" t="s">
        <v>1315</v>
      </c>
      <c r="E11" s="657"/>
      <c r="F11" s="669" t="s">
        <v>1272</v>
      </c>
      <c r="G11" s="657"/>
      <c r="H11" s="634" t="s">
        <v>1273</v>
      </c>
      <c r="I11" s="635"/>
      <c r="J11" s="681"/>
      <c r="K11" s="670" t="s">
        <v>194</v>
      </c>
      <c r="L11" s="663"/>
      <c r="M11" s="681"/>
      <c r="N11" s="117" t="s">
        <v>160</v>
      </c>
      <c r="O11" s="119"/>
      <c r="P11" s="668" t="str">
        <f>IF(O13=Berechnung1!D28,Berechnung1!$F$5,IF(OR(O13&lt; Berechnung1!E28,O13&gt; Berechnung1!F28),Berechnung1!$G$5,IF(OR(ROUND(O13,4)&lt;Berechnung1!J28,ROUND(O13,4)&gt;Berechnung1!K28),Berechnung1!$D$5,IF(OR(ROUND(O13,4)&lt;Berechnung1!G28,ROUND(O13,4)&gt;Berechnung1!H28),Berechnung1!$E$5,Berechnung1!$C$5))))</f>
        <v>Unvollständig</v>
      </c>
      <c r="Q11" s="623"/>
      <c r="R11" s="724"/>
    </row>
    <row r="12" spans="1:19" ht="30" customHeight="1" thickBot="1" x14ac:dyDescent="0.3">
      <c r="A12" s="626"/>
      <c r="B12" s="686"/>
      <c r="C12" s="689"/>
      <c r="D12" s="658"/>
      <c r="E12" s="659"/>
      <c r="F12" s="658"/>
      <c r="G12" s="659"/>
      <c r="H12" s="636"/>
      <c r="I12" s="637"/>
      <c r="J12" s="682"/>
      <c r="K12" s="664"/>
      <c r="L12" s="665"/>
      <c r="M12" s="682"/>
      <c r="N12" s="117" t="s">
        <v>152</v>
      </c>
      <c r="O12" s="119"/>
      <c r="P12" s="668"/>
      <c r="Q12" s="624"/>
      <c r="R12" s="624"/>
      <c r="S12" s="320">
        <f>IF(Basisdaten!H28="",0,Basisdaten!H28)</f>
        <v>0</v>
      </c>
    </row>
    <row r="13" spans="1:19" ht="30" customHeight="1" thickBot="1" x14ac:dyDescent="0.3">
      <c r="A13" s="627"/>
      <c r="B13" s="687"/>
      <c r="C13" s="690"/>
      <c r="D13" s="660"/>
      <c r="E13" s="661"/>
      <c r="F13" s="660"/>
      <c r="G13" s="661"/>
      <c r="H13" s="638"/>
      <c r="I13" s="639"/>
      <c r="J13" s="683"/>
      <c r="K13" s="666"/>
      <c r="L13" s="667"/>
      <c r="M13" s="683"/>
      <c r="N13" s="117" t="s">
        <v>165</v>
      </c>
      <c r="O13" s="314" t="str">
        <f>IF(O11="","n.d.",IF(O12="","n.d.",IF(O12=0,"",O11/O12)))</f>
        <v>n.d.</v>
      </c>
      <c r="P13" s="668"/>
      <c r="Q13" s="624"/>
      <c r="R13" s="624"/>
      <c r="S13" s="320">
        <f>IF(Basisdaten!B30="",0,Basisdaten!B30)</f>
        <v>0</v>
      </c>
    </row>
    <row r="14" spans="1:19" ht="30" customHeight="1" thickBot="1" x14ac:dyDescent="0.3">
      <c r="A14" s="700" t="s">
        <v>1236</v>
      </c>
      <c r="B14" s="693"/>
      <c r="C14" s="694" t="s">
        <v>1530</v>
      </c>
      <c r="D14" s="669" t="s">
        <v>1531</v>
      </c>
      <c r="E14" s="657"/>
      <c r="F14" s="669" t="s">
        <v>1274</v>
      </c>
      <c r="G14" s="657"/>
      <c r="H14" s="669" t="s">
        <v>1532</v>
      </c>
      <c r="I14" s="657"/>
      <c r="J14" s="681"/>
      <c r="K14" s="662" t="s">
        <v>194</v>
      </c>
      <c r="L14" s="663"/>
      <c r="M14" s="681"/>
      <c r="N14" s="117" t="s">
        <v>160</v>
      </c>
      <c r="O14" s="119"/>
      <c r="P14" s="668" t="str">
        <f>IF(AND(O14&lt;&gt;"",O15&lt;&gt;"",O14=0,O15=0),Berechnung1!$H$5,IF(O16="",Berechnung1!$D$5,IF(O16=Berechnung1!D31,Berechnung1!$F$5,IF(OR(O16&lt; Berechnung1!E31,O16&gt; Berechnung1!F31),Berechnung1!$G$5,IF(OR(ROUND(O16,4)&lt;Berechnung1!J31,ROUND(O16,4)&gt;Berechnung1!K31),Berechnung1!$D$5,IF(OR(ROUND(O16,4)&lt;Berechnung1!G31,ROUND(O16,4)&gt;Berechnung1!H31),Berechnung1!$E$5,Berechnung1!$C$5))))))</f>
        <v>Unvollständig</v>
      </c>
      <c r="Q14" s="710"/>
      <c r="R14" s="623"/>
    </row>
    <row r="15" spans="1:19" ht="30" customHeight="1" thickBot="1" x14ac:dyDescent="0.3">
      <c r="A15" s="626"/>
      <c r="B15" s="686"/>
      <c r="C15" s="689"/>
      <c r="D15" s="658"/>
      <c r="E15" s="659"/>
      <c r="F15" s="658"/>
      <c r="G15" s="659"/>
      <c r="H15" s="658"/>
      <c r="I15" s="659"/>
      <c r="J15" s="682"/>
      <c r="K15" s="664"/>
      <c r="L15" s="665"/>
      <c r="M15" s="682"/>
      <c r="N15" s="117" t="s">
        <v>152</v>
      </c>
      <c r="O15" s="118">
        <f>O8</f>
        <v>0</v>
      </c>
      <c r="P15" s="668"/>
      <c r="Q15" s="624"/>
      <c r="R15" s="624"/>
    </row>
    <row r="16" spans="1:19" ht="30" customHeight="1" thickBot="1" x14ac:dyDescent="0.3">
      <c r="A16" s="627"/>
      <c r="B16" s="687"/>
      <c r="C16" s="690"/>
      <c r="D16" s="660"/>
      <c r="E16" s="661"/>
      <c r="F16" s="660"/>
      <c r="G16" s="661"/>
      <c r="H16" s="660"/>
      <c r="I16" s="661"/>
      <c r="J16" s="683"/>
      <c r="K16" s="666"/>
      <c r="L16" s="667"/>
      <c r="M16" s="683"/>
      <c r="N16" s="117" t="s">
        <v>165</v>
      </c>
      <c r="O16" s="314" t="str">
        <f>IF(O14="","n.d.",IF(O15="","n.d.",IF(O15=0,"",O14/O15)))</f>
        <v>n.d.</v>
      </c>
      <c r="P16" s="668"/>
      <c r="Q16" s="624"/>
      <c r="R16" s="624"/>
    </row>
    <row r="17" spans="1:19" ht="30" customHeight="1" thickBot="1" x14ac:dyDescent="0.3">
      <c r="A17" s="625">
        <v>3</v>
      </c>
      <c r="B17" s="693"/>
      <c r="C17" s="688" t="s">
        <v>166</v>
      </c>
      <c r="D17" s="669" t="s">
        <v>1316</v>
      </c>
      <c r="E17" s="657"/>
      <c r="F17" s="669" t="s">
        <v>1088</v>
      </c>
      <c r="G17" s="657"/>
      <c r="H17" s="669" t="s">
        <v>646</v>
      </c>
      <c r="I17" s="657"/>
      <c r="J17" s="681"/>
      <c r="K17" s="670" t="s">
        <v>194</v>
      </c>
      <c r="L17" s="663"/>
      <c r="M17" s="681"/>
      <c r="N17" s="117" t="s">
        <v>160</v>
      </c>
      <c r="O17" s="119"/>
      <c r="P17" s="653" t="str">
        <f>IF(O19=Berechnung1!D34,Berechnung1!$F$5,IF(OR(O19&lt; Berechnung1!E34,O19&gt; Berechnung1!F34),Berechnung1!$G$5,IF(OR(ROUND(O19,4)&lt;Berechnung1!J34,ROUND(O19,4)&gt;Berechnung1!K34),Berechnung1!$D$5,IF(OR(ROUND(O19,4)&lt;Berechnung1!G34,ROUND(O19,4)&gt;Berechnung1!H34),Berechnung1!$E$5,Berechnung1!$C$5))))</f>
        <v>Unvollständig</v>
      </c>
      <c r="Q17" s="623"/>
      <c r="R17" s="623"/>
    </row>
    <row r="18" spans="1:19" ht="30" customHeight="1" thickBot="1" x14ac:dyDescent="0.3">
      <c r="A18" s="626"/>
      <c r="B18" s="686"/>
      <c r="C18" s="689"/>
      <c r="D18" s="658"/>
      <c r="E18" s="659"/>
      <c r="F18" s="658"/>
      <c r="G18" s="659"/>
      <c r="H18" s="658"/>
      <c r="I18" s="659"/>
      <c r="J18" s="682"/>
      <c r="K18" s="664"/>
      <c r="L18" s="665"/>
      <c r="M18" s="682"/>
      <c r="N18" s="117" t="s">
        <v>152</v>
      </c>
      <c r="O18" s="118">
        <f>IF(SUM(Basisdaten!$B$28:$E$28) = "","",SUM(Basisdaten!$B$28:$E$28))</f>
        <v>0</v>
      </c>
      <c r="P18" s="654"/>
      <c r="Q18" s="624"/>
      <c r="R18" s="708"/>
    </row>
    <row r="19" spans="1:19" ht="30" customHeight="1" thickBot="1" x14ac:dyDescent="0.3">
      <c r="A19" s="627"/>
      <c r="B19" s="687"/>
      <c r="C19" s="690"/>
      <c r="D19" s="660"/>
      <c r="E19" s="661"/>
      <c r="F19" s="660"/>
      <c r="G19" s="661"/>
      <c r="H19" s="660"/>
      <c r="I19" s="661"/>
      <c r="J19" s="683"/>
      <c r="K19" s="666"/>
      <c r="L19" s="667"/>
      <c r="M19" s="683"/>
      <c r="N19" s="117" t="s">
        <v>165</v>
      </c>
      <c r="O19" s="314" t="str">
        <f>IF(O17="","n.d.",IF(O18="","n.d.",IF(O18=0,"",O17/O18)))</f>
        <v>n.d.</v>
      </c>
      <c r="P19" s="655"/>
      <c r="Q19" s="624"/>
      <c r="R19" s="709"/>
    </row>
    <row r="20" spans="1:19" ht="30" customHeight="1" thickBot="1" x14ac:dyDescent="0.3">
      <c r="A20" s="732">
        <v>4</v>
      </c>
      <c r="B20" s="650"/>
      <c r="C20" s="737" t="s">
        <v>1367</v>
      </c>
      <c r="D20" s="740" t="s">
        <v>1368</v>
      </c>
      <c r="E20" s="741"/>
      <c r="F20" s="740" t="s">
        <v>1369</v>
      </c>
      <c r="G20" s="741"/>
      <c r="H20" s="740" t="s">
        <v>1275</v>
      </c>
      <c r="I20" s="741"/>
      <c r="J20" s="729"/>
      <c r="K20" s="746" t="s">
        <v>1370</v>
      </c>
      <c r="L20" s="747"/>
      <c r="M20" s="729"/>
      <c r="N20" s="343" t="s">
        <v>160</v>
      </c>
      <c r="O20" s="496"/>
      <c r="P20" s="650" t="str">
        <f>IF(O22=Berechnung1!D37,Berechnung1!$F$5,IF(OR(O22&lt; Berechnung1!E37,O22&gt; Berechnung1!F37),Berechnung1!$G$5,IF(OR(ROUND(O22,4)&lt;Berechnung1!J37,ROUND(O22,4)&gt;Berechnung1!K37),Berechnung1!$D$5,IF(OR(ROUND(O22,4)&lt;Berechnung1!G37,ROUND(O22,4)&gt;Berechnung1!H37),Berechnung1!$E$5,Berechnung1!$C$5))))</f>
        <v>Unvollständig</v>
      </c>
      <c r="Q20" s="725"/>
      <c r="R20" s="725"/>
    </row>
    <row r="21" spans="1:19" ht="30" customHeight="1" thickBot="1" x14ac:dyDescent="0.3">
      <c r="A21" s="733"/>
      <c r="B21" s="735"/>
      <c r="C21" s="738"/>
      <c r="D21" s="742"/>
      <c r="E21" s="743"/>
      <c r="F21" s="742"/>
      <c r="G21" s="743"/>
      <c r="H21" s="742"/>
      <c r="I21" s="743"/>
      <c r="J21" s="730"/>
      <c r="K21" s="748"/>
      <c r="L21" s="749"/>
      <c r="M21" s="730"/>
      <c r="N21" s="345" t="s">
        <v>152</v>
      </c>
      <c r="O21" s="497">
        <f>IF(OR(Basisdaten!$H$28 = "",O8=""),0,Basisdaten!$H$28+O8)</f>
        <v>0</v>
      </c>
      <c r="P21" s="651"/>
      <c r="Q21" s="726"/>
      <c r="R21" s="727"/>
    </row>
    <row r="22" spans="1:19" ht="30" customHeight="1" thickBot="1" x14ac:dyDescent="0.3">
      <c r="A22" s="734"/>
      <c r="B22" s="736"/>
      <c r="C22" s="739"/>
      <c r="D22" s="744"/>
      <c r="E22" s="745"/>
      <c r="F22" s="744"/>
      <c r="G22" s="745"/>
      <c r="H22" s="744"/>
      <c r="I22" s="745"/>
      <c r="J22" s="731"/>
      <c r="K22" s="750"/>
      <c r="L22" s="751"/>
      <c r="M22" s="731"/>
      <c r="N22" s="345" t="s">
        <v>165</v>
      </c>
      <c r="O22" s="347" t="str">
        <f>IF(O20="","n.d.",IF(O21="","n.d.",IF(O21=0,"",O20/O21)))</f>
        <v>n.d.</v>
      </c>
      <c r="P22" s="652"/>
      <c r="Q22" s="726"/>
      <c r="R22" s="728"/>
    </row>
    <row r="23" spans="1:19" ht="30" customHeight="1" thickBot="1" x14ac:dyDescent="0.3">
      <c r="A23" s="625">
        <v>5</v>
      </c>
      <c r="B23" s="693"/>
      <c r="C23" s="688" t="s">
        <v>168</v>
      </c>
      <c r="D23" s="669" t="s">
        <v>1371</v>
      </c>
      <c r="E23" s="657"/>
      <c r="F23" s="669" t="s">
        <v>1276</v>
      </c>
      <c r="G23" s="657"/>
      <c r="H23" s="669" t="s">
        <v>1533</v>
      </c>
      <c r="I23" s="657"/>
      <c r="J23" s="753" t="s">
        <v>1092</v>
      </c>
      <c r="K23" s="670" t="s">
        <v>167</v>
      </c>
      <c r="L23" s="663"/>
      <c r="M23" s="752"/>
      <c r="N23" s="120" t="s">
        <v>160</v>
      </c>
      <c r="O23" s="119"/>
      <c r="P23" s="653" t="str">
        <f>IF(O25=Berechnung1!D40,Berechnung1!$F$5,IF(OR(O25&lt; Berechnung1!E40,O25&gt; Berechnung1!F40),Berechnung1!$G$5,IF(OR(ROUND(O25,4)&lt;Berechnung1!J40,ROUND(O25,4)&gt;Berechnung1!K40),Berechnung1!$D$5,IF(OR(ROUND(O25,4)&lt;Berechnung1!G40,ROUND(O25,4)&gt;Berechnung1!H40),Berechnung1!$E$5,Berechnung1!$C$5))))</f>
        <v>Unvollständig</v>
      </c>
      <c r="Q23" s="623"/>
      <c r="R23" s="623"/>
    </row>
    <row r="24" spans="1:19" ht="30" customHeight="1" thickBot="1" x14ac:dyDescent="0.3">
      <c r="A24" s="626"/>
      <c r="B24" s="686"/>
      <c r="C24" s="689"/>
      <c r="D24" s="658"/>
      <c r="E24" s="659"/>
      <c r="F24" s="658"/>
      <c r="G24" s="659"/>
      <c r="H24" s="658"/>
      <c r="I24" s="659"/>
      <c r="J24" s="682"/>
      <c r="K24" s="664"/>
      <c r="L24" s="665"/>
      <c r="M24" s="682"/>
      <c r="N24" s="117" t="s">
        <v>152</v>
      </c>
      <c r="O24" s="118">
        <f>IF(OR(Basisdaten!$H$28 = "",O8=""),0,Basisdaten!$H$28+O8)</f>
        <v>0</v>
      </c>
      <c r="P24" s="654"/>
      <c r="Q24" s="624"/>
      <c r="R24" s="708"/>
    </row>
    <row r="25" spans="1:19" ht="30" customHeight="1" thickBot="1" x14ac:dyDescent="0.3">
      <c r="A25" s="627"/>
      <c r="B25" s="687"/>
      <c r="C25" s="690"/>
      <c r="D25" s="660"/>
      <c r="E25" s="661"/>
      <c r="F25" s="660"/>
      <c r="G25" s="661"/>
      <c r="H25" s="660"/>
      <c r="I25" s="661"/>
      <c r="J25" s="683"/>
      <c r="K25" s="666"/>
      <c r="L25" s="667"/>
      <c r="M25" s="683"/>
      <c r="N25" s="117" t="s">
        <v>165</v>
      </c>
      <c r="O25" s="314" t="str">
        <f>IF(O23="","n.d.",IF(O24="","n.d.",IF(O24=0,"",O23/O24)))</f>
        <v>n.d.</v>
      </c>
      <c r="P25" s="655"/>
      <c r="Q25" s="624"/>
      <c r="R25" s="709"/>
    </row>
    <row r="26" spans="1:19" ht="30" customHeight="1" thickBot="1" x14ac:dyDescent="0.3">
      <c r="A26" s="625">
        <v>6</v>
      </c>
      <c r="B26" s="693" t="s">
        <v>169</v>
      </c>
      <c r="C26" s="694" t="s">
        <v>1277</v>
      </c>
      <c r="D26" s="669" t="s">
        <v>1372</v>
      </c>
      <c r="E26" s="657"/>
      <c r="F26" s="669" t="s">
        <v>1373</v>
      </c>
      <c r="G26" s="657"/>
      <c r="H26" s="656" t="s">
        <v>170</v>
      </c>
      <c r="I26" s="657"/>
      <c r="J26" s="681"/>
      <c r="K26" s="662" t="s">
        <v>593</v>
      </c>
      <c r="L26" s="663"/>
      <c r="M26" s="681"/>
      <c r="N26" s="117" t="s">
        <v>160</v>
      </c>
      <c r="O26" s="118">
        <f>Studien!E5</f>
        <v>0</v>
      </c>
      <c r="P26" s="653" t="str">
        <f>IF(O28=Berechnung1!D43,Berechnung1!$F$5,IF(OR(O28&lt; Berechnung1!E43,O28&gt; Berechnung1!F43),Berechnung1!$G$5,IF(OR(ROUND(O28,4)&lt;Berechnung1!J43,ROUND(O28,4)&gt;Berechnung1!K43),Berechnung1!$D$5,IF(OR(ROUND(O28,4)&lt;Berechnung1!G43,ROUND(O28,4)&gt;Berechnung1!H43),Berechnung1!$E$5,Berechnung1!$C$5))))</f>
        <v>Unvollständig</v>
      </c>
      <c r="Q26" s="623"/>
      <c r="R26" s="623"/>
    </row>
    <row r="27" spans="1:19" ht="30" customHeight="1" thickBot="1" x14ac:dyDescent="0.3">
      <c r="A27" s="626"/>
      <c r="B27" s="686"/>
      <c r="C27" s="689"/>
      <c r="D27" s="658"/>
      <c r="E27" s="659"/>
      <c r="F27" s="658"/>
      <c r="G27" s="659"/>
      <c r="H27" s="658"/>
      <c r="I27" s="659"/>
      <c r="J27" s="682"/>
      <c r="K27" s="664"/>
      <c r="L27" s="665"/>
      <c r="M27" s="682"/>
      <c r="N27" s="117" t="s">
        <v>152</v>
      </c>
      <c r="O27" s="118">
        <f>IF(Basisdaten!$H$28 = "",0,Basisdaten!$H$28)</f>
        <v>0</v>
      </c>
      <c r="P27" s="654"/>
      <c r="Q27" s="624"/>
      <c r="R27" s="624"/>
    </row>
    <row r="28" spans="1:19" ht="30" customHeight="1" thickBot="1" x14ac:dyDescent="0.3">
      <c r="A28" s="627"/>
      <c r="B28" s="687"/>
      <c r="C28" s="690"/>
      <c r="D28" s="660"/>
      <c r="E28" s="661"/>
      <c r="F28" s="660"/>
      <c r="G28" s="661"/>
      <c r="H28" s="660"/>
      <c r="I28" s="661"/>
      <c r="J28" s="683"/>
      <c r="K28" s="666"/>
      <c r="L28" s="667"/>
      <c r="M28" s="683"/>
      <c r="N28" s="117" t="s">
        <v>165</v>
      </c>
      <c r="O28" s="314" t="str">
        <f>IF(O26="","n.d.",IF(O27="","n.d.",IF(O27=0,"n.d.",O26/O27)))</f>
        <v>n.d.</v>
      </c>
      <c r="P28" s="655"/>
      <c r="Q28" s="624"/>
      <c r="R28" s="624"/>
    </row>
    <row r="29" spans="1:19" ht="33" customHeight="1" thickBot="1" x14ac:dyDescent="0.3">
      <c r="A29" s="732">
        <v>7</v>
      </c>
      <c r="B29" s="773" t="s">
        <v>1239</v>
      </c>
      <c r="C29" s="737" t="s">
        <v>1317</v>
      </c>
      <c r="D29" s="740" t="s">
        <v>596</v>
      </c>
      <c r="E29" s="741"/>
      <c r="F29" s="740" t="s">
        <v>1365</v>
      </c>
      <c r="G29" s="741"/>
      <c r="H29" s="740" t="s">
        <v>170</v>
      </c>
      <c r="I29" s="741"/>
      <c r="J29" s="729"/>
      <c r="K29" s="746" t="s">
        <v>172</v>
      </c>
      <c r="L29" s="747"/>
      <c r="M29" s="755"/>
      <c r="N29" s="343" t="s">
        <v>160</v>
      </c>
      <c r="O29" s="119"/>
      <c r="P29" s="653" t="str">
        <f>IF(O31=Berechnung1!D46,Berechnung1!$F$5,IF(OR(O31&lt; Berechnung1!E46,O31&gt; Berechnung1!F46),Berechnung1!$G$5,IF(OR(ROUND(O31,4)&lt;Berechnung1!J46,ROUND(O31,4)&gt;Berechnung1!K46),Berechnung1!$D$5,IF(OR(ROUND(O31,4)&lt;Berechnung1!G46,ROUND(O31,4)&gt;Berechnung1!H46),Berechnung1!$E$5,Berechnung1!$C$5))))</f>
        <v>Unvollständig</v>
      </c>
      <c r="Q29" s="623"/>
      <c r="R29" s="725"/>
      <c r="S29" s="344"/>
    </row>
    <row r="30" spans="1:19" ht="33" customHeight="1" thickBot="1" x14ac:dyDescent="0.3">
      <c r="A30" s="733"/>
      <c r="B30" s="774"/>
      <c r="C30" s="738"/>
      <c r="D30" s="742"/>
      <c r="E30" s="743"/>
      <c r="F30" s="742"/>
      <c r="G30" s="743"/>
      <c r="H30" s="742"/>
      <c r="I30" s="743"/>
      <c r="J30" s="730"/>
      <c r="K30" s="748"/>
      <c r="L30" s="749"/>
      <c r="M30" s="730"/>
      <c r="N30" s="345" t="s">
        <v>152</v>
      </c>
      <c r="O30" s="346">
        <f>IF(Basisdaten!$H$28 = "",0,Basisdaten!$H$28)</f>
        <v>0</v>
      </c>
      <c r="P30" s="654"/>
      <c r="Q30" s="624"/>
      <c r="R30" s="727"/>
      <c r="S30" s="344"/>
    </row>
    <row r="31" spans="1:19" ht="33" customHeight="1" thickBot="1" x14ac:dyDescent="0.3">
      <c r="A31" s="734"/>
      <c r="B31" s="775"/>
      <c r="C31" s="739"/>
      <c r="D31" s="744"/>
      <c r="E31" s="745"/>
      <c r="F31" s="744"/>
      <c r="G31" s="745"/>
      <c r="H31" s="744"/>
      <c r="I31" s="745"/>
      <c r="J31" s="731"/>
      <c r="K31" s="750"/>
      <c r="L31" s="751"/>
      <c r="M31" s="731"/>
      <c r="N31" s="345" t="s">
        <v>165</v>
      </c>
      <c r="O31" s="347" t="str">
        <f>IF(O29="","n.d.",IF(O30="","n.d.",IF(O30=0,"",O29/O30)))</f>
        <v>n.d.</v>
      </c>
      <c r="P31" s="655"/>
      <c r="Q31" s="624"/>
      <c r="R31" s="728"/>
      <c r="S31" s="344"/>
    </row>
    <row r="32" spans="1:19" ht="30.75" customHeight="1" thickBot="1" x14ac:dyDescent="0.3">
      <c r="A32" s="628">
        <v>8</v>
      </c>
      <c r="B32" s="695"/>
      <c r="C32" s="631" t="s">
        <v>171</v>
      </c>
      <c r="D32" s="634" t="s">
        <v>597</v>
      </c>
      <c r="E32" s="635"/>
      <c r="F32" s="634" t="s">
        <v>1089</v>
      </c>
      <c r="G32" s="635"/>
      <c r="H32" s="634" t="s">
        <v>1816</v>
      </c>
      <c r="I32" s="635"/>
      <c r="J32" s="640"/>
      <c r="K32" s="643" t="s">
        <v>172</v>
      </c>
      <c r="L32" s="644"/>
      <c r="M32" s="649"/>
      <c r="N32" s="556" t="s">
        <v>160</v>
      </c>
      <c r="O32" s="259"/>
      <c r="P32" s="756" t="str">
        <f>IF(AND(O32&lt;&gt;"",O33&lt;&gt;"",O32=0,O33=0),Berechnung1!$H$5,IF(O34="",Berechnung1!$D$5,IF(O34=Berechnung1!D49,Berechnung1!$F$5,IF(OR(O34&lt;Berechnung1!E49,O34&gt;Berechnung1!F49),Berechnung1!$G$5,IF(OR(ROUND(O34,4)&lt;Berechnung1!J49,ROUND(O34,4)&gt;Berechnung1!K49),Berechnung1!$D$5,IF(OR(ROUND(O34,4)&lt;Berechnung1!G49,ROUND(O34,4)&gt;Berechnung1!H49),Berechnung1!$E$5,Berechnung1!$C$5))))))</f>
        <v>Unvollständig</v>
      </c>
      <c r="Q32" s="754"/>
      <c r="R32" s="724"/>
      <c r="S32" s="344"/>
    </row>
    <row r="33" spans="1:19" ht="30.75" customHeight="1" thickBot="1" x14ac:dyDescent="0.3">
      <c r="A33" s="629"/>
      <c r="B33" s="696"/>
      <c r="C33" s="632"/>
      <c r="D33" s="636"/>
      <c r="E33" s="637"/>
      <c r="F33" s="636"/>
      <c r="G33" s="637"/>
      <c r="H33" s="636"/>
      <c r="I33" s="637"/>
      <c r="J33" s="641"/>
      <c r="K33" s="645"/>
      <c r="L33" s="646"/>
      <c r="M33" s="641"/>
      <c r="N33" s="258" t="s">
        <v>152</v>
      </c>
      <c r="O33" s="259"/>
      <c r="P33" s="757"/>
      <c r="Q33" s="624"/>
      <c r="R33" s="624"/>
      <c r="S33" s="344"/>
    </row>
    <row r="34" spans="1:19" ht="30.75" customHeight="1" thickBot="1" x14ac:dyDescent="0.3">
      <c r="A34" s="630"/>
      <c r="B34" s="697"/>
      <c r="C34" s="633"/>
      <c r="D34" s="638"/>
      <c r="E34" s="639"/>
      <c r="F34" s="638"/>
      <c r="G34" s="639"/>
      <c r="H34" s="638"/>
      <c r="I34" s="639"/>
      <c r="J34" s="642"/>
      <c r="K34" s="647"/>
      <c r="L34" s="648"/>
      <c r="M34" s="642"/>
      <c r="N34" s="258" t="s">
        <v>165</v>
      </c>
      <c r="O34" s="315" t="str">
        <f>IF(O32="","n.d.",IF(O33="","n.d.",IF(O33=0,"",O32/O33)))</f>
        <v>n.d.</v>
      </c>
      <c r="P34" s="758"/>
      <c r="Q34" s="624"/>
      <c r="R34" s="624"/>
      <c r="S34" s="344"/>
    </row>
    <row r="35" spans="1:19" ht="30" customHeight="1" thickBot="1" x14ac:dyDescent="0.3">
      <c r="A35" s="628">
        <v>9</v>
      </c>
      <c r="B35" s="620"/>
      <c r="C35" s="631" t="s">
        <v>598</v>
      </c>
      <c r="D35" s="634" t="s">
        <v>1522</v>
      </c>
      <c r="E35" s="635"/>
      <c r="F35" s="634" t="s">
        <v>1523</v>
      </c>
      <c r="G35" s="635"/>
      <c r="H35" s="634" t="s">
        <v>1524</v>
      </c>
      <c r="I35" s="635"/>
      <c r="J35" s="640"/>
      <c r="K35" s="643" t="s">
        <v>172</v>
      </c>
      <c r="L35" s="644"/>
      <c r="M35" s="640"/>
      <c r="N35" s="556" t="s">
        <v>160</v>
      </c>
      <c r="O35" s="259"/>
      <c r="P35" s="653" t="str">
        <f>IF(O37=Berechnung1!D52,Berechnung1!$F$5,IF(OR(O37&lt; Berechnung1!E52,O37&gt; Berechnung1!F52),Berechnung1!$G$5,IF(OR(ROUND(O37,4)&lt;Berechnung1!J52,ROUND(O37,4)&gt;Berechnung1!K52),Berechnung1!$D$5,IF(OR(ROUND(O37,4)&lt;Berechnung1!G52,ROUND(O37,4)&gt;Berechnung1!H52),Berechnung1!$E$5,Berechnung1!$C$5))))</f>
        <v>Unvollständig</v>
      </c>
      <c r="Q35" s="754"/>
      <c r="R35" s="724"/>
    </row>
    <row r="36" spans="1:19" ht="30" customHeight="1" thickBot="1" x14ac:dyDescent="0.3">
      <c r="A36" s="629"/>
      <c r="B36" s="691"/>
      <c r="C36" s="632"/>
      <c r="D36" s="636"/>
      <c r="E36" s="637"/>
      <c r="F36" s="636"/>
      <c r="G36" s="637"/>
      <c r="H36" s="636"/>
      <c r="I36" s="637"/>
      <c r="J36" s="641"/>
      <c r="K36" s="645"/>
      <c r="L36" s="646"/>
      <c r="M36" s="641"/>
      <c r="N36" s="258" t="s">
        <v>152</v>
      </c>
      <c r="O36" s="259"/>
      <c r="P36" s="654"/>
      <c r="Q36" s="624"/>
      <c r="R36" s="759"/>
      <c r="S36" s="320">
        <f>IF(Basisdaten!H28="",0,Basisdaten!H28)</f>
        <v>0</v>
      </c>
    </row>
    <row r="37" spans="1:19" ht="30" customHeight="1" thickBot="1" x14ac:dyDescent="0.3">
      <c r="A37" s="630"/>
      <c r="B37" s="692"/>
      <c r="C37" s="633"/>
      <c r="D37" s="638"/>
      <c r="E37" s="639"/>
      <c r="F37" s="638"/>
      <c r="G37" s="639"/>
      <c r="H37" s="638"/>
      <c r="I37" s="639"/>
      <c r="J37" s="642"/>
      <c r="K37" s="647"/>
      <c r="L37" s="648"/>
      <c r="M37" s="642"/>
      <c r="N37" s="258" t="s">
        <v>165</v>
      </c>
      <c r="O37" s="315" t="str">
        <f>IF(O35="","n.d.",IF(O36="","n.d.",IF(O36=0,"",O35/O36)))</f>
        <v>n.d.</v>
      </c>
      <c r="P37" s="655"/>
      <c r="Q37" s="624"/>
      <c r="R37" s="760"/>
    </row>
    <row r="38" spans="1:19" ht="30" customHeight="1" thickBot="1" x14ac:dyDescent="0.3">
      <c r="A38" s="628">
        <v>10</v>
      </c>
      <c r="B38" s="695" t="s">
        <v>1239</v>
      </c>
      <c r="C38" s="631" t="s">
        <v>1090</v>
      </c>
      <c r="D38" s="634" t="s">
        <v>1091</v>
      </c>
      <c r="E38" s="635"/>
      <c r="F38" s="634" t="s">
        <v>1525</v>
      </c>
      <c r="G38" s="635"/>
      <c r="H38" s="634" t="s">
        <v>1374</v>
      </c>
      <c r="I38" s="635"/>
      <c r="J38" s="643"/>
      <c r="K38" s="643" t="s">
        <v>1375</v>
      </c>
      <c r="L38" s="644"/>
      <c r="M38" s="640"/>
      <c r="N38" s="258" t="s">
        <v>160</v>
      </c>
      <c r="O38" s="259"/>
      <c r="P38" s="756" t="str">
        <f>IF(AND(O38&lt;&gt;"",O39&lt;&gt;"",O38=0,O39=0),Berechnung1!$H$5,IF(OR(O38="",O39=""),Berechnung1!$F$5,IF(AND(O38=0,O39=0),Berechnung1!$D$5,IF(O40=Berechnung1!D55,Berechnung1!$F$5,IF(OR(O40&lt;Berechnung1!E55,O40&gt;Berechnung1!F55),Berechnung1!$G$5,IF(OR(ROUND(O40,4)&lt;Berechnung1!J55,ROUND(O40,4)&gt;Berechnung1!K55),Berechnung1!$D$5,IF(OR(ROUND(O40,4)&lt;Berechnung1!G55,ROUND(O40,4)&gt;Berechnung1!H55),Berechnung1!$E$5,Berechnung1!$C$5)))))))</f>
        <v>Unvollständig</v>
      </c>
      <c r="Q38" s="754"/>
      <c r="R38" s="724"/>
    </row>
    <row r="39" spans="1:19" ht="30" customHeight="1" thickBot="1" x14ac:dyDescent="0.3">
      <c r="A39" s="629"/>
      <c r="B39" s="696"/>
      <c r="C39" s="632"/>
      <c r="D39" s="636"/>
      <c r="E39" s="637"/>
      <c r="F39" s="636"/>
      <c r="G39" s="637"/>
      <c r="H39" s="636"/>
      <c r="I39" s="637"/>
      <c r="J39" s="645"/>
      <c r="K39" s="645"/>
      <c r="L39" s="646"/>
      <c r="M39" s="641"/>
      <c r="N39" s="258" t="s">
        <v>152</v>
      </c>
      <c r="O39" s="259"/>
      <c r="P39" s="757"/>
      <c r="Q39" s="759"/>
      <c r="R39" s="759"/>
    </row>
    <row r="40" spans="1:19" ht="30" customHeight="1" thickBot="1" x14ac:dyDescent="0.3">
      <c r="A40" s="630"/>
      <c r="B40" s="697"/>
      <c r="C40" s="633"/>
      <c r="D40" s="638"/>
      <c r="E40" s="639"/>
      <c r="F40" s="638"/>
      <c r="G40" s="639"/>
      <c r="H40" s="638"/>
      <c r="I40" s="639"/>
      <c r="J40" s="647"/>
      <c r="K40" s="647"/>
      <c r="L40" s="648"/>
      <c r="M40" s="642"/>
      <c r="N40" s="258" t="s">
        <v>165</v>
      </c>
      <c r="O40" s="315" t="str">
        <f>IF(O38="","n.d.",IF(O39="","n.d.",IF(O39=0,"",O38/O39)))</f>
        <v>n.d.</v>
      </c>
      <c r="P40" s="758"/>
      <c r="Q40" s="760"/>
      <c r="R40" s="760"/>
    </row>
    <row r="41" spans="1:19" ht="30" customHeight="1" thickBot="1" x14ac:dyDescent="0.3">
      <c r="A41" s="628">
        <v>11</v>
      </c>
      <c r="B41" s="620"/>
      <c r="C41" s="631" t="s">
        <v>1172</v>
      </c>
      <c r="D41" s="634" t="s">
        <v>173</v>
      </c>
      <c r="E41" s="635"/>
      <c r="F41" s="634" t="s">
        <v>1093</v>
      </c>
      <c r="G41" s="635"/>
      <c r="H41" s="634" t="s">
        <v>1526</v>
      </c>
      <c r="I41" s="635"/>
      <c r="J41" s="640" t="s">
        <v>256</v>
      </c>
      <c r="K41" s="643" t="s">
        <v>195</v>
      </c>
      <c r="L41" s="644"/>
      <c r="M41" s="640"/>
      <c r="N41" s="258" t="s">
        <v>160</v>
      </c>
      <c r="O41" s="259"/>
      <c r="P41" s="756" t="str">
        <f>IF(O43=Berechnung1!D58,Berechnung1!$F$5,IF(OR(O43&lt; Berechnung1!E58,O43&gt; Berechnung1!F58),Berechnung1!$G$5,IF(OR(O43&lt;Berechnung1!J58,O43&gt;Berechnung1!K58),Berechnung1!$D$5,IF(OR(ROUND(O43,4)&lt;Berechnung1!G58,ROUND(O43,4)&gt;Berechnung1!H58),Berechnung1!$E$5,Berechnung1!$C$5))))</f>
        <v>Unvollständig</v>
      </c>
      <c r="Q41" s="724"/>
      <c r="R41" s="724"/>
    </row>
    <row r="42" spans="1:19" ht="30" customHeight="1" thickBot="1" x14ac:dyDescent="0.3">
      <c r="A42" s="629"/>
      <c r="B42" s="691"/>
      <c r="C42" s="632"/>
      <c r="D42" s="636"/>
      <c r="E42" s="637"/>
      <c r="F42" s="636"/>
      <c r="G42" s="637"/>
      <c r="H42" s="636"/>
      <c r="I42" s="637"/>
      <c r="J42" s="641"/>
      <c r="K42" s="645"/>
      <c r="L42" s="646"/>
      <c r="M42" s="641"/>
      <c r="N42" s="258" t="s">
        <v>152</v>
      </c>
      <c r="O42" s="259"/>
      <c r="P42" s="757"/>
      <c r="Q42" s="624"/>
      <c r="R42" s="624"/>
    </row>
    <row r="43" spans="1:19" ht="30" customHeight="1" thickBot="1" x14ac:dyDescent="0.3">
      <c r="A43" s="630"/>
      <c r="B43" s="692"/>
      <c r="C43" s="633"/>
      <c r="D43" s="638"/>
      <c r="E43" s="639"/>
      <c r="F43" s="638"/>
      <c r="G43" s="639"/>
      <c r="H43" s="638"/>
      <c r="I43" s="639"/>
      <c r="J43" s="642"/>
      <c r="K43" s="647"/>
      <c r="L43" s="648"/>
      <c r="M43" s="642"/>
      <c r="N43" s="258" t="s">
        <v>165</v>
      </c>
      <c r="O43" s="315" t="str">
        <f>IF(O41="","n.d.",IF(O42="","n.d.",IF(O42=0,"",O41/O42)))</f>
        <v>n.d.</v>
      </c>
      <c r="P43" s="758"/>
      <c r="Q43" s="624"/>
      <c r="R43" s="624"/>
    </row>
    <row r="44" spans="1:19" s="121" customFormat="1" ht="30" customHeight="1" thickBot="1" x14ac:dyDescent="0.25">
      <c r="A44" s="628">
        <v>12</v>
      </c>
      <c r="B44" s="620" t="s">
        <v>1237</v>
      </c>
      <c r="C44" s="631" t="s">
        <v>599</v>
      </c>
      <c r="D44" s="634" t="s">
        <v>174</v>
      </c>
      <c r="E44" s="635"/>
      <c r="F44" s="634" t="s">
        <v>1278</v>
      </c>
      <c r="G44" s="635"/>
      <c r="H44" s="634" t="s">
        <v>1279</v>
      </c>
      <c r="I44" s="635"/>
      <c r="J44" s="753"/>
      <c r="K44" s="643" t="s">
        <v>172</v>
      </c>
      <c r="L44" s="644"/>
      <c r="M44" s="752"/>
      <c r="N44" s="258" t="s">
        <v>160</v>
      </c>
      <c r="O44" s="259"/>
      <c r="P44" s="756" t="str">
        <f>IF(AND(O44&lt;&gt;"",O45&lt;&gt;"",O44=0,O45=0),Berechnung1!$H$5,IF(O46="",Berechnung1!$D$5,IF(O46=Berechnung1!D61,Berechnung1!$F$5,IF(OR(O46&lt;Berechnung1!E61,O46&gt;Berechnung1!F61),Berechnung1!$G$5,IF(OR(ROUND(O46,4)&lt;Berechnung1!J61,ROUND(O46,4)&gt;Berechnung1!K61),Berechnung1!$D$5,IF(OR(ROUND(O46,4)&lt;Berechnung1!G61,ROUND(O46,4)&gt;Berechnung1!H61),Berechnung1!$E$5,Berechnung1!$C$5))))))</f>
        <v>Unvollständig</v>
      </c>
      <c r="Q44" s="724"/>
      <c r="R44" s="724"/>
      <c r="S44" s="321"/>
    </row>
    <row r="45" spans="1:19" s="121" customFormat="1" ht="30" customHeight="1" thickBot="1" x14ac:dyDescent="0.25">
      <c r="A45" s="629"/>
      <c r="B45" s="691"/>
      <c r="C45" s="632"/>
      <c r="D45" s="636"/>
      <c r="E45" s="637"/>
      <c r="F45" s="636"/>
      <c r="G45" s="637"/>
      <c r="H45" s="636"/>
      <c r="I45" s="637"/>
      <c r="J45" s="682"/>
      <c r="K45" s="645"/>
      <c r="L45" s="646"/>
      <c r="M45" s="682"/>
      <c r="N45" s="258" t="s">
        <v>152</v>
      </c>
      <c r="O45" s="259"/>
      <c r="P45" s="757"/>
      <c r="Q45" s="624"/>
      <c r="R45" s="624"/>
      <c r="S45" s="321">
        <f>IF(OR(Basisdaten!H30="",Basisdaten!D30=""),0,(Basisdaten!H30-Basisdaten!D30))</f>
        <v>0</v>
      </c>
    </row>
    <row r="46" spans="1:19" s="121" customFormat="1" ht="30" customHeight="1" thickBot="1" x14ac:dyDescent="0.25">
      <c r="A46" s="630"/>
      <c r="B46" s="692"/>
      <c r="C46" s="633"/>
      <c r="D46" s="638"/>
      <c r="E46" s="639"/>
      <c r="F46" s="638"/>
      <c r="G46" s="639"/>
      <c r="H46" s="638"/>
      <c r="I46" s="639"/>
      <c r="J46" s="683"/>
      <c r="K46" s="647"/>
      <c r="L46" s="648"/>
      <c r="M46" s="683"/>
      <c r="N46" s="258" t="s">
        <v>165</v>
      </c>
      <c r="O46" s="315" t="str">
        <f>IF(O44="","n.d.",IF(O45="","n.d.",IF(AND(O44=0,O45=0),"",IF(O45=0,"n.d.",O44/O45))))</f>
        <v>n.d.</v>
      </c>
      <c r="P46" s="758"/>
      <c r="Q46" s="624"/>
      <c r="R46" s="624"/>
      <c r="S46" s="321"/>
    </row>
    <row r="47" spans="1:19" ht="30" customHeight="1" thickBot="1" x14ac:dyDescent="0.3">
      <c r="A47" s="625">
        <v>13</v>
      </c>
      <c r="B47" s="693" t="s">
        <v>175</v>
      </c>
      <c r="C47" s="688" t="s">
        <v>176</v>
      </c>
      <c r="D47" s="669" t="s">
        <v>693</v>
      </c>
      <c r="E47" s="657"/>
      <c r="F47" s="669" t="s">
        <v>607</v>
      </c>
      <c r="G47" s="657"/>
      <c r="H47" s="656" t="s">
        <v>87</v>
      </c>
      <c r="I47" s="657"/>
      <c r="J47" s="681"/>
      <c r="K47" s="670" t="s">
        <v>199</v>
      </c>
      <c r="L47" s="663"/>
      <c r="M47" s="681"/>
      <c r="N47" s="761" t="s">
        <v>151</v>
      </c>
      <c r="O47" s="762">
        <f>$S48</f>
        <v>0</v>
      </c>
      <c r="P47" s="653" t="str">
        <f>IF(O47=Berechnung1!D64,Berechnung1!$F$5,IF(OR(O47&lt; Berechnung1!E64,O47&gt; Berechnung1!F64),Berechnung1!$G$5,IF(OR(ROUND(O47,4)&lt;Berechnung1!J64,ROUND(O47,4)&gt;Berechnung1!K64),Berechnung1!$D$5,IF(OR(ROUND(O47,4)&lt;Berechnung1!G64,ROUND(O47,4)&gt;Berechnung1!H64),Berechnung1!$E$5,Berechnung1!$C$5))))</f>
        <v>Unvollständig</v>
      </c>
      <c r="Q47" s="623"/>
      <c r="R47" s="623"/>
    </row>
    <row r="48" spans="1:19" ht="30" customHeight="1" thickBot="1" x14ac:dyDescent="0.3">
      <c r="A48" s="626"/>
      <c r="B48" s="686"/>
      <c r="C48" s="689"/>
      <c r="D48" s="658"/>
      <c r="E48" s="659"/>
      <c r="F48" s="658"/>
      <c r="G48" s="659"/>
      <c r="H48" s="658"/>
      <c r="I48" s="659"/>
      <c r="J48" s="682"/>
      <c r="K48" s="664"/>
      <c r="L48" s="665"/>
      <c r="M48" s="682"/>
      <c r="N48" s="761"/>
      <c r="O48" s="763"/>
      <c r="P48" s="654"/>
      <c r="Q48" s="624"/>
      <c r="R48" s="708"/>
      <c r="S48" s="321">
        <f>Basisdaten!B29+Basisdaten!D29</f>
        <v>0</v>
      </c>
    </row>
    <row r="49" spans="1:18" ht="30" customHeight="1" thickBot="1" x14ac:dyDescent="0.3">
      <c r="A49" s="627"/>
      <c r="B49" s="687"/>
      <c r="C49" s="690"/>
      <c r="D49" s="660"/>
      <c r="E49" s="661"/>
      <c r="F49" s="660"/>
      <c r="G49" s="661"/>
      <c r="H49" s="660"/>
      <c r="I49" s="661"/>
      <c r="J49" s="683"/>
      <c r="K49" s="666"/>
      <c r="L49" s="667"/>
      <c r="M49" s="683"/>
      <c r="N49" s="761"/>
      <c r="O49" s="764"/>
      <c r="P49" s="655"/>
      <c r="Q49" s="624"/>
      <c r="R49" s="709"/>
    </row>
    <row r="50" spans="1:18" ht="30" customHeight="1" thickBot="1" x14ac:dyDescent="0.3">
      <c r="A50" s="625">
        <v>14</v>
      </c>
      <c r="B50" s="693" t="s">
        <v>175</v>
      </c>
      <c r="C50" s="688" t="s">
        <v>203</v>
      </c>
      <c r="D50" s="669" t="s">
        <v>693</v>
      </c>
      <c r="E50" s="657"/>
      <c r="F50" s="634" t="s">
        <v>690</v>
      </c>
      <c r="G50" s="635"/>
      <c r="H50" s="656" t="s">
        <v>87</v>
      </c>
      <c r="I50" s="657"/>
      <c r="J50" s="681"/>
      <c r="K50" s="670" t="s">
        <v>200</v>
      </c>
      <c r="L50" s="663"/>
      <c r="M50" s="681"/>
      <c r="N50" s="761" t="s">
        <v>151</v>
      </c>
      <c r="O50" s="762">
        <f>IF(SUM(Basisdaten!$B$30:$D$30) = 0,0,SUM(Basisdaten!$B$30:$D$30))</f>
        <v>0</v>
      </c>
      <c r="P50" s="653" t="str">
        <f>IF(O50=Berechnung1!D67,Berechnung1!$F$5,IF(OR(O50&lt; Berechnung1!E67,O50&gt; Berechnung1!F67),Berechnung1!$G$5,IF(OR(ROUND(O50,4)&lt;Berechnung1!J67,ROUND(O50,4)&gt;Berechnung1!K67),Berechnung1!$D$5,IF(OR(ROUND(O50,4)&lt;Berechnung1!G67,ROUND(O50,4)&gt;Berechnung1!H67),Berechnung1!$E$5,Berechnung1!$C$5))))</f>
        <v>Unvollständig</v>
      </c>
      <c r="Q50" s="623"/>
      <c r="R50" s="623"/>
    </row>
    <row r="51" spans="1:18" ht="30" customHeight="1" thickBot="1" x14ac:dyDescent="0.3">
      <c r="A51" s="626"/>
      <c r="B51" s="686"/>
      <c r="C51" s="689"/>
      <c r="D51" s="658"/>
      <c r="E51" s="659"/>
      <c r="F51" s="636"/>
      <c r="G51" s="637"/>
      <c r="H51" s="658"/>
      <c r="I51" s="659"/>
      <c r="J51" s="682"/>
      <c r="K51" s="664"/>
      <c r="L51" s="665"/>
      <c r="M51" s="682"/>
      <c r="N51" s="761"/>
      <c r="O51" s="763"/>
      <c r="P51" s="654"/>
      <c r="Q51" s="624"/>
      <c r="R51" s="624"/>
    </row>
    <row r="52" spans="1:18" ht="30" customHeight="1" thickBot="1" x14ac:dyDescent="0.3">
      <c r="A52" s="627"/>
      <c r="B52" s="687"/>
      <c r="C52" s="690"/>
      <c r="D52" s="660"/>
      <c r="E52" s="661"/>
      <c r="F52" s="638"/>
      <c r="G52" s="639"/>
      <c r="H52" s="660"/>
      <c r="I52" s="661"/>
      <c r="J52" s="683"/>
      <c r="K52" s="666"/>
      <c r="L52" s="667"/>
      <c r="M52" s="683"/>
      <c r="N52" s="761"/>
      <c r="O52" s="764"/>
      <c r="P52" s="655"/>
      <c r="Q52" s="624"/>
      <c r="R52" s="624"/>
    </row>
    <row r="53" spans="1:18" ht="30" customHeight="1" thickBot="1" x14ac:dyDescent="0.3">
      <c r="A53" s="625">
        <v>15</v>
      </c>
      <c r="B53" s="693"/>
      <c r="C53" s="694" t="s">
        <v>608</v>
      </c>
      <c r="D53" s="656" t="s">
        <v>177</v>
      </c>
      <c r="E53" s="657"/>
      <c r="F53" s="669" t="s">
        <v>1238</v>
      </c>
      <c r="G53" s="657"/>
      <c r="H53" s="669" t="s">
        <v>1173</v>
      </c>
      <c r="I53" s="657"/>
      <c r="J53" s="681" t="s">
        <v>256</v>
      </c>
      <c r="K53" s="643" t="s">
        <v>197</v>
      </c>
      <c r="L53" s="644"/>
      <c r="M53" s="640" t="s">
        <v>642</v>
      </c>
      <c r="N53" s="120" t="s">
        <v>160</v>
      </c>
      <c r="O53" s="119"/>
      <c r="P53" s="668" t="str">
        <f>IF(O55=Berechnung1!D70,Berechnung1!$F$5,IF(OR(O55&lt; Berechnung1!E70,O55&gt; Berechnung1!F70),Berechnung1!$G$5,IF(OR(ROUND(O55,4)&lt;Berechnung1!G70,ROUND(O55,4)&gt;Berechnung1!H70),Berechnung1!$E$5,IF(OR(O55&lt;Berechnung1!J70,O55&gt;Berechnung1!K70),Berechnung1!$D$5,Berechnung1!$C$5))))</f>
        <v>Unvollständig</v>
      </c>
      <c r="Q53" s="623"/>
      <c r="R53" s="623"/>
    </row>
    <row r="54" spans="1:18" ht="30" customHeight="1" thickBot="1" x14ac:dyDescent="0.3">
      <c r="A54" s="626"/>
      <c r="B54" s="686"/>
      <c r="C54" s="689"/>
      <c r="D54" s="658"/>
      <c r="E54" s="659"/>
      <c r="F54" s="658"/>
      <c r="G54" s="659"/>
      <c r="H54" s="658"/>
      <c r="I54" s="659"/>
      <c r="J54" s="682"/>
      <c r="K54" s="645"/>
      <c r="L54" s="646"/>
      <c r="M54" s="641"/>
      <c r="N54" s="117" t="s">
        <v>152</v>
      </c>
      <c r="O54" s="118">
        <f>IF(Basisdaten!$B$29 = 0,0,Basisdaten!$B$29)</f>
        <v>0</v>
      </c>
      <c r="P54" s="668"/>
      <c r="Q54" s="624"/>
      <c r="R54" s="708"/>
    </row>
    <row r="55" spans="1:18" ht="30" customHeight="1" thickBot="1" x14ac:dyDescent="0.3">
      <c r="A55" s="627"/>
      <c r="B55" s="687"/>
      <c r="C55" s="690"/>
      <c r="D55" s="660"/>
      <c r="E55" s="661"/>
      <c r="F55" s="660"/>
      <c r="G55" s="661"/>
      <c r="H55" s="660"/>
      <c r="I55" s="661"/>
      <c r="J55" s="683"/>
      <c r="K55" s="647"/>
      <c r="L55" s="648"/>
      <c r="M55" s="642"/>
      <c r="N55" s="117" t="s">
        <v>165</v>
      </c>
      <c r="O55" s="314" t="str">
        <f>IF(O53="","n.d.",IF(O54="","n.d.",IF(O54=0,"",O53/O54)))</f>
        <v>n.d.</v>
      </c>
      <c r="P55" s="668"/>
      <c r="Q55" s="624"/>
      <c r="R55" s="709"/>
    </row>
    <row r="56" spans="1:18" ht="30" customHeight="1" thickBot="1" x14ac:dyDescent="0.3">
      <c r="A56" s="625">
        <v>16</v>
      </c>
      <c r="B56" s="693"/>
      <c r="C56" s="694" t="s">
        <v>609</v>
      </c>
      <c r="D56" s="656" t="s">
        <v>177</v>
      </c>
      <c r="E56" s="657"/>
      <c r="F56" s="669" t="s">
        <v>1376</v>
      </c>
      <c r="G56" s="657"/>
      <c r="H56" s="634" t="s">
        <v>1174</v>
      </c>
      <c r="I56" s="635"/>
      <c r="J56" s="640" t="s">
        <v>256</v>
      </c>
      <c r="K56" s="643" t="s">
        <v>197</v>
      </c>
      <c r="L56" s="644"/>
      <c r="M56" s="640" t="s">
        <v>642</v>
      </c>
      <c r="N56" s="117" t="s">
        <v>160</v>
      </c>
      <c r="O56" s="119"/>
      <c r="P56" s="668" t="str">
        <f>IF(O58=Berechnung1!D73,Berechnung1!$F$5,IF(OR(O58&lt; Berechnung1!E73,O58&gt; Berechnung1!F73),Berechnung1!$G$5,IF(OR(ROUND(O58,4)&lt;Berechnung1!G73,ROUND(O58,4)&gt;Berechnung1!H73),Berechnung1!$E$5,IF(OR(O58&lt;Berechnung1!J73,O58&gt;Berechnung1!K73),Berechnung1!$D$5,Berechnung1!$C$5))))</f>
        <v>Unvollständig</v>
      </c>
      <c r="Q56" s="623"/>
      <c r="R56" s="623"/>
    </row>
    <row r="57" spans="1:18" ht="30" customHeight="1" thickBot="1" x14ac:dyDescent="0.3">
      <c r="A57" s="626"/>
      <c r="B57" s="686"/>
      <c r="C57" s="689"/>
      <c r="D57" s="658"/>
      <c r="E57" s="659"/>
      <c r="F57" s="658"/>
      <c r="G57" s="659"/>
      <c r="H57" s="636"/>
      <c r="I57" s="637"/>
      <c r="J57" s="641"/>
      <c r="K57" s="645"/>
      <c r="L57" s="646"/>
      <c r="M57" s="641"/>
      <c r="N57" s="117" t="s">
        <v>152</v>
      </c>
      <c r="O57" s="118">
        <f>IF(Basisdaten!$B$30 = 0,0,Basisdaten!$B$30)</f>
        <v>0</v>
      </c>
      <c r="P57" s="668"/>
      <c r="Q57" s="624"/>
      <c r="R57" s="624"/>
    </row>
    <row r="58" spans="1:18" ht="30" customHeight="1" thickBot="1" x14ac:dyDescent="0.3">
      <c r="A58" s="627"/>
      <c r="B58" s="687"/>
      <c r="C58" s="690"/>
      <c r="D58" s="660"/>
      <c r="E58" s="661"/>
      <c r="F58" s="660"/>
      <c r="G58" s="661"/>
      <c r="H58" s="638"/>
      <c r="I58" s="639"/>
      <c r="J58" s="642"/>
      <c r="K58" s="647"/>
      <c r="L58" s="648"/>
      <c r="M58" s="642"/>
      <c r="N58" s="117" t="s">
        <v>165</v>
      </c>
      <c r="O58" s="314" t="str">
        <f>IF(O56="","n.d.",IF(O57="","n.d.",IF(O57=0,"",O56/O57)))</f>
        <v>n.d.</v>
      </c>
      <c r="P58" s="668"/>
      <c r="Q58" s="624"/>
      <c r="R58" s="624"/>
    </row>
    <row r="59" spans="1:18" ht="30" customHeight="1" thickBot="1" x14ac:dyDescent="0.3">
      <c r="A59" s="625">
        <v>17</v>
      </c>
      <c r="B59" s="685" t="s">
        <v>1239</v>
      </c>
      <c r="C59" s="694" t="s">
        <v>1175</v>
      </c>
      <c r="D59" s="669" t="s">
        <v>605</v>
      </c>
      <c r="E59" s="657"/>
      <c r="F59" s="669" t="s">
        <v>1280</v>
      </c>
      <c r="G59" s="657"/>
      <c r="H59" s="669" t="s">
        <v>1281</v>
      </c>
      <c r="I59" s="657"/>
      <c r="J59" s="681" t="s">
        <v>256</v>
      </c>
      <c r="K59" s="670" t="s">
        <v>198</v>
      </c>
      <c r="L59" s="663"/>
      <c r="M59" s="681"/>
      <c r="N59" s="120" t="s">
        <v>160</v>
      </c>
      <c r="O59" s="119"/>
      <c r="P59" s="653" t="str">
        <f>IF(O61=Berechnung1!D76,Berechnung1!$F$5,IF(OR(O61&lt; Berechnung1!E76,O61&gt; Berechnung1!F76),Berechnung1!$G$5,IF(OR(O61&lt;Berechnung1!J76,O61&gt;Berechnung1!K76),Berechnung1!$D$5,IF(OR(ROUND(O61,4)&lt;Berechnung1!G76,ROUND(O61,4)&gt;Berechnung1!H76),Berechnung1!$E$5,Berechnung1!$C$5))))</f>
        <v>Unvollständig</v>
      </c>
      <c r="Q59" s="623"/>
      <c r="R59" s="623"/>
    </row>
    <row r="60" spans="1:18" ht="30" customHeight="1" thickBot="1" x14ac:dyDescent="0.3">
      <c r="A60" s="626"/>
      <c r="B60" s="686"/>
      <c r="C60" s="689"/>
      <c r="D60" s="658"/>
      <c r="E60" s="659"/>
      <c r="F60" s="658"/>
      <c r="G60" s="659"/>
      <c r="H60" s="658"/>
      <c r="I60" s="659"/>
      <c r="J60" s="682"/>
      <c r="K60" s="664"/>
      <c r="L60" s="665"/>
      <c r="M60" s="682"/>
      <c r="N60" s="117" t="s">
        <v>152</v>
      </c>
      <c r="O60" s="119"/>
      <c r="P60" s="654"/>
      <c r="Q60" s="624"/>
      <c r="R60" s="708"/>
    </row>
    <row r="61" spans="1:18" ht="30" customHeight="1" thickBot="1" x14ac:dyDescent="0.3">
      <c r="A61" s="627"/>
      <c r="B61" s="687"/>
      <c r="C61" s="690"/>
      <c r="D61" s="660"/>
      <c r="E61" s="661"/>
      <c r="F61" s="660"/>
      <c r="G61" s="661"/>
      <c r="H61" s="660"/>
      <c r="I61" s="661"/>
      <c r="J61" s="683"/>
      <c r="K61" s="666"/>
      <c r="L61" s="667"/>
      <c r="M61" s="683"/>
      <c r="N61" s="117" t="s">
        <v>165</v>
      </c>
      <c r="O61" s="314" t="str">
        <f>IF(O59="","n.d.",IF(O60="","n.d.",IF(O60=0,"",O59/O60)))</f>
        <v>n.d.</v>
      </c>
      <c r="P61" s="655"/>
      <c r="Q61" s="624"/>
      <c r="R61" s="709"/>
    </row>
    <row r="62" spans="1:18" ht="30" customHeight="1" thickBot="1" x14ac:dyDescent="0.3">
      <c r="A62" s="625">
        <v>18</v>
      </c>
      <c r="B62" s="685" t="s">
        <v>1239</v>
      </c>
      <c r="C62" s="694" t="s">
        <v>1176</v>
      </c>
      <c r="D62" s="669" t="s">
        <v>606</v>
      </c>
      <c r="E62" s="657"/>
      <c r="F62" s="669" t="s">
        <v>1534</v>
      </c>
      <c r="G62" s="657"/>
      <c r="H62" s="634" t="s">
        <v>1282</v>
      </c>
      <c r="I62" s="635"/>
      <c r="J62" s="681" t="s">
        <v>256</v>
      </c>
      <c r="K62" s="670" t="s">
        <v>197</v>
      </c>
      <c r="L62" s="663"/>
      <c r="M62" s="681"/>
      <c r="N62" s="117" t="s">
        <v>160</v>
      </c>
      <c r="O62" s="119"/>
      <c r="P62" s="653" t="str">
        <f>IF(O64=Berechnung1!D79,Berechnung1!$F$5,IF(OR(O64&lt; Berechnung1!E79,O64&gt; Berechnung1!F79),Berechnung1!$G$5,IF(OR(O64&lt;Berechnung1!J79,O64&gt;Berechnung1!K79),Berechnung1!$D$5,IF(OR(ROUND(O64,4)&lt;Berechnung1!G79,ROUND(O64,4)&gt;Berechnung1!H79),Berechnung1!$E$5,Berechnung1!$C$5))))</f>
        <v>Unvollständig</v>
      </c>
      <c r="Q62" s="623"/>
      <c r="R62" s="623"/>
    </row>
    <row r="63" spans="1:18" ht="30" customHeight="1" thickBot="1" x14ac:dyDescent="0.3">
      <c r="A63" s="626"/>
      <c r="B63" s="686"/>
      <c r="C63" s="689"/>
      <c r="D63" s="658"/>
      <c r="E63" s="659"/>
      <c r="F63" s="658"/>
      <c r="G63" s="659"/>
      <c r="H63" s="636"/>
      <c r="I63" s="637"/>
      <c r="J63" s="682"/>
      <c r="K63" s="664"/>
      <c r="L63" s="665"/>
      <c r="M63" s="682"/>
      <c r="N63" s="117" t="s">
        <v>152</v>
      </c>
      <c r="O63" s="119"/>
      <c r="P63" s="654"/>
      <c r="Q63" s="624"/>
      <c r="R63" s="624"/>
    </row>
    <row r="64" spans="1:18" ht="30" customHeight="1" thickBot="1" x14ac:dyDescent="0.3">
      <c r="A64" s="627"/>
      <c r="B64" s="687"/>
      <c r="C64" s="690"/>
      <c r="D64" s="660"/>
      <c r="E64" s="661"/>
      <c r="F64" s="660"/>
      <c r="G64" s="661"/>
      <c r="H64" s="638"/>
      <c r="I64" s="639"/>
      <c r="J64" s="683"/>
      <c r="K64" s="666"/>
      <c r="L64" s="667"/>
      <c r="M64" s="683"/>
      <c r="N64" s="117" t="s">
        <v>165</v>
      </c>
      <c r="O64" s="314" t="str">
        <f>IF(O62="","n.d.",IF(O63="","n.d.",IF(O63=0,"",O62/O63)))</f>
        <v>n.d.</v>
      </c>
      <c r="P64" s="655"/>
      <c r="Q64" s="624"/>
      <c r="R64" s="624"/>
    </row>
    <row r="65" spans="1:19" ht="30" customHeight="1" thickBot="1" x14ac:dyDescent="0.3">
      <c r="A65" s="625">
        <v>19</v>
      </c>
      <c r="B65" s="693"/>
      <c r="C65" s="688" t="s">
        <v>179</v>
      </c>
      <c r="D65" s="669" t="s">
        <v>1283</v>
      </c>
      <c r="E65" s="657"/>
      <c r="F65" s="669" t="s">
        <v>1284</v>
      </c>
      <c r="G65" s="657"/>
      <c r="H65" s="634" t="s">
        <v>1285</v>
      </c>
      <c r="I65" s="635"/>
      <c r="J65" s="681" t="s">
        <v>256</v>
      </c>
      <c r="K65" s="670" t="s">
        <v>201</v>
      </c>
      <c r="L65" s="663"/>
      <c r="M65" s="681"/>
      <c r="N65" s="117" t="s">
        <v>160</v>
      </c>
      <c r="O65" s="119"/>
      <c r="P65" s="668" t="str">
        <f>IF(O67=Berechnung1!D82,Berechnung1!$F$5,IF(OR(O67&lt; Berechnung1!E82,O67&gt; Berechnung1!F82),Berechnung1!$G$5,IF(OR(O67&lt;Berechnung1!J82,O67&gt;Berechnung1!K82),Berechnung1!$D$5,IF(OR(ROUND(O67,4)&lt;Berechnung1!G82,ROUND(O67,4)&gt;Berechnung1!H82),Berechnung1!$E$5,Berechnung1!$C$5))))</f>
        <v>Unvollständig</v>
      </c>
      <c r="Q65" s="623"/>
      <c r="R65" s="623"/>
    </row>
    <row r="66" spans="1:19" ht="30" customHeight="1" thickBot="1" x14ac:dyDescent="0.3">
      <c r="A66" s="626"/>
      <c r="B66" s="686"/>
      <c r="C66" s="689"/>
      <c r="D66" s="658"/>
      <c r="E66" s="659"/>
      <c r="F66" s="658"/>
      <c r="G66" s="659"/>
      <c r="H66" s="636"/>
      <c r="I66" s="637"/>
      <c r="J66" s="682"/>
      <c r="K66" s="664"/>
      <c r="L66" s="665"/>
      <c r="M66" s="682"/>
      <c r="N66" s="117" t="s">
        <v>152</v>
      </c>
      <c r="O66" s="118">
        <f>IF(Basisdaten!B28 = "",0,Basisdaten!B28)</f>
        <v>0</v>
      </c>
      <c r="P66" s="668"/>
      <c r="Q66" s="624"/>
      <c r="R66" s="624"/>
    </row>
    <row r="67" spans="1:19" ht="30" customHeight="1" thickBot="1" x14ac:dyDescent="0.3">
      <c r="A67" s="627"/>
      <c r="B67" s="687"/>
      <c r="C67" s="690"/>
      <c r="D67" s="660"/>
      <c r="E67" s="661"/>
      <c r="F67" s="660"/>
      <c r="G67" s="661"/>
      <c r="H67" s="638"/>
      <c r="I67" s="639"/>
      <c r="J67" s="683"/>
      <c r="K67" s="666"/>
      <c r="L67" s="667"/>
      <c r="M67" s="683"/>
      <c r="N67" s="117" t="s">
        <v>165</v>
      </c>
      <c r="O67" s="314" t="str">
        <f>IF(O65="","n.d.",IF(O66="","n.d.",IF(O66=0,"",O65/O66)))</f>
        <v>n.d.</v>
      </c>
      <c r="P67" s="668"/>
      <c r="Q67" s="624"/>
      <c r="R67" s="624"/>
    </row>
    <row r="68" spans="1:19" ht="30" customHeight="1" thickBot="1" x14ac:dyDescent="0.3">
      <c r="A68" s="625">
        <v>20</v>
      </c>
      <c r="B68" s="693"/>
      <c r="C68" s="688" t="s">
        <v>207</v>
      </c>
      <c r="D68" s="656" t="s">
        <v>180</v>
      </c>
      <c r="E68" s="657"/>
      <c r="F68" s="669" t="s">
        <v>1094</v>
      </c>
      <c r="G68" s="657"/>
      <c r="H68" s="634" t="s">
        <v>1826</v>
      </c>
      <c r="I68" s="635"/>
      <c r="J68" s="681"/>
      <c r="K68" s="670" t="s">
        <v>172</v>
      </c>
      <c r="L68" s="663"/>
      <c r="M68" s="681"/>
      <c r="N68" s="117" t="s">
        <v>160</v>
      </c>
      <c r="O68" s="119"/>
      <c r="P68" s="668" t="str">
        <f>IF(O70=Berechnung1!D85,Berechnung1!$F$5,IF(OR(O70&lt; Berechnung1!E85,O70&gt; Berechnung1!F85),Berechnung1!$G$5,IF(OR(ROUND(O70,4)&lt;Berechnung1!J85,ROUND(O70,4)&gt;Berechnung1!K85),Berechnung1!$D$5,IF(OR(ROUND(O70,4)&lt;Berechnung1!G85,ROUND(O70,4)&gt;Berechnung1!H85),Berechnung1!$E$5,Berechnung1!$C$5))))</f>
        <v>Unvollständig</v>
      </c>
      <c r="Q68" s="623"/>
      <c r="R68" s="623"/>
    </row>
    <row r="69" spans="1:19" ht="30" customHeight="1" thickBot="1" x14ac:dyDescent="0.3">
      <c r="A69" s="626"/>
      <c r="B69" s="686"/>
      <c r="C69" s="689"/>
      <c r="D69" s="658"/>
      <c r="E69" s="659"/>
      <c r="F69" s="658"/>
      <c r="G69" s="659"/>
      <c r="H69" s="636"/>
      <c r="I69" s="637"/>
      <c r="J69" s="682"/>
      <c r="K69" s="664"/>
      <c r="L69" s="665"/>
      <c r="M69" s="682"/>
      <c r="N69" s="117" t="s">
        <v>152</v>
      </c>
      <c r="O69" s="118">
        <f>IF(SUM(Basisdaten!$B$30) = "",0,SUM(Basisdaten!$B$30))</f>
        <v>0</v>
      </c>
      <c r="P69" s="668"/>
      <c r="Q69" s="624"/>
      <c r="R69" s="624"/>
    </row>
    <row r="70" spans="1:19" ht="30" customHeight="1" thickBot="1" x14ac:dyDescent="0.3">
      <c r="A70" s="627"/>
      <c r="B70" s="687"/>
      <c r="C70" s="690"/>
      <c r="D70" s="660"/>
      <c r="E70" s="661"/>
      <c r="F70" s="660"/>
      <c r="G70" s="661"/>
      <c r="H70" s="638"/>
      <c r="I70" s="639"/>
      <c r="J70" s="683"/>
      <c r="K70" s="666"/>
      <c r="L70" s="667"/>
      <c r="M70" s="683"/>
      <c r="N70" s="117" t="s">
        <v>165</v>
      </c>
      <c r="O70" s="314" t="str">
        <f>IF(O68="","n.d.",IF(O69="","n.d.",IF(O69=0,"",O68/O69)))</f>
        <v>n.d.</v>
      </c>
      <c r="P70" s="668"/>
      <c r="Q70" s="624"/>
      <c r="R70" s="624"/>
    </row>
    <row r="71" spans="1:19" ht="30" customHeight="1" thickBot="1" x14ac:dyDescent="0.3">
      <c r="A71" s="625">
        <v>21</v>
      </c>
      <c r="B71" s="685" t="s">
        <v>1239</v>
      </c>
      <c r="C71" s="688" t="s">
        <v>181</v>
      </c>
      <c r="D71" s="656" t="s">
        <v>182</v>
      </c>
      <c r="E71" s="657"/>
      <c r="F71" s="669" t="s">
        <v>1286</v>
      </c>
      <c r="G71" s="657"/>
      <c r="H71" s="634" t="s">
        <v>1535</v>
      </c>
      <c r="I71" s="635"/>
      <c r="J71" s="753"/>
      <c r="K71" s="643" t="s">
        <v>172</v>
      </c>
      <c r="L71" s="644"/>
      <c r="M71" s="752"/>
      <c r="N71" s="117" t="s">
        <v>160</v>
      </c>
      <c r="O71" s="119"/>
      <c r="P71" s="653" t="str">
        <f>IF(O73=Berechnung1!D88,Berechnung1!$F$5,IF(OR(O73&lt; Berechnung1!E88,O73&gt; Berechnung1!F88),Berechnung1!$G$5,IF(OR(ROUND(O73,4)&lt;Berechnung1!J88,ROUND(O73,4)&gt;Berechnung1!K88),Berechnung1!$D$5,IF(OR(ROUND(O73,4)&lt;Berechnung1!G88,ROUND(O73,4)&gt;Berechnung1!H88),Berechnung1!$E$5,Berechnung1!$C$5))))</f>
        <v>Unvollständig</v>
      </c>
      <c r="Q71" s="623"/>
      <c r="R71" s="623"/>
    </row>
    <row r="72" spans="1:19" ht="30" customHeight="1" thickBot="1" x14ac:dyDescent="0.3">
      <c r="A72" s="626"/>
      <c r="B72" s="686"/>
      <c r="C72" s="689"/>
      <c r="D72" s="658"/>
      <c r="E72" s="659"/>
      <c r="F72" s="658"/>
      <c r="G72" s="659"/>
      <c r="H72" s="636"/>
      <c r="I72" s="637"/>
      <c r="J72" s="682"/>
      <c r="K72" s="645"/>
      <c r="L72" s="646"/>
      <c r="M72" s="682"/>
      <c r="N72" s="117" t="s">
        <v>152</v>
      </c>
      <c r="O72" s="119"/>
      <c r="P72" s="654"/>
      <c r="Q72" s="624"/>
      <c r="R72" s="624"/>
    </row>
    <row r="73" spans="1:19" ht="30" customHeight="1" thickBot="1" x14ac:dyDescent="0.3">
      <c r="A73" s="627"/>
      <c r="B73" s="687"/>
      <c r="C73" s="690"/>
      <c r="D73" s="660"/>
      <c r="E73" s="661"/>
      <c r="F73" s="660"/>
      <c r="G73" s="661"/>
      <c r="H73" s="638"/>
      <c r="I73" s="639"/>
      <c r="J73" s="683"/>
      <c r="K73" s="647"/>
      <c r="L73" s="648"/>
      <c r="M73" s="683"/>
      <c r="N73" s="117" t="s">
        <v>165</v>
      </c>
      <c r="O73" s="314" t="str">
        <f>IF(O71="","n.d.",IF(O72="","n.d.",IF(O72=0,"",O71/O72)))</f>
        <v>n.d.</v>
      </c>
      <c r="P73" s="655"/>
      <c r="Q73" s="624"/>
      <c r="R73" s="624"/>
    </row>
    <row r="74" spans="1:19" ht="65.25" customHeight="1" thickBot="1" x14ac:dyDescent="0.3">
      <c r="A74" s="628" t="s">
        <v>1383</v>
      </c>
      <c r="B74" s="620"/>
      <c r="C74" s="631" t="s">
        <v>1240</v>
      </c>
      <c r="D74" s="634" t="s">
        <v>1241</v>
      </c>
      <c r="E74" s="635"/>
      <c r="F74" s="634" t="s">
        <v>1287</v>
      </c>
      <c r="G74" s="635"/>
      <c r="H74" s="634" t="s">
        <v>1366</v>
      </c>
      <c r="I74" s="635"/>
      <c r="J74" s="640" t="s">
        <v>255</v>
      </c>
      <c r="K74" s="643" t="s">
        <v>167</v>
      </c>
      <c r="L74" s="644"/>
      <c r="M74" s="640"/>
      <c r="N74" s="258" t="s">
        <v>160</v>
      </c>
      <c r="O74" s="259"/>
      <c r="P74" s="620" t="str">
        <f>IF(AND(O74&lt;&gt;"",O75&lt;&gt;"",O74=0,O75=0),Berechnung1!$H$5,IF(OR(O74="",O75=""),Berechnung1!$F$5,IF(AND(O74=0,O75=0),Berechnung1!$D$5,IF(O76=Berechnung1!D91,Berechnung1!$F$5,IF(OR(O76&lt;Berechnung1!E91,O76&gt;Berechnung1!F91),Berechnung1!$G$5,IF(OR(ROUND(O76,4)&lt;Berechnung1!J91,ROUND(O76,4)&gt;Berechnung1!K91),Berechnung1!$D$5,IF(OR(ROUND(O76,4)&lt;Berechnung1!G91,ROUND(O76,4)&gt;Berechnung1!H91),Berechnung1!$E$5,Berechnung1!$C$5)))))))</f>
        <v>Unvollständig</v>
      </c>
      <c r="Q74" s="710"/>
      <c r="R74" s="623"/>
    </row>
    <row r="75" spans="1:19" ht="65.25" customHeight="1" thickBot="1" x14ac:dyDescent="0.3">
      <c r="A75" s="629"/>
      <c r="B75" s="691"/>
      <c r="C75" s="632"/>
      <c r="D75" s="636"/>
      <c r="E75" s="637"/>
      <c r="F75" s="636"/>
      <c r="G75" s="637"/>
      <c r="H75" s="636"/>
      <c r="I75" s="637"/>
      <c r="J75" s="641"/>
      <c r="K75" s="645"/>
      <c r="L75" s="646"/>
      <c r="M75" s="641"/>
      <c r="N75" s="258" t="s">
        <v>152</v>
      </c>
      <c r="O75" s="259"/>
      <c r="P75" s="621"/>
      <c r="Q75" s="624"/>
      <c r="R75" s="624"/>
      <c r="S75" s="320">
        <f>IF(AND(Basisdaten!H28="",Basisdaten!C30=""),0,Basisdaten!H28-Basisdaten!C30)</f>
        <v>0</v>
      </c>
    </row>
    <row r="76" spans="1:19" ht="65.25" customHeight="1" thickBot="1" x14ac:dyDescent="0.3">
      <c r="A76" s="629"/>
      <c r="B76" s="691"/>
      <c r="C76" s="632"/>
      <c r="D76" s="636"/>
      <c r="E76" s="637"/>
      <c r="F76" s="636"/>
      <c r="G76" s="637"/>
      <c r="H76" s="636"/>
      <c r="I76" s="637"/>
      <c r="J76" s="641"/>
      <c r="K76" s="645"/>
      <c r="L76" s="646"/>
      <c r="M76" s="641"/>
      <c r="N76" s="479" t="s">
        <v>165</v>
      </c>
      <c r="O76" s="480" t="str">
        <f>IF(O74="","n.d.",IF(O75="","n.d.",IF(O75=0,"",O74/O75)))</f>
        <v>n.d.</v>
      </c>
      <c r="P76" s="621"/>
      <c r="Q76" s="765"/>
      <c r="R76" s="765"/>
    </row>
    <row r="77" spans="1:19" ht="30" customHeight="1" thickBot="1" x14ac:dyDescent="0.3">
      <c r="A77" s="628" t="s">
        <v>1384</v>
      </c>
      <c r="B77" s="776"/>
      <c r="C77" s="631" t="s">
        <v>1242</v>
      </c>
      <c r="D77" s="634" t="s">
        <v>1095</v>
      </c>
      <c r="E77" s="635"/>
      <c r="F77" s="634" t="s">
        <v>1377</v>
      </c>
      <c r="G77" s="635"/>
      <c r="H77" s="634" t="s">
        <v>87</v>
      </c>
      <c r="I77" s="635"/>
      <c r="J77" s="640"/>
      <c r="K77" s="643" t="s">
        <v>167</v>
      </c>
      <c r="L77" s="644"/>
      <c r="M77" s="640"/>
      <c r="N77" s="628" t="s">
        <v>151</v>
      </c>
      <c r="O77" s="673"/>
      <c r="P77" s="620" t="str">
        <f>IF(O77="",Berechnung1!F5,IF(O77=Berechnung1!D94,Berechnung1!$F$5,IF(OR(O77&lt;Berechnung1!E94,O77&gt;Berechnung1!F94),Berechnung1!$G$5,IF(OR(ROUND(O77,4)&lt;Berechnung1!J94,ROUND(O77,4)&gt;Berechnung1!K94),Berechnung1!$D$5,IF(OR(ROUND(O77,4)&lt;Berechnung1!G94,ROUND(O77,4)&gt;Berechnung1!H94),Berechnung1!$E$5,Berechnung1!$C$5)))))</f>
        <v>Unvollständig</v>
      </c>
      <c r="Q77" s="710"/>
      <c r="R77" s="623"/>
    </row>
    <row r="78" spans="1:19" ht="30" customHeight="1" thickBot="1" x14ac:dyDescent="0.3">
      <c r="A78" s="629"/>
      <c r="B78" s="691"/>
      <c r="C78" s="632"/>
      <c r="D78" s="636"/>
      <c r="E78" s="637"/>
      <c r="F78" s="636"/>
      <c r="G78" s="637"/>
      <c r="H78" s="636"/>
      <c r="I78" s="637"/>
      <c r="J78" s="641"/>
      <c r="K78" s="645"/>
      <c r="L78" s="646"/>
      <c r="M78" s="641"/>
      <c r="N78" s="671"/>
      <c r="O78" s="674"/>
      <c r="P78" s="621"/>
      <c r="Q78" s="624"/>
      <c r="R78" s="624"/>
    </row>
    <row r="79" spans="1:19" ht="30" customHeight="1" thickBot="1" x14ac:dyDescent="0.3">
      <c r="A79" s="629"/>
      <c r="B79" s="692"/>
      <c r="C79" s="632"/>
      <c r="D79" s="636"/>
      <c r="E79" s="637"/>
      <c r="F79" s="636"/>
      <c r="G79" s="637"/>
      <c r="H79" s="636"/>
      <c r="I79" s="637"/>
      <c r="J79" s="642"/>
      <c r="K79" s="645"/>
      <c r="L79" s="646"/>
      <c r="M79" s="642"/>
      <c r="N79" s="672"/>
      <c r="O79" s="675"/>
      <c r="P79" s="622"/>
      <c r="Q79" s="765"/>
      <c r="R79" s="765"/>
    </row>
    <row r="80" spans="1:19" ht="30" customHeight="1" thickBot="1" x14ac:dyDescent="0.3">
      <c r="A80" s="628" t="s">
        <v>1385</v>
      </c>
      <c r="B80" s="776"/>
      <c r="C80" s="631" t="s">
        <v>1270</v>
      </c>
      <c r="D80" s="634" t="s">
        <v>87</v>
      </c>
      <c r="E80" s="635"/>
      <c r="F80" s="634" t="s">
        <v>1378</v>
      </c>
      <c r="G80" s="635"/>
      <c r="H80" s="634" t="s">
        <v>87</v>
      </c>
      <c r="I80" s="635"/>
      <c r="J80" s="640"/>
      <c r="K80" s="643" t="s">
        <v>167</v>
      </c>
      <c r="L80" s="644"/>
      <c r="M80" s="640"/>
      <c r="N80" s="628" t="s">
        <v>151</v>
      </c>
      <c r="O80" s="676">
        <f>IF(AND(O74&lt;&gt;"",O77&lt;&gt;"")=TRUE,O74-O77,0)</f>
        <v>0</v>
      </c>
      <c r="P80" s="620" t="str">
        <f>IF(OR(O74="",O77=""),Berechnung1!F5,IF(AND(O80=Berechnung1!D97,ISBLANK(O77)=FALSE)=TRUE,Berechnung1!$C$5,IF(O80=Berechnung1!D97,Berechnung1!$D$5,IF(OR(O80&lt;Berechnung1!E97,O80&gt;Berechnung1!F97),Berechnung1!$G$5,IF(OR(ROUND(O80,4)&lt;Berechnung1!J97,ROUND(O80,4)&gt;Berechnung1!K97),Berechnung1!$D$5,IF(OR(ROUND(O80,4)&lt;Berechnung1!G97,ROUND(O80,4)&gt;Berechnung1!H97),Berechnung1!$E$5,Berechnung1!$C$5))))))</f>
        <v>Unvollständig</v>
      </c>
      <c r="Q80" s="623"/>
      <c r="R80" s="623"/>
    </row>
    <row r="81" spans="1:19" ht="30" customHeight="1" thickBot="1" x14ac:dyDescent="0.3">
      <c r="A81" s="629"/>
      <c r="B81" s="691"/>
      <c r="C81" s="632"/>
      <c r="D81" s="636"/>
      <c r="E81" s="637"/>
      <c r="F81" s="636"/>
      <c r="G81" s="637"/>
      <c r="H81" s="636"/>
      <c r="I81" s="637"/>
      <c r="J81" s="641"/>
      <c r="K81" s="645"/>
      <c r="L81" s="646"/>
      <c r="M81" s="641"/>
      <c r="N81" s="671"/>
      <c r="O81" s="677"/>
      <c r="P81" s="621"/>
      <c r="Q81" s="624"/>
      <c r="R81" s="624"/>
    </row>
    <row r="82" spans="1:19" ht="30" customHeight="1" thickBot="1" x14ac:dyDescent="0.3">
      <c r="A82" s="629"/>
      <c r="B82" s="692"/>
      <c r="C82" s="632"/>
      <c r="D82" s="636"/>
      <c r="E82" s="637"/>
      <c r="F82" s="636"/>
      <c r="G82" s="637"/>
      <c r="H82" s="636"/>
      <c r="I82" s="637"/>
      <c r="J82" s="642"/>
      <c r="K82" s="645"/>
      <c r="L82" s="646"/>
      <c r="M82" s="642"/>
      <c r="N82" s="672"/>
      <c r="O82" s="678"/>
      <c r="P82" s="622"/>
      <c r="Q82" s="765"/>
      <c r="R82" s="765"/>
    </row>
    <row r="83" spans="1:19" ht="30" customHeight="1" thickBot="1" x14ac:dyDescent="0.3">
      <c r="A83" s="625">
        <v>23</v>
      </c>
      <c r="B83" s="685" t="s">
        <v>1239</v>
      </c>
      <c r="C83" s="688" t="s">
        <v>183</v>
      </c>
      <c r="D83" s="669" t="s">
        <v>1288</v>
      </c>
      <c r="E83" s="657"/>
      <c r="F83" s="669" t="s">
        <v>1289</v>
      </c>
      <c r="G83" s="657"/>
      <c r="H83" s="669" t="s">
        <v>1290</v>
      </c>
      <c r="I83" s="657"/>
      <c r="J83" s="681"/>
      <c r="K83" s="662" t="s">
        <v>196</v>
      </c>
      <c r="L83" s="663"/>
      <c r="M83" s="684"/>
      <c r="N83" s="117" t="s">
        <v>160</v>
      </c>
      <c r="O83" s="119"/>
      <c r="P83" s="620" t="str">
        <f>IF(AND(O83&lt;&gt;"",O84&lt;&gt;"",O83=0,O84=0),Berechnung1!$H$5,IF(O85=Berechnung1!D100,Berechnung1!$F$5,IF(OR(O85&lt;Berechnung1!E100,O85&gt;Berechnung1!F100),Berechnung1!$G$5,IF(OR(ROUND(O85,4)&lt;Berechnung1!J100,ROUND(O85,4)&gt;Berechnung1!K100),Berechnung1!$D$5,IF(OR(ROUND(O85,4)&lt;Berechnung1!G100,ROUND(O85,4)&gt;Berechnung1!H100),Berechnung1!$E$5,Berechnung1!$C$5)))))</f>
        <v>Unvollständig</v>
      </c>
      <c r="Q83" s="710"/>
      <c r="R83" s="623"/>
    </row>
    <row r="84" spans="1:19" ht="30" customHeight="1" thickBot="1" x14ac:dyDescent="0.3">
      <c r="A84" s="626"/>
      <c r="B84" s="686"/>
      <c r="C84" s="689"/>
      <c r="D84" s="658"/>
      <c r="E84" s="659"/>
      <c r="F84" s="658"/>
      <c r="G84" s="659"/>
      <c r="H84" s="658"/>
      <c r="I84" s="659"/>
      <c r="J84" s="682"/>
      <c r="K84" s="664"/>
      <c r="L84" s="665"/>
      <c r="M84" s="682"/>
      <c r="N84" s="117" t="s">
        <v>152</v>
      </c>
      <c r="O84" s="119"/>
      <c r="P84" s="621"/>
      <c r="Q84" s="624"/>
      <c r="R84" s="624"/>
    </row>
    <row r="85" spans="1:19" ht="30" customHeight="1" thickBot="1" x14ac:dyDescent="0.3">
      <c r="A85" s="627"/>
      <c r="B85" s="687"/>
      <c r="C85" s="690"/>
      <c r="D85" s="660"/>
      <c r="E85" s="661"/>
      <c r="F85" s="660"/>
      <c r="G85" s="661"/>
      <c r="H85" s="660"/>
      <c r="I85" s="661"/>
      <c r="J85" s="683"/>
      <c r="K85" s="666"/>
      <c r="L85" s="667"/>
      <c r="M85" s="683"/>
      <c r="N85" s="117" t="s">
        <v>165</v>
      </c>
      <c r="O85" s="314" t="str">
        <f>IF(O83="","n.d.",IF(O84="","n.d.",IF(O84=0,"",O83/O84)))</f>
        <v>n.d.</v>
      </c>
      <c r="P85" s="622"/>
      <c r="Q85" s="624"/>
      <c r="R85" s="624"/>
    </row>
    <row r="86" spans="1:19" ht="34.5" customHeight="1" thickBot="1" x14ac:dyDescent="0.3">
      <c r="A86" s="628">
        <v>24</v>
      </c>
      <c r="B86" s="620" t="s">
        <v>1239</v>
      </c>
      <c r="C86" s="631" t="s">
        <v>1096</v>
      </c>
      <c r="D86" s="634" t="s">
        <v>1097</v>
      </c>
      <c r="E86" s="768"/>
      <c r="F86" s="634" t="s">
        <v>1291</v>
      </c>
      <c r="G86" s="768"/>
      <c r="H86" s="634" t="s">
        <v>1292</v>
      </c>
      <c r="I86" s="768"/>
      <c r="J86" s="640" t="s">
        <v>1092</v>
      </c>
      <c r="K86" s="643" t="s">
        <v>167</v>
      </c>
      <c r="L86" s="644"/>
      <c r="M86" s="649"/>
      <c r="N86" s="258" t="s">
        <v>160</v>
      </c>
      <c r="O86" s="259"/>
      <c r="P86" s="620" t="str">
        <f>IF(AND(O86&lt;&gt;"",O87&lt;&gt;"",O86=0,O87=0),Berechnung1!$H$5,IF(OR(O86="",O87=""),Berechnung1!$F$5,IF(AND(O86=0,O87=0),Berechnung1!$D$5,IF(O88=Berechnung1!D103,Berechnung1!$F$5,IF(OR(O88&lt;Berechnung1!E103,O88&gt;Berechnung1!F103),Berechnung1!$G$5,IF(OR(ROUND(O88,4)&lt;Berechnung1!J103,ROUND(O88,4)&gt;Berechnung1!K103),Berechnung1!$D$5,IF(OR(ROUND(O88,4)&lt;Berechnung1!G103,ROUND(O88,4)&gt;Berechnung1!H103),Berechnung1!$E$5,Berechnung1!$C$5)))))))</f>
        <v>Unvollständig</v>
      </c>
      <c r="Q86" s="623"/>
      <c r="R86" s="623"/>
    </row>
    <row r="87" spans="1:19" ht="34.5" customHeight="1" thickBot="1" x14ac:dyDescent="0.3">
      <c r="A87" s="671"/>
      <c r="B87" s="621"/>
      <c r="C87" s="766"/>
      <c r="D87" s="769"/>
      <c r="E87" s="770"/>
      <c r="F87" s="769"/>
      <c r="G87" s="770"/>
      <c r="H87" s="769"/>
      <c r="I87" s="770"/>
      <c r="J87" s="641"/>
      <c r="K87" s="645"/>
      <c r="L87" s="646"/>
      <c r="M87" s="679"/>
      <c r="N87" s="258" t="s">
        <v>152</v>
      </c>
      <c r="O87" s="259"/>
      <c r="P87" s="621"/>
      <c r="Q87" s="708"/>
      <c r="R87" s="708"/>
    </row>
    <row r="88" spans="1:19" ht="34.5" customHeight="1" thickBot="1" x14ac:dyDescent="0.3">
      <c r="A88" s="672"/>
      <c r="B88" s="622"/>
      <c r="C88" s="767"/>
      <c r="D88" s="771"/>
      <c r="E88" s="772"/>
      <c r="F88" s="771"/>
      <c r="G88" s="772"/>
      <c r="H88" s="771"/>
      <c r="I88" s="772"/>
      <c r="J88" s="642"/>
      <c r="K88" s="647"/>
      <c r="L88" s="648"/>
      <c r="M88" s="680"/>
      <c r="N88" s="258" t="s">
        <v>165</v>
      </c>
      <c r="O88" s="315" t="str">
        <f>IF(O86="","n.d.",IF(O87="","n.d.",IF(O87=0,"",O86/O87)))</f>
        <v>n.d.</v>
      </c>
      <c r="P88" s="622"/>
      <c r="Q88" s="709"/>
      <c r="R88" s="709"/>
    </row>
    <row r="89" spans="1:19" ht="30" customHeight="1" thickBot="1" x14ac:dyDescent="0.3">
      <c r="A89" s="625">
        <v>25</v>
      </c>
      <c r="B89" s="685" t="s">
        <v>1239</v>
      </c>
      <c r="C89" s="688" t="s">
        <v>202</v>
      </c>
      <c r="D89" s="669" t="s">
        <v>1293</v>
      </c>
      <c r="E89" s="657"/>
      <c r="F89" s="669" t="s">
        <v>1294</v>
      </c>
      <c r="G89" s="657"/>
      <c r="H89" s="634" t="s">
        <v>1379</v>
      </c>
      <c r="I89" s="635"/>
      <c r="J89" s="640"/>
      <c r="K89" s="643" t="s">
        <v>1098</v>
      </c>
      <c r="L89" s="644"/>
      <c r="M89" s="649"/>
      <c r="N89" s="117" t="s">
        <v>160</v>
      </c>
      <c r="O89" s="119"/>
      <c r="P89" s="620" t="str">
        <f>IF(O91=Berechnung1!D106,Berechnung1!$F$5,IF(OR(O91&lt; Berechnung1!E106,O91&gt; Berechnung1!F106),Berechnung1!$G$5,IF(OR(ROUND(O91,4)&lt;Berechnung1!J106,ROUND(O91,4)&gt;Berechnung1!K106),Berechnung1!$D$5,IF(OR(ROUND(O91,4)&lt;Berechnung1!G106,ROUND(O91,4)&gt;Berechnung1!H106),Berechnung1!$E$5,Berechnung1!$C$5))))</f>
        <v>Unvollständig</v>
      </c>
      <c r="Q89" s="710"/>
      <c r="R89" s="623"/>
    </row>
    <row r="90" spans="1:19" ht="30" customHeight="1" thickBot="1" x14ac:dyDescent="0.3">
      <c r="A90" s="626"/>
      <c r="B90" s="686"/>
      <c r="C90" s="689"/>
      <c r="D90" s="658"/>
      <c r="E90" s="659"/>
      <c r="F90" s="658"/>
      <c r="G90" s="659"/>
      <c r="H90" s="636"/>
      <c r="I90" s="637"/>
      <c r="J90" s="641"/>
      <c r="K90" s="645"/>
      <c r="L90" s="646"/>
      <c r="M90" s="641"/>
      <c r="N90" s="117" t="s">
        <v>152</v>
      </c>
      <c r="O90" s="119"/>
      <c r="P90" s="621"/>
      <c r="Q90" s="624"/>
      <c r="R90" s="624"/>
    </row>
    <row r="91" spans="1:19" ht="30" customHeight="1" thickBot="1" x14ac:dyDescent="0.3">
      <c r="A91" s="627"/>
      <c r="B91" s="687"/>
      <c r="C91" s="690"/>
      <c r="D91" s="660"/>
      <c r="E91" s="661"/>
      <c r="F91" s="660"/>
      <c r="G91" s="661"/>
      <c r="H91" s="638"/>
      <c r="I91" s="639"/>
      <c r="J91" s="642"/>
      <c r="K91" s="647"/>
      <c r="L91" s="648"/>
      <c r="M91" s="642"/>
      <c r="N91" s="117" t="s">
        <v>165</v>
      </c>
      <c r="O91" s="314" t="str">
        <f>IF(O89="","n.d.",IF(O90="","n.d.",IF(O90=0,"",O89/O90)))</f>
        <v>n.d.</v>
      </c>
      <c r="P91" s="622"/>
      <c r="Q91" s="624"/>
      <c r="R91" s="624"/>
    </row>
    <row r="92" spans="1:19" s="121" customFormat="1" ht="62.25" customHeight="1" thickBot="1" x14ac:dyDescent="0.25">
      <c r="A92" s="628">
        <v>26</v>
      </c>
      <c r="B92" s="620" t="s">
        <v>1239</v>
      </c>
      <c r="C92" s="631" t="s">
        <v>1099</v>
      </c>
      <c r="D92" s="634" t="s">
        <v>1100</v>
      </c>
      <c r="E92" s="635"/>
      <c r="F92" s="634" t="s">
        <v>1295</v>
      </c>
      <c r="G92" s="635"/>
      <c r="H92" s="634" t="s">
        <v>1296</v>
      </c>
      <c r="I92" s="635"/>
      <c r="J92" s="640"/>
      <c r="K92" s="643" t="s">
        <v>194</v>
      </c>
      <c r="L92" s="644"/>
      <c r="M92" s="649"/>
      <c r="N92" s="258" t="s">
        <v>160</v>
      </c>
      <c r="O92" s="259"/>
      <c r="P92" s="620" t="str">
        <f>IF(O94=Berechnung1!D109,Berechnung1!$F$5,IF(OR(O94&lt; Berechnung1!E109,O94&gt; Berechnung1!F109),Berechnung1!$G$5,IF(OR(ROUND(O94,4)&lt;Berechnung1!J109,ROUND(O94,4)&gt;Berechnung1!K109),Berechnung1!$D$5,IF(OR(ROUND(O94,4)&lt;Berechnung1!G109,ROUND(O94,4)&gt;Berechnung1!H109),Berechnung1!$E$5,Berechnung1!$C$5))))</f>
        <v>Unvollständig</v>
      </c>
      <c r="Q92" s="724"/>
      <c r="R92" s="724"/>
      <c r="S92" s="321"/>
    </row>
    <row r="93" spans="1:19" s="121" customFormat="1" ht="62.25" customHeight="1" thickBot="1" x14ac:dyDescent="0.25">
      <c r="A93" s="629"/>
      <c r="B93" s="691"/>
      <c r="C93" s="632"/>
      <c r="D93" s="636"/>
      <c r="E93" s="637"/>
      <c r="F93" s="636"/>
      <c r="G93" s="637"/>
      <c r="H93" s="636"/>
      <c r="I93" s="637"/>
      <c r="J93" s="641"/>
      <c r="K93" s="645"/>
      <c r="L93" s="646"/>
      <c r="M93" s="641"/>
      <c r="N93" s="258" t="s">
        <v>152</v>
      </c>
      <c r="O93" s="259"/>
      <c r="P93" s="621"/>
      <c r="Q93" s="624"/>
      <c r="R93" s="624"/>
      <c r="S93" s="321"/>
    </row>
    <row r="94" spans="1:19" s="121" customFormat="1" ht="62.25" customHeight="1" thickBot="1" x14ac:dyDescent="0.25">
      <c r="A94" s="630"/>
      <c r="B94" s="692"/>
      <c r="C94" s="633"/>
      <c r="D94" s="638"/>
      <c r="E94" s="639"/>
      <c r="F94" s="638"/>
      <c r="G94" s="639"/>
      <c r="H94" s="638"/>
      <c r="I94" s="639"/>
      <c r="J94" s="642"/>
      <c r="K94" s="647"/>
      <c r="L94" s="648"/>
      <c r="M94" s="642"/>
      <c r="N94" s="258" t="s">
        <v>165</v>
      </c>
      <c r="O94" s="315" t="str">
        <f>IF(O92="","n.d.",IF(O93="","n.d.",IF(O93=0,"",O92/O93)))</f>
        <v>n.d.</v>
      </c>
      <c r="P94" s="622"/>
      <c r="Q94" s="624"/>
      <c r="R94" s="624"/>
      <c r="S94" s="321"/>
    </row>
    <row r="95" spans="1:19" ht="30" customHeight="1" thickBot="1" x14ac:dyDescent="0.3">
      <c r="A95" s="625">
        <v>27</v>
      </c>
      <c r="B95" s="685"/>
      <c r="C95" s="694" t="s">
        <v>1101</v>
      </c>
      <c r="D95" s="669" t="s">
        <v>1297</v>
      </c>
      <c r="E95" s="657"/>
      <c r="F95" s="669" t="s">
        <v>1298</v>
      </c>
      <c r="G95" s="657"/>
      <c r="H95" s="634" t="s">
        <v>1299</v>
      </c>
      <c r="I95" s="635"/>
      <c r="J95" s="681"/>
      <c r="K95" s="662" t="s">
        <v>184</v>
      </c>
      <c r="L95" s="663"/>
      <c r="M95" s="684"/>
      <c r="N95" s="117" t="s">
        <v>160</v>
      </c>
      <c r="O95" s="119"/>
      <c r="P95" s="668" t="str">
        <f>IF(O97=Berechnung1!D112,Berechnung1!$F$5,IF(OR(O97&lt; Berechnung1!E112,O97&gt; Berechnung1!F112),Berechnung1!$G$5,IF(OR(ROUND(O97,4)&lt;Berechnung1!J112,ROUND(O97,4)&gt;Berechnung1!K112),Berechnung1!$D$5,IF(OR(ROUND(O97,4)&lt;Berechnung1!G112,ROUND(O97,4)&gt;Berechnung1!H112),Berechnung1!$E$5,Berechnung1!$C$5))))</f>
        <v>Unvollständig</v>
      </c>
      <c r="Q95" s="623"/>
      <c r="R95" s="623"/>
    </row>
    <row r="96" spans="1:19" ht="30" customHeight="1" thickBot="1" x14ac:dyDescent="0.3">
      <c r="A96" s="626"/>
      <c r="B96" s="686"/>
      <c r="C96" s="689"/>
      <c r="D96" s="658"/>
      <c r="E96" s="659"/>
      <c r="F96" s="658"/>
      <c r="G96" s="659"/>
      <c r="H96" s="636"/>
      <c r="I96" s="637"/>
      <c r="J96" s="682"/>
      <c r="K96" s="664"/>
      <c r="L96" s="665"/>
      <c r="M96" s="682"/>
      <c r="N96" s="117" t="s">
        <v>152</v>
      </c>
      <c r="O96" s="119"/>
      <c r="P96" s="668"/>
      <c r="Q96" s="624"/>
      <c r="R96" s="624"/>
    </row>
    <row r="97" spans="1:18" ht="30" customHeight="1" thickBot="1" x14ac:dyDescent="0.3">
      <c r="A97" s="627"/>
      <c r="B97" s="687"/>
      <c r="C97" s="690"/>
      <c r="D97" s="660"/>
      <c r="E97" s="661"/>
      <c r="F97" s="660"/>
      <c r="G97" s="661"/>
      <c r="H97" s="638"/>
      <c r="I97" s="639"/>
      <c r="J97" s="683"/>
      <c r="K97" s="666"/>
      <c r="L97" s="667"/>
      <c r="M97" s="683"/>
      <c r="N97" s="117" t="s">
        <v>165</v>
      </c>
      <c r="O97" s="314" t="str">
        <f>IF(O95="","n.d.",IF(O96="","n.d.",IF(O96=0,"",O95/O96)))</f>
        <v>n.d.</v>
      </c>
      <c r="P97" s="668"/>
      <c r="Q97" s="624"/>
      <c r="R97" s="624"/>
    </row>
    <row r="98" spans="1:18" ht="30" customHeight="1" thickBot="1" x14ac:dyDescent="0.3">
      <c r="A98" s="625">
        <v>28</v>
      </c>
      <c r="B98" s="628"/>
      <c r="C98" s="631" t="s">
        <v>643</v>
      </c>
      <c r="D98" s="634" t="s">
        <v>644</v>
      </c>
      <c r="E98" s="635"/>
      <c r="F98" s="634" t="s">
        <v>1300</v>
      </c>
      <c r="G98" s="635"/>
      <c r="H98" s="634" t="s">
        <v>1380</v>
      </c>
      <c r="I98" s="635"/>
      <c r="J98" s="640"/>
      <c r="K98" s="643" t="s">
        <v>1527</v>
      </c>
      <c r="L98" s="644"/>
      <c r="M98" s="649"/>
      <c r="N98" s="258" t="s">
        <v>160</v>
      </c>
      <c r="O98" s="259"/>
      <c r="P98" s="620" t="str">
        <f>IF(AND(O98&lt;&gt;"",O99&lt;&gt;"",O98=0,O99=0),Berechnung1!$H$5,IF(O100=Berechnung1!D115,Berechnung1!$F$5,IF(OR(O100&lt;Berechnung1!E115,O100&gt;Berechnung1!F115),Berechnung1!$G$5,IF(OR(ROUND(O100,4)&lt;Berechnung1!J115,ROUND(O100,4)&gt;Berechnung1!K115),Berechnung1!$D$5,IF(OR(ROUND(O100,4)&lt;Berechnung1!G115,ROUND(O100,4)&gt;Berechnung1!H115),Berechnung1!$E$5,Berechnung1!$C$5)))))</f>
        <v>Unvollständig</v>
      </c>
      <c r="Q98" s="623"/>
      <c r="R98" s="623"/>
    </row>
    <row r="99" spans="1:18" ht="30" customHeight="1" thickBot="1" x14ac:dyDescent="0.3">
      <c r="A99" s="626"/>
      <c r="B99" s="629"/>
      <c r="C99" s="632"/>
      <c r="D99" s="636"/>
      <c r="E99" s="637"/>
      <c r="F99" s="636"/>
      <c r="G99" s="637"/>
      <c r="H99" s="636"/>
      <c r="I99" s="637"/>
      <c r="J99" s="641"/>
      <c r="K99" s="645"/>
      <c r="L99" s="646"/>
      <c r="M99" s="641"/>
      <c r="N99" s="258" t="s">
        <v>152</v>
      </c>
      <c r="O99" s="371">
        <f>IF(O83="",0,O83)</f>
        <v>0</v>
      </c>
      <c r="P99" s="621"/>
      <c r="Q99" s="624"/>
      <c r="R99" s="624"/>
    </row>
    <row r="100" spans="1:18" ht="30" customHeight="1" thickBot="1" x14ac:dyDescent="0.3">
      <c r="A100" s="627"/>
      <c r="B100" s="630"/>
      <c r="C100" s="633"/>
      <c r="D100" s="638"/>
      <c r="E100" s="639"/>
      <c r="F100" s="638"/>
      <c r="G100" s="639"/>
      <c r="H100" s="638"/>
      <c r="I100" s="639"/>
      <c r="J100" s="642"/>
      <c r="K100" s="647"/>
      <c r="L100" s="648"/>
      <c r="M100" s="642"/>
      <c r="N100" s="258" t="s">
        <v>165</v>
      </c>
      <c r="O100" s="315" t="str">
        <f>IF(O98="","n.d.",IF(O99="","n.d.",IF(O99=0,"",O98/O99)))</f>
        <v>n.d.</v>
      </c>
      <c r="P100" s="622"/>
      <c r="Q100" s="624"/>
      <c r="R100" s="624"/>
    </row>
    <row r="101" spans="1:18" ht="30" customHeight="1" thickBot="1" x14ac:dyDescent="0.3">
      <c r="A101" s="628">
        <v>29</v>
      </c>
      <c r="B101" s="628"/>
      <c r="C101" s="631" t="s">
        <v>1389</v>
      </c>
      <c r="D101" s="634" t="s">
        <v>1243</v>
      </c>
      <c r="E101" s="635"/>
      <c r="F101" s="634" t="s">
        <v>1382</v>
      </c>
      <c r="G101" s="635"/>
      <c r="H101" s="634" t="s">
        <v>1381</v>
      </c>
      <c r="I101" s="635"/>
      <c r="J101" s="640"/>
      <c r="K101" s="643" t="s">
        <v>167</v>
      </c>
      <c r="L101" s="644"/>
      <c r="M101" s="649" t="s">
        <v>1244</v>
      </c>
      <c r="N101" s="258" t="s">
        <v>160</v>
      </c>
      <c r="O101" s="259"/>
      <c r="P101" s="801" t="str">
        <f>IF(O103=Berechnung1!D118,Berechnung1!$F$5,IF(OR(O103&lt; Berechnung1!E118,O103&gt; Berechnung1!F118),Berechnung1!$G$5,IF(OR(ROUND(O103,4)&lt;Berechnung1!J118,ROUND(O103,4)&gt;Berechnung1!K118),Berechnung1!$D$5,IF(OR(ROUND(O103,4)&lt;Berechnung1!G118,ROUND(O103,4)&gt;Berechnung1!H118),Berechnung1!$E$5,Berechnung1!$C$5))))</f>
        <v>Unvollständig</v>
      </c>
      <c r="Q101" s="710"/>
      <c r="R101" s="623"/>
    </row>
    <row r="102" spans="1:18" ht="31.5" customHeight="1" thickBot="1" x14ac:dyDescent="0.3">
      <c r="A102" s="629"/>
      <c r="B102" s="629"/>
      <c r="C102" s="632"/>
      <c r="D102" s="636"/>
      <c r="E102" s="637"/>
      <c r="F102" s="636"/>
      <c r="G102" s="637"/>
      <c r="H102" s="636"/>
      <c r="I102" s="637"/>
      <c r="J102" s="641"/>
      <c r="K102" s="645"/>
      <c r="L102" s="646"/>
      <c r="M102" s="641"/>
      <c r="N102" s="258" t="s">
        <v>152</v>
      </c>
      <c r="O102" s="371">
        <f>O66</f>
        <v>0</v>
      </c>
      <c r="P102" s="621"/>
      <c r="Q102" s="624"/>
      <c r="R102" s="624"/>
    </row>
    <row r="103" spans="1:18" ht="30" customHeight="1" thickBot="1" x14ac:dyDescent="0.3">
      <c r="A103" s="630"/>
      <c r="B103" s="630"/>
      <c r="C103" s="633"/>
      <c r="D103" s="638"/>
      <c r="E103" s="639"/>
      <c r="F103" s="638"/>
      <c r="G103" s="639"/>
      <c r="H103" s="638"/>
      <c r="I103" s="639"/>
      <c r="J103" s="642"/>
      <c r="K103" s="647"/>
      <c r="L103" s="648"/>
      <c r="M103" s="642"/>
      <c r="N103" s="258" t="s">
        <v>165</v>
      </c>
      <c r="O103" s="315" t="str">
        <f>IF(O101="","n.d.",IF(O102="","n.d.",IF(O102=0,"",O101/O102)))</f>
        <v>n.d.</v>
      </c>
      <c r="P103" s="622"/>
      <c r="Q103" s="624"/>
      <c r="R103" s="624"/>
    </row>
    <row r="104" spans="1:18" ht="7.5" customHeight="1" x14ac:dyDescent="0.25"/>
    <row r="105" spans="1:18" ht="18" customHeight="1" thickBot="1" x14ac:dyDescent="0.3">
      <c r="A105" s="32" t="s">
        <v>153</v>
      </c>
      <c r="B105" s="32"/>
      <c r="C105" s="8"/>
      <c r="D105" s="15"/>
      <c r="E105" s="15"/>
      <c r="F105" s="15"/>
      <c r="G105" s="15"/>
    </row>
    <row r="106" spans="1:18" ht="18" customHeight="1" thickBot="1" x14ac:dyDescent="0.3">
      <c r="A106" s="486"/>
      <c r="B106" s="788" t="s">
        <v>1303</v>
      </c>
      <c r="C106" s="789"/>
      <c r="D106" s="488" t="s">
        <v>154</v>
      </c>
      <c r="E106" s="483" t="str">
        <f>CONCATENATE(TEXT(Berechnung1!C9,"0,00%")," (",Berechnung1!C6,")")</f>
        <v>0,00% (0)</v>
      </c>
      <c r="F106" s="787" t="str">
        <f>CONCATENATE(TEXT(Berechnung1!D10,"0,00%")," (",Berechnung1!D7,")")</f>
        <v>0,00% (0)</v>
      </c>
      <c r="G106" s="799" t="s">
        <v>155</v>
      </c>
    </row>
    <row r="107" spans="1:18" ht="18" customHeight="1" thickBot="1" x14ac:dyDescent="0.3">
      <c r="A107" s="486"/>
      <c r="B107" s="790"/>
      <c r="C107" s="791"/>
      <c r="D107" s="490" t="s">
        <v>345</v>
      </c>
      <c r="E107" s="491" t="str">
        <f>CONCATENATE(TEXT(Berechnung1!K9,"0,00%")," (",Berechnung1!K6,")")</f>
        <v>0,00% (0)</v>
      </c>
      <c r="F107" s="787"/>
      <c r="G107" s="800"/>
    </row>
    <row r="108" spans="1:18" ht="18" customHeight="1" thickBot="1" x14ac:dyDescent="0.3">
      <c r="A108" s="487" t="s">
        <v>1304</v>
      </c>
      <c r="B108" s="792" t="s">
        <v>1305</v>
      </c>
      <c r="C108" s="793"/>
      <c r="D108" s="793"/>
      <c r="E108" s="794"/>
      <c r="F108" s="489" t="str">
        <f>CONCATENATE(TEXT(Berechnung1!E10,"0,00%")," (",Berechnung1!E7,")")</f>
        <v>0,00% (0)</v>
      </c>
      <c r="G108" s="481" t="str">
        <f>CONCATENATE(TEXT(Berechnung1!E11,"0,00%")," (",Berechnung1!E8,")")</f>
        <v>0,00% (0)</v>
      </c>
    </row>
    <row r="109" spans="1:18" ht="18" customHeight="1" thickBot="1" x14ac:dyDescent="0.3">
      <c r="A109" s="486"/>
      <c r="B109" s="795" t="s">
        <v>156</v>
      </c>
      <c r="C109" s="796"/>
      <c r="D109" s="492" t="s">
        <v>353</v>
      </c>
      <c r="E109" s="485" t="str">
        <f>CONCATENATE(TEXT(Berechnung1!G9,"0,00%")," (",Berechnung1!G6,")")</f>
        <v>0,00% (0)</v>
      </c>
      <c r="F109" s="787" t="str">
        <f>CONCATENATE(TEXT(Berechnung1!G10,"0,00%")," (",Berechnung1!G8,")")</f>
        <v>100,00% (32)</v>
      </c>
      <c r="G109" s="787"/>
    </row>
    <row r="110" spans="1:18" ht="18" customHeight="1" thickBot="1" x14ac:dyDescent="0.3">
      <c r="A110" s="486"/>
      <c r="B110" s="797"/>
      <c r="C110" s="798"/>
      <c r="D110" s="493" t="s">
        <v>354</v>
      </c>
      <c r="E110" s="484" t="str">
        <f>CONCATENATE(TEXT(Berechnung1!F9,"0,00%")," (",Berechnung1!F6,")")</f>
        <v>100,00% (32)</v>
      </c>
      <c r="F110" s="787"/>
      <c r="G110" s="787"/>
    </row>
    <row r="111" spans="1:18" ht="7.5" customHeight="1" x14ac:dyDescent="0.25">
      <c r="A111" s="486"/>
      <c r="B111" s="482"/>
      <c r="C111" s="482"/>
      <c r="D111" s="482"/>
      <c r="E111" s="482"/>
      <c r="F111" s="482"/>
      <c r="G111" s="482"/>
    </row>
    <row r="112" spans="1:18" ht="13.5" customHeight="1" x14ac:dyDescent="0.25">
      <c r="A112" s="90" t="s">
        <v>343</v>
      </c>
    </row>
    <row r="113" spans="1:19" s="11" customFormat="1" ht="27.75" customHeight="1" x14ac:dyDescent="0.2">
      <c r="A113" s="802" t="s">
        <v>1301</v>
      </c>
      <c r="B113" s="802"/>
      <c r="C113" s="802"/>
      <c r="D113" s="802"/>
      <c r="E113" s="802"/>
      <c r="F113" s="802"/>
      <c r="G113" s="802"/>
      <c r="H113" s="802"/>
      <c r="I113" s="802"/>
      <c r="J113" s="802"/>
      <c r="K113" s="802"/>
      <c r="L113" s="802"/>
      <c r="M113" s="802"/>
      <c r="N113" s="802"/>
      <c r="O113" s="802"/>
      <c r="P113" s="802"/>
      <c r="S113" s="323"/>
    </row>
    <row r="114" spans="1:19" s="8" customFormat="1" ht="128.25" customHeight="1" x14ac:dyDescent="0.2">
      <c r="A114" s="802" t="s">
        <v>1536</v>
      </c>
      <c r="B114" s="803"/>
      <c r="C114" s="803"/>
      <c r="D114" s="803"/>
      <c r="E114" s="803"/>
      <c r="F114" s="803"/>
      <c r="G114" s="803"/>
      <c r="H114" s="803"/>
      <c r="I114" s="803"/>
      <c r="J114" s="803"/>
      <c r="K114" s="803"/>
      <c r="L114" s="803"/>
      <c r="M114" s="803"/>
      <c r="N114" s="803"/>
      <c r="O114" s="803"/>
      <c r="P114" s="803"/>
      <c r="S114" s="321"/>
    </row>
    <row r="115" spans="1:19" x14ac:dyDescent="0.25">
      <c r="A115" s="454" t="s">
        <v>1183</v>
      </c>
    </row>
    <row r="116" spans="1:19" ht="24.75" customHeight="1" x14ac:dyDescent="0.25">
      <c r="A116" s="786" t="s">
        <v>1302</v>
      </c>
      <c r="B116" s="786"/>
      <c r="C116" s="786"/>
      <c r="D116" s="786"/>
      <c r="E116" s="786"/>
      <c r="F116" s="786"/>
      <c r="G116" s="786"/>
      <c r="H116" s="786"/>
      <c r="I116" s="786"/>
      <c r="J116" s="786"/>
      <c r="K116" s="786"/>
      <c r="L116" s="786"/>
      <c r="M116" s="786"/>
      <c r="N116" s="786"/>
      <c r="O116" s="786"/>
      <c r="P116" s="786"/>
    </row>
  </sheetData>
  <sheetProtection algorithmName="SHA-512" hashValue="7Mm+gTFYPYZk6zNBYMRtf2k1QyiETWPhIDFqz5tFfDl+ZuTFW52g65UmvFSRBNaG2ckXWPM0F4kZVdiOnkk/vg==" saltValue="d9cMsX9xH3RcylPVT8h0bA==" spinCount="100000" sheet="1" objects="1" scenarios="1" selectLockedCells="1"/>
  <dataConsolidate/>
  <mergeCells count="417">
    <mergeCell ref="F38:G40"/>
    <mergeCell ref="A116:P116"/>
    <mergeCell ref="F106:F107"/>
    <mergeCell ref="F109:G110"/>
    <mergeCell ref="B106:C107"/>
    <mergeCell ref="B108:E108"/>
    <mergeCell ref="B109:C110"/>
    <mergeCell ref="G106:G107"/>
    <mergeCell ref="F101:G103"/>
    <mergeCell ref="H101:I103"/>
    <mergeCell ref="J101:J103"/>
    <mergeCell ref="K101:L103"/>
    <mergeCell ref="M101:M103"/>
    <mergeCell ref="P101:P103"/>
    <mergeCell ref="A114:P114"/>
    <mergeCell ref="A113:P113"/>
    <mergeCell ref="D101:E103"/>
    <mergeCell ref="H41:I43"/>
    <mergeCell ref="B86:B88"/>
    <mergeCell ref="J89:J91"/>
    <mergeCell ref="B80:B82"/>
    <mergeCell ref="D77:E79"/>
    <mergeCell ref="A83:A85"/>
    <mergeCell ref="C80:C82"/>
    <mergeCell ref="A77:A79"/>
    <mergeCell ref="A80:A82"/>
    <mergeCell ref="B77:B79"/>
    <mergeCell ref="Q101:Q103"/>
    <mergeCell ref="R101:R103"/>
    <mergeCell ref="D8:E10"/>
    <mergeCell ref="F8:G10"/>
    <mergeCell ref="H8:I10"/>
    <mergeCell ref="J8:J10"/>
    <mergeCell ref="K8:L10"/>
    <mergeCell ref="M8:M10"/>
    <mergeCell ref="P8:P10"/>
    <mergeCell ref="Q8:Q10"/>
    <mergeCell ref="R8:R10"/>
    <mergeCell ref="N8:N10"/>
    <mergeCell ref="O8:O10"/>
    <mergeCell ref="H77:I79"/>
    <mergeCell ref="H80:I82"/>
    <mergeCell ref="J77:J79"/>
    <mergeCell ref="K77:L79"/>
    <mergeCell ref="M77:M79"/>
    <mergeCell ref="R32:R34"/>
    <mergeCell ref="P29:P31"/>
    <mergeCell ref="P32:P34"/>
    <mergeCell ref="C86:C88"/>
    <mergeCell ref="D86:E88"/>
    <mergeCell ref="F86:G88"/>
    <mergeCell ref="H86:I88"/>
    <mergeCell ref="A92:A94"/>
    <mergeCell ref="B92:B94"/>
    <mergeCell ref="A86:A88"/>
    <mergeCell ref="Q92:Q94"/>
    <mergeCell ref="A29:A31"/>
    <mergeCell ref="B29:B31"/>
    <mergeCell ref="C29:C31"/>
    <mergeCell ref="D29:E31"/>
    <mergeCell ref="F29:G31"/>
    <mergeCell ref="H29:I31"/>
    <mergeCell ref="H32:I34"/>
    <mergeCell ref="J29:J31"/>
    <mergeCell ref="K29:L31"/>
    <mergeCell ref="H38:I40"/>
    <mergeCell ref="J38:J40"/>
    <mergeCell ref="K38:L40"/>
    <mergeCell ref="M38:M40"/>
    <mergeCell ref="D80:E82"/>
    <mergeCell ref="F77:G79"/>
    <mergeCell ref="F80:G82"/>
    <mergeCell ref="A95:A97"/>
    <mergeCell ref="B95:B97"/>
    <mergeCell ref="D92:E94"/>
    <mergeCell ref="H95:I97"/>
    <mergeCell ref="A89:A91"/>
    <mergeCell ref="B89:B91"/>
    <mergeCell ref="C89:C91"/>
    <mergeCell ref="D89:E91"/>
    <mergeCell ref="K95:L97"/>
    <mergeCell ref="J95:J97"/>
    <mergeCell ref="F92:G94"/>
    <mergeCell ref="C95:C97"/>
    <mergeCell ref="D95:E97"/>
    <mergeCell ref="F95:G97"/>
    <mergeCell ref="R95:R97"/>
    <mergeCell ref="P89:P91"/>
    <mergeCell ref="M89:M91"/>
    <mergeCell ref="M92:M94"/>
    <mergeCell ref="P95:P97"/>
    <mergeCell ref="P92:P94"/>
    <mergeCell ref="Q68:Q70"/>
    <mergeCell ref="M95:M97"/>
    <mergeCell ref="Q89:Q91"/>
    <mergeCell ref="Q95:Q97"/>
    <mergeCell ref="Q83:Q85"/>
    <mergeCell ref="P86:P88"/>
    <mergeCell ref="R77:R79"/>
    <mergeCell ref="R80:R82"/>
    <mergeCell ref="R68:R70"/>
    <mergeCell ref="M71:M73"/>
    <mergeCell ref="M74:M76"/>
    <mergeCell ref="P71:P73"/>
    <mergeCell ref="R83:R85"/>
    <mergeCell ref="P83:P85"/>
    <mergeCell ref="R86:R88"/>
    <mergeCell ref="R89:R91"/>
    <mergeCell ref="M80:M82"/>
    <mergeCell ref="Q65:Q67"/>
    <mergeCell ref="Q77:Q79"/>
    <mergeCell ref="Q80:Q82"/>
    <mergeCell ref="P65:P67"/>
    <mergeCell ref="J74:J76"/>
    <mergeCell ref="J71:J73"/>
    <mergeCell ref="K74:L76"/>
    <mergeCell ref="Q86:Q88"/>
    <mergeCell ref="R92:R94"/>
    <mergeCell ref="R65:R67"/>
    <mergeCell ref="J86:J88"/>
    <mergeCell ref="J80:J82"/>
    <mergeCell ref="K80:L82"/>
    <mergeCell ref="K89:L91"/>
    <mergeCell ref="K92:L94"/>
    <mergeCell ref="Q74:Q76"/>
    <mergeCell ref="R71:R73"/>
    <mergeCell ref="R74:R76"/>
    <mergeCell ref="Q71:Q73"/>
    <mergeCell ref="A74:A76"/>
    <mergeCell ref="B74:B76"/>
    <mergeCell ref="C74:C76"/>
    <mergeCell ref="D74:E76"/>
    <mergeCell ref="F74:G76"/>
    <mergeCell ref="H74:I76"/>
    <mergeCell ref="P74:P76"/>
    <mergeCell ref="A71:A73"/>
    <mergeCell ref="B71:B73"/>
    <mergeCell ref="K71:L73"/>
    <mergeCell ref="C71:C73"/>
    <mergeCell ref="D71:E73"/>
    <mergeCell ref="F71:G73"/>
    <mergeCell ref="H71:I73"/>
    <mergeCell ref="C77:C79"/>
    <mergeCell ref="R62:R64"/>
    <mergeCell ref="A68:A70"/>
    <mergeCell ref="B68:B70"/>
    <mergeCell ref="C68:C70"/>
    <mergeCell ref="D68:E70"/>
    <mergeCell ref="H68:I70"/>
    <mergeCell ref="P68:P70"/>
    <mergeCell ref="K65:L67"/>
    <mergeCell ref="A65:A67"/>
    <mergeCell ref="B65:B67"/>
    <mergeCell ref="C65:C67"/>
    <mergeCell ref="D65:E67"/>
    <mergeCell ref="F68:G70"/>
    <mergeCell ref="J68:J70"/>
    <mergeCell ref="F65:G67"/>
    <mergeCell ref="H65:I67"/>
    <mergeCell ref="K68:L70"/>
    <mergeCell ref="J62:J64"/>
    <mergeCell ref="J65:J67"/>
    <mergeCell ref="M65:M67"/>
    <mergeCell ref="K62:L64"/>
    <mergeCell ref="M68:M70"/>
    <mergeCell ref="M62:M64"/>
    <mergeCell ref="A62:A64"/>
    <mergeCell ref="B62:B64"/>
    <mergeCell ref="C62:C64"/>
    <mergeCell ref="D62:E64"/>
    <mergeCell ref="F62:G64"/>
    <mergeCell ref="P59:P61"/>
    <mergeCell ref="Q59:Q61"/>
    <mergeCell ref="P62:P64"/>
    <mergeCell ref="Q62:Q64"/>
    <mergeCell ref="J59:J61"/>
    <mergeCell ref="M59:M61"/>
    <mergeCell ref="K59:L61"/>
    <mergeCell ref="D59:E61"/>
    <mergeCell ref="H62:I64"/>
    <mergeCell ref="R56:R58"/>
    <mergeCell ref="A59:A61"/>
    <mergeCell ref="B59:B61"/>
    <mergeCell ref="C59:C61"/>
    <mergeCell ref="K56:L58"/>
    <mergeCell ref="Q56:Q58"/>
    <mergeCell ref="F59:G61"/>
    <mergeCell ref="H59:I61"/>
    <mergeCell ref="A56:A58"/>
    <mergeCell ref="B56:B58"/>
    <mergeCell ref="C56:C58"/>
    <mergeCell ref="D56:E58"/>
    <mergeCell ref="F56:G58"/>
    <mergeCell ref="H56:I58"/>
    <mergeCell ref="R59:R61"/>
    <mergeCell ref="P56:P58"/>
    <mergeCell ref="J56:J58"/>
    <mergeCell ref="M56:M58"/>
    <mergeCell ref="A53:A55"/>
    <mergeCell ref="B53:B55"/>
    <mergeCell ref="P53:P55"/>
    <mergeCell ref="C53:C55"/>
    <mergeCell ref="D53:E55"/>
    <mergeCell ref="F53:G55"/>
    <mergeCell ref="H53:I55"/>
    <mergeCell ref="K53:L55"/>
    <mergeCell ref="M53:M55"/>
    <mergeCell ref="J53:J55"/>
    <mergeCell ref="R50:R52"/>
    <mergeCell ref="O47:O49"/>
    <mergeCell ref="P47:P49"/>
    <mergeCell ref="Q47:Q49"/>
    <mergeCell ref="R47:R49"/>
    <mergeCell ref="R53:R55"/>
    <mergeCell ref="Q53:Q55"/>
    <mergeCell ref="K50:L52"/>
    <mergeCell ref="F47:G49"/>
    <mergeCell ref="H47:I49"/>
    <mergeCell ref="K47:L49"/>
    <mergeCell ref="N47:N49"/>
    <mergeCell ref="F50:G52"/>
    <mergeCell ref="H50:I52"/>
    <mergeCell ref="M47:M49"/>
    <mergeCell ref="J47:J49"/>
    <mergeCell ref="O50:O52"/>
    <mergeCell ref="P50:P52"/>
    <mergeCell ref="Q50:Q52"/>
    <mergeCell ref="J50:J52"/>
    <mergeCell ref="A50:A52"/>
    <mergeCell ref="B50:B52"/>
    <mergeCell ref="C50:C52"/>
    <mergeCell ref="D50:E52"/>
    <mergeCell ref="A47:A49"/>
    <mergeCell ref="B47:B49"/>
    <mergeCell ref="C47:C49"/>
    <mergeCell ref="D47:E49"/>
    <mergeCell ref="N50:N52"/>
    <mergeCell ref="M50:M52"/>
    <mergeCell ref="A44:A46"/>
    <mergeCell ref="B44:B46"/>
    <mergeCell ref="C44:C46"/>
    <mergeCell ref="D44:E46"/>
    <mergeCell ref="F44:G46"/>
    <mergeCell ref="H44:I46"/>
    <mergeCell ref="K44:L46"/>
    <mergeCell ref="P44:P46"/>
    <mergeCell ref="R44:R46"/>
    <mergeCell ref="Q44:Q46"/>
    <mergeCell ref="M44:M46"/>
    <mergeCell ref="J44:J46"/>
    <mergeCell ref="K41:L43"/>
    <mergeCell ref="P41:P43"/>
    <mergeCell ref="Q41:Q43"/>
    <mergeCell ref="R41:R43"/>
    <mergeCell ref="Q32:Q34"/>
    <mergeCell ref="J41:J43"/>
    <mergeCell ref="M41:M43"/>
    <mergeCell ref="P38:P40"/>
    <mergeCell ref="Q38:Q40"/>
    <mergeCell ref="R38:R40"/>
    <mergeCell ref="M32:M34"/>
    <mergeCell ref="R35:R37"/>
    <mergeCell ref="M35:M37"/>
    <mergeCell ref="J35:J37"/>
    <mergeCell ref="K35:L37"/>
    <mergeCell ref="J32:J34"/>
    <mergeCell ref="P17:P19"/>
    <mergeCell ref="Q26:Q28"/>
    <mergeCell ref="J26:J28"/>
    <mergeCell ref="M26:M28"/>
    <mergeCell ref="J23:J25"/>
    <mergeCell ref="R26:R28"/>
    <mergeCell ref="P35:P37"/>
    <mergeCell ref="Q35:Q37"/>
    <mergeCell ref="Q29:Q31"/>
    <mergeCell ref="R29:R31"/>
    <mergeCell ref="M29:M31"/>
    <mergeCell ref="J17:J19"/>
    <mergeCell ref="M17:M19"/>
    <mergeCell ref="F17:G19"/>
    <mergeCell ref="Q17:Q19"/>
    <mergeCell ref="K14:L16"/>
    <mergeCell ref="Q20:Q22"/>
    <mergeCell ref="R20:R22"/>
    <mergeCell ref="A23:A25"/>
    <mergeCell ref="B23:B25"/>
    <mergeCell ref="C23:C25"/>
    <mergeCell ref="D23:E25"/>
    <mergeCell ref="F23:G25"/>
    <mergeCell ref="H23:I25"/>
    <mergeCell ref="K23:L25"/>
    <mergeCell ref="M20:M22"/>
    <mergeCell ref="Q23:Q25"/>
    <mergeCell ref="A20:A22"/>
    <mergeCell ref="B20:B22"/>
    <mergeCell ref="C20:C22"/>
    <mergeCell ref="D20:E22"/>
    <mergeCell ref="F20:G22"/>
    <mergeCell ref="H20:I22"/>
    <mergeCell ref="K20:L22"/>
    <mergeCell ref="R23:R25"/>
    <mergeCell ref="J20:J22"/>
    <mergeCell ref="M23:M25"/>
    <mergeCell ref="D32:E34"/>
    <mergeCell ref="F32:G34"/>
    <mergeCell ref="K32:L34"/>
    <mergeCell ref="C4:D4"/>
    <mergeCell ref="D6:E7"/>
    <mergeCell ref="P6:P7"/>
    <mergeCell ref="B11:B13"/>
    <mergeCell ref="R17:R19"/>
    <mergeCell ref="Q14:Q16"/>
    <mergeCell ref="J14:J16"/>
    <mergeCell ref="M14:M16"/>
    <mergeCell ref="P11:P13"/>
    <mergeCell ref="Q11:Q13"/>
    <mergeCell ref="Q6:R6"/>
    <mergeCell ref="F6:G7"/>
    <mergeCell ref="H6:I7"/>
    <mergeCell ref="K6:L7"/>
    <mergeCell ref="J6:J7"/>
    <mergeCell ref="M6:M7"/>
    <mergeCell ref="N6:O7"/>
    <mergeCell ref="K11:L13"/>
    <mergeCell ref="R11:R13"/>
    <mergeCell ref="J11:J13"/>
    <mergeCell ref="R14:R16"/>
    <mergeCell ref="A6:A7"/>
    <mergeCell ref="B6:B7"/>
    <mergeCell ref="C6:C7"/>
    <mergeCell ref="M11:M13"/>
    <mergeCell ref="A14:A16"/>
    <mergeCell ref="B14:B16"/>
    <mergeCell ref="C14:C16"/>
    <mergeCell ref="D14:E16"/>
    <mergeCell ref="F14:G16"/>
    <mergeCell ref="H14:I16"/>
    <mergeCell ref="A11:A13"/>
    <mergeCell ref="D11:E13"/>
    <mergeCell ref="F11:G13"/>
    <mergeCell ref="H11:I13"/>
    <mergeCell ref="A8:A10"/>
    <mergeCell ref="B8:B10"/>
    <mergeCell ref="C8:C10"/>
    <mergeCell ref="C11:C13"/>
    <mergeCell ref="A41:A43"/>
    <mergeCell ref="B41:B43"/>
    <mergeCell ref="C41:C43"/>
    <mergeCell ref="D41:E43"/>
    <mergeCell ref="F41:G43"/>
    <mergeCell ref="A17:A19"/>
    <mergeCell ref="B17:B19"/>
    <mergeCell ref="C17:C19"/>
    <mergeCell ref="D17:E19"/>
    <mergeCell ref="A26:A28"/>
    <mergeCell ref="B26:B28"/>
    <mergeCell ref="C26:C28"/>
    <mergeCell ref="D26:E28"/>
    <mergeCell ref="F26:G28"/>
    <mergeCell ref="A35:A37"/>
    <mergeCell ref="B35:B37"/>
    <mergeCell ref="C35:C37"/>
    <mergeCell ref="A38:A40"/>
    <mergeCell ref="B38:B40"/>
    <mergeCell ref="C38:C40"/>
    <mergeCell ref="D38:E40"/>
    <mergeCell ref="A32:A34"/>
    <mergeCell ref="B32:B34"/>
    <mergeCell ref="C32:C34"/>
    <mergeCell ref="A101:A103"/>
    <mergeCell ref="B101:B103"/>
    <mergeCell ref="C101:C103"/>
    <mergeCell ref="F83:G85"/>
    <mergeCell ref="C92:C94"/>
    <mergeCell ref="P77:P79"/>
    <mergeCell ref="P80:P82"/>
    <mergeCell ref="N77:N79"/>
    <mergeCell ref="N80:N82"/>
    <mergeCell ref="O77:O79"/>
    <mergeCell ref="O80:O82"/>
    <mergeCell ref="F89:G91"/>
    <mergeCell ref="H89:I91"/>
    <mergeCell ref="J92:J94"/>
    <mergeCell ref="M86:M88"/>
    <mergeCell ref="K86:L88"/>
    <mergeCell ref="K83:L85"/>
    <mergeCell ref="H83:I85"/>
    <mergeCell ref="J83:J85"/>
    <mergeCell ref="M83:M85"/>
    <mergeCell ref="H92:I94"/>
    <mergeCell ref="B83:B85"/>
    <mergeCell ref="C83:C85"/>
    <mergeCell ref="D83:E85"/>
    <mergeCell ref="F4:M4"/>
    <mergeCell ref="P98:P100"/>
    <mergeCell ref="Q98:Q100"/>
    <mergeCell ref="R98:R100"/>
    <mergeCell ref="A98:A100"/>
    <mergeCell ref="B98:B100"/>
    <mergeCell ref="C98:C100"/>
    <mergeCell ref="D98:E100"/>
    <mergeCell ref="F98:G100"/>
    <mergeCell ref="H98:I100"/>
    <mergeCell ref="J98:J100"/>
    <mergeCell ref="K98:L100"/>
    <mergeCell ref="M98:M100"/>
    <mergeCell ref="P20:P22"/>
    <mergeCell ref="P23:P25"/>
    <mergeCell ref="P26:P28"/>
    <mergeCell ref="D35:E37"/>
    <mergeCell ref="F35:G37"/>
    <mergeCell ref="H35:I37"/>
    <mergeCell ref="H26:I28"/>
    <mergeCell ref="K26:L28"/>
    <mergeCell ref="P14:P16"/>
    <mergeCell ref="H17:I19"/>
    <mergeCell ref="K17:L19"/>
  </mergeCells>
  <phoneticPr fontId="81" type="noConversion"/>
  <conditionalFormatting sqref="O8">
    <cfRule type="expression" dxfId="239" priority="60" stopIfTrue="1">
      <formula>LEN(TRIM(O8))=0</formula>
    </cfRule>
  </conditionalFormatting>
  <conditionalFormatting sqref="O11:O12">
    <cfRule type="expression" dxfId="238" priority="368" stopIfTrue="1">
      <formula>LEN(TRIM(O11))=0</formula>
    </cfRule>
  </conditionalFormatting>
  <conditionalFormatting sqref="O14">
    <cfRule type="expression" dxfId="237" priority="379" stopIfTrue="1">
      <formula>LEN(TRIM(O14))=0</formula>
    </cfRule>
  </conditionalFormatting>
  <conditionalFormatting sqref="O17">
    <cfRule type="expression" dxfId="236" priority="327" stopIfTrue="1">
      <formula>LEN(TRIM(O17))=0</formula>
    </cfRule>
  </conditionalFormatting>
  <conditionalFormatting sqref="O20">
    <cfRule type="expression" dxfId="235" priority="326" stopIfTrue="1">
      <formula>LEN(TRIM(O20))=0</formula>
    </cfRule>
  </conditionalFormatting>
  <conditionalFormatting sqref="O23">
    <cfRule type="expression" dxfId="234" priority="325" stopIfTrue="1">
      <formula>LEN(TRIM(O23))=0</formula>
    </cfRule>
  </conditionalFormatting>
  <conditionalFormatting sqref="O29">
    <cfRule type="expression" dxfId="233" priority="176" stopIfTrue="1">
      <formula>LEN(TRIM(O29))=0</formula>
    </cfRule>
  </conditionalFormatting>
  <conditionalFormatting sqref="O32:O33">
    <cfRule type="expression" dxfId="232" priority="175" stopIfTrue="1">
      <formula>LEN(TRIM(O32))=0</formula>
    </cfRule>
  </conditionalFormatting>
  <conditionalFormatting sqref="O35:O36">
    <cfRule type="expression" dxfId="231" priority="229" stopIfTrue="1">
      <formula>LEN(TRIM(O35))=0</formula>
    </cfRule>
  </conditionalFormatting>
  <conditionalFormatting sqref="O38:O39">
    <cfRule type="expression" dxfId="230" priority="138" stopIfTrue="1">
      <formula>LEN(TRIM(O38))=0</formula>
    </cfRule>
  </conditionalFormatting>
  <conditionalFormatting sqref="O41:O42">
    <cfRule type="expression" dxfId="229" priority="376" stopIfTrue="1">
      <formula>LEN(TRIM(O41))=0</formula>
    </cfRule>
  </conditionalFormatting>
  <conditionalFormatting sqref="O44:O45">
    <cfRule type="expression" dxfId="228" priority="201" stopIfTrue="1">
      <formula>LEN(TRIM(O44))=0</formula>
    </cfRule>
  </conditionalFormatting>
  <conditionalFormatting sqref="O53">
    <cfRule type="expression" dxfId="227" priority="256" stopIfTrue="1">
      <formula>LEN(TRIM(O53))=0</formula>
    </cfRule>
  </conditionalFormatting>
  <conditionalFormatting sqref="O56">
    <cfRule type="expression" dxfId="226" priority="255" stopIfTrue="1">
      <formula>LEN(TRIM(O56))=0</formula>
    </cfRule>
  </conditionalFormatting>
  <conditionalFormatting sqref="O59:O60">
    <cfRule type="expression" dxfId="225" priority="227" stopIfTrue="1">
      <formula>LEN(TRIM(O59))=0</formula>
    </cfRule>
  </conditionalFormatting>
  <conditionalFormatting sqref="O62:O63">
    <cfRule type="expression" dxfId="224" priority="210" stopIfTrue="1">
      <formula>LEN(TRIM(O62))=0</formula>
    </cfRule>
  </conditionalFormatting>
  <conditionalFormatting sqref="O65">
    <cfRule type="expression" dxfId="223" priority="253" stopIfTrue="1">
      <formula>LEN(TRIM(O65))=0</formula>
    </cfRule>
  </conditionalFormatting>
  <conditionalFormatting sqref="O68">
    <cfRule type="expression" dxfId="222" priority="251" stopIfTrue="1">
      <formula>LEN(TRIM(O68))=0</formula>
    </cfRule>
  </conditionalFormatting>
  <conditionalFormatting sqref="O71:O72">
    <cfRule type="expression" dxfId="221" priority="208" stopIfTrue="1">
      <formula>LEN(TRIM(O71))=0</formula>
    </cfRule>
  </conditionalFormatting>
  <conditionalFormatting sqref="O74:O75">
    <cfRule type="expression" dxfId="220" priority="269" stopIfTrue="1">
      <formula>LEN(TRIM(O74))=0</formula>
    </cfRule>
  </conditionalFormatting>
  <conditionalFormatting sqref="O77">
    <cfRule type="expression" dxfId="219" priority="137" stopIfTrue="1">
      <formula>LEN(TRIM(O77))=0</formula>
    </cfRule>
  </conditionalFormatting>
  <conditionalFormatting sqref="O83:O84">
    <cfRule type="expression" dxfId="218" priority="221" stopIfTrue="1">
      <formula>LEN(TRIM(O83))=0</formula>
    </cfRule>
  </conditionalFormatting>
  <conditionalFormatting sqref="O86:O87">
    <cfRule type="expression" dxfId="217" priority="219" stopIfTrue="1">
      <formula>LEN(TRIM(O86))=0</formula>
    </cfRule>
  </conditionalFormatting>
  <conditionalFormatting sqref="O89:O90">
    <cfRule type="expression" dxfId="216" priority="206" stopIfTrue="1">
      <formula>LEN(TRIM(O89))=0</formula>
    </cfRule>
  </conditionalFormatting>
  <conditionalFormatting sqref="O92:O93">
    <cfRule type="expression" dxfId="215" priority="204" stopIfTrue="1">
      <formula>LEN(TRIM(O92))=0</formula>
    </cfRule>
  </conditionalFormatting>
  <conditionalFormatting sqref="O95:O96">
    <cfRule type="expression" dxfId="214" priority="202" stopIfTrue="1">
      <formula>LEN(TRIM(O95))=0</formula>
    </cfRule>
  </conditionalFormatting>
  <conditionalFormatting sqref="O98">
    <cfRule type="expression" dxfId="213" priority="168" stopIfTrue="1">
      <formula>LEN(TRIM(O98))=0</formula>
    </cfRule>
  </conditionalFormatting>
  <conditionalFormatting sqref="O101">
    <cfRule type="expression" dxfId="212" priority="51" stopIfTrue="1">
      <formula>LEN(TRIM(O101))=0</formula>
    </cfRule>
  </conditionalFormatting>
  <conditionalFormatting sqref="P8">
    <cfRule type="cellIs" dxfId="211" priority="32" stopIfTrue="1" operator="equal">
      <formula>"Inkorrekt"</formula>
    </cfRule>
  </conditionalFormatting>
  <conditionalFormatting sqref="P8:P10">
    <cfRule type="cellIs" dxfId="210" priority="43" operator="equal">
      <formula>"Ausnahme (Plausibilität unklar)"</formula>
    </cfRule>
    <cfRule type="cellIs" dxfId="209" priority="56" stopIfTrue="1" operator="equal">
      <formula>"I.O. (Plausibilität unklar)"</formula>
    </cfRule>
    <cfRule type="cellIs" dxfId="208" priority="58" stopIfTrue="1" operator="equal">
      <formula>"I.O."</formula>
    </cfRule>
  </conditionalFormatting>
  <conditionalFormatting sqref="P8:P103">
    <cfRule type="cellIs" dxfId="207" priority="5" stopIfTrue="1" operator="equal">
      <formula>"Unvollständig"</formula>
    </cfRule>
  </conditionalFormatting>
  <conditionalFormatting sqref="P11:P16">
    <cfRule type="cellIs" dxfId="206" priority="322" stopIfTrue="1" operator="equal">
      <formula>"I.O. (Plausibilität unklar)"</formula>
    </cfRule>
    <cfRule type="cellIs" dxfId="205" priority="324" stopIfTrue="1" operator="equal">
      <formula>"I.O."</formula>
    </cfRule>
  </conditionalFormatting>
  <conditionalFormatting sqref="P14">
    <cfRule type="cellIs" dxfId="204" priority="33" stopIfTrue="1" operator="equal">
      <formula>"Inkorrekt"</formula>
    </cfRule>
  </conditionalFormatting>
  <conditionalFormatting sqref="P14:P16">
    <cfRule type="cellIs" dxfId="203" priority="321" stopIfTrue="1" operator="equal">
      <formula>"Ausnahme (Plausibilität unklar)"</formula>
    </cfRule>
  </conditionalFormatting>
  <conditionalFormatting sqref="P17">
    <cfRule type="cellIs" dxfId="202" priority="31" stopIfTrue="1" operator="equal">
      <formula>"Inkorrekt"</formula>
    </cfRule>
  </conditionalFormatting>
  <conditionalFormatting sqref="P17:P19">
    <cfRule type="cellIs" dxfId="201" priority="312" stopIfTrue="1" operator="equal">
      <formula>"I.O."</formula>
    </cfRule>
    <cfRule type="cellIs" dxfId="200" priority="310" stopIfTrue="1" operator="equal">
      <formula>"I.O. (Plausibilität unklar)"</formula>
    </cfRule>
  </conditionalFormatting>
  <conditionalFormatting sqref="P20">
    <cfRule type="cellIs" dxfId="199" priority="30" stopIfTrue="1" operator="equal">
      <formula>"Inkorrekt"</formula>
    </cfRule>
  </conditionalFormatting>
  <conditionalFormatting sqref="P20:P31">
    <cfRule type="cellIs" dxfId="198" priority="66" stopIfTrue="1" operator="equal">
      <formula>"I.O."</formula>
    </cfRule>
  </conditionalFormatting>
  <conditionalFormatting sqref="P23">
    <cfRule type="cellIs" dxfId="197" priority="29" stopIfTrue="1" operator="equal">
      <formula>"Inkorrekt"</formula>
    </cfRule>
  </conditionalFormatting>
  <conditionalFormatting sqref="P23:P31">
    <cfRule type="cellIs" dxfId="196" priority="64" stopIfTrue="1" operator="equal">
      <formula>"I.O. (Plausibilität unklar)"</formula>
    </cfRule>
  </conditionalFormatting>
  <conditionalFormatting sqref="P26">
    <cfRule type="cellIs" dxfId="195" priority="28" stopIfTrue="1" operator="equal">
      <formula>"Inkorrekt"</formula>
    </cfRule>
  </conditionalFormatting>
  <conditionalFormatting sqref="P29">
    <cfRule type="cellIs" dxfId="194" priority="27" stopIfTrue="1" operator="equal">
      <formula>"Inkorrekt"</formula>
    </cfRule>
  </conditionalFormatting>
  <conditionalFormatting sqref="P32:P43">
    <cfRule type="cellIs" dxfId="193" priority="9" stopIfTrue="1" operator="equal">
      <formula>"I.O."</formula>
    </cfRule>
    <cfRule type="cellIs" dxfId="192" priority="8" stopIfTrue="1" operator="equal">
      <formula>"I.O. (Plausibilität unklar)"</formula>
    </cfRule>
    <cfRule type="cellIs" dxfId="191" priority="6" stopIfTrue="1" operator="equal">
      <formula>"Sollvorgabe nicht erfüllt"</formula>
    </cfRule>
    <cfRule type="cellIs" dxfId="190" priority="7" operator="equal">
      <formula>"Ausnahme (Plausibilität unklar)"</formula>
    </cfRule>
  </conditionalFormatting>
  <conditionalFormatting sqref="P35">
    <cfRule type="cellIs" dxfId="189" priority="1" stopIfTrue="1" operator="equal">
      <formula>"Inkorrekt"</formula>
    </cfRule>
  </conditionalFormatting>
  <conditionalFormatting sqref="P35:P37">
    <cfRule type="cellIs" dxfId="188" priority="4" stopIfTrue="1" operator="equal">
      <formula>"I.O."</formula>
    </cfRule>
    <cfRule type="cellIs" dxfId="187" priority="3" stopIfTrue="1" operator="equal">
      <formula>"I.O. (Plausibilität unklar)"</formula>
    </cfRule>
    <cfRule type="cellIs" dxfId="186" priority="2" stopIfTrue="1" operator="equal">
      <formula>"Sollvorgabe nicht erfüllt"</formula>
    </cfRule>
  </conditionalFormatting>
  <conditionalFormatting sqref="P44:P46">
    <cfRule type="cellIs" dxfId="185" priority="200" stopIfTrue="1" operator="equal">
      <formula>"I.O."</formula>
    </cfRule>
    <cfRule type="cellIs" dxfId="184" priority="197" operator="equal">
      <formula>"Ausnahme (Plausibilität unklar)"</formula>
    </cfRule>
    <cfRule type="cellIs" dxfId="183" priority="198" stopIfTrue="1" operator="equal">
      <formula>"I.O. (Plausibilität unklar)"</formula>
    </cfRule>
  </conditionalFormatting>
  <conditionalFormatting sqref="P44:P103 P8:P31">
    <cfRule type="cellIs" dxfId="182" priority="54" stopIfTrue="1" operator="equal">
      <formula>"Sollvorgabe nicht erfüllt"</formula>
    </cfRule>
  </conditionalFormatting>
  <conditionalFormatting sqref="P47:P73">
    <cfRule type="cellIs" dxfId="181" priority="232" stopIfTrue="1" operator="equal">
      <formula>"I.O. (Plausibilität unklar)"</formula>
    </cfRule>
    <cfRule type="cellIs" dxfId="180" priority="234" stopIfTrue="1" operator="equal">
      <formula>"I.O."</formula>
    </cfRule>
  </conditionalFormatting>
  <conditionalFormatting sqref="P53">
    <cfRule type="cellIs" dxfId="179" priority="26" stopIfTrue="1" operator="equal">
      <formula>"Inkorrekt"</formula>
    </cfRule>
  </conditionalFormatting>
  <conditionalFormatting sqref="P56">
    <cfRule type="cellIs" dxfId="178" priority="25" stopIfTrue="1" operator="equal">
      <formula>"Inkorrekt"</formula>
    </cfRule>
  </conditionalFormatting>
  <conditionalFormatting sqref="P65">
    <cfRule type="cellIs" dxfId="177" priority="24" stopIfTrue="1" operator="equal">
      <formula>"Inkorrekt"</formula>
    </cfRule>
  </conditionalFormatting>
  <conditionalFormatting sqref="P68">
    <cfRule type="cellIs" dxfId="176" priority="23" stopIfTrue="1" operator="equal">
      <formula>"Inkorrekt"</formula>
    </cfRule>
  </conditionalFormatting>
  <conditionalFormatting sqref="P74:P76">
    <cfRule type="cellIs" dxfId="175" priority="246" operator="equal">
      <formula>"Sollvorgabe nicht erfüllt"</formula>
    </cfRule>
    <cfRule type="cellIs" dxfId="174" priority="244" operator="equal">
      <formula>"Ausnahme (Plausibilität unklar)"</formula>
    </cfRule>
    <cfRule type="cellIs" dxfId="173" priority="245" operator="equal">
      <formula>"I.O. (Plausibilität unklar)"</formula>
    </cfRule>
    <cfRule type="cellIs" dxfId="172" priority="110" operator="equal">
      <formula>"I.O."</formula>
    </cfRule>
    <cfRule type="cellIs" dxfId="171" priority="243" stopIfTrue="1" operator="equal">
      <formula>"inkorrekt"</formula>
    </cfRule>
  </conditionalFormatting>
  <conditionalFormatting sqref="P77">
    <cfRule type="cellIs" dxfId="170" priority="100" stopIfTrue="1" operator="equal">
      <formula>"I.O. (Plausibilität unklar)"</formula>
    </cfRule>
    <cfRule type="cellIs" dxfId="169" priority="102" stopIfTrue="1" operator="equal">
      <formula>"I.O."</formula>
    </cfRule>
  </conditionalFormatting>
  <conditionalFormatting sqref="P77:P88">
    <cfRule type="cellIs" dxfId="168" priority="73" operator="equal">
      <formula>"Ausnahme (Plausibilität unklar)"</formula>
    </cfRule>
  </conditionalFormatting>
  <conditionalFormatting sqref="P80">
    <cfRule type="cellIs" dxfId="167" priority="97" stopIfTrue="1" operator="equal">
      <formula>"I.O."</formula>
    </cfRule>
    <cfRule type="cellIs" dxfId="166" priority="95" stopIfTrue="1" operator="equal">
      <formula>"I.O. (Plausibilität unklar)"</formula>
    </cfRule>
  </conditionalFormatting>
  <conditionalFormatting sqref="P83">
    <cfRule type="cellIs" dxfId="165" priority="74" stopIfTrue="1" operator="equal">
      <formula>"I.O. (Plausibilität unklar)"</formula>
    </cfRule>
    <cfRule type="cellIs" dxfId="164" priority="76" stopIfTrue="1" operator="equal">
      <formula>"I.O."</formula>
    </cfRule>
  </conditionalFormatting>
  <conditionalFormatting sqref="P86">
    <cfRule type="cellIs" dxfId="163" priority="84" stopIfTrue="1" operator="equal">
      <formula>"I.O."</formula>
    </cfRule>
    <cfRule type="cellIs" dxfId="162" priority="83" stopIfTrue="1" operator="equal">
      <formula>"I.O. (Plausibilität unklar)"</formula>
    </cfRule>
  </conditionalFormatting>
  <conditionalFormatting sqref="P89">
    <cfRule type="cellIs" dxfId="161" priority="38" stopIfTrue="1" operator="equal">
      <formula>"I.O."</formula>
    </cfRule>
    <cfRule type="cellIs" dxfId="160" priority="36" stopIfTrue="1" operator="equal">
      <formula>"I.O. (Plausibilität unklar)"</formula>
    </cfRule>
  </conditionalFormatting>
  <conditionalFormatting sqref="P92">
    <cfRule type="cellIs" dxfId="159" priority="80" stopIfTrue="1" operator="equal">
      <formula>"I.O."</formula>
    </cfRule>
    <cfRule type="cellIs" dxfId="158" priority="78" stopIfTrue="1" operator="equal">
      <formula>"I.O. (Plausibilität unklar)"</formula>
    </cfRule>
  </conditionalFormatting>
  <conditionalFormatting sqref="P95:P98">
    <cfRule type="cellIs" dxfId="157" priority="71" stopIfTrue="1" operator="equal">
      <formula>"I.O."</formula>
    </cfRule>
    <cfRule type="cellIs" dxfId="156" priority="69" stopIfTrue="1" operator="equal">
      <formula>"I.O. (Plausibilität unklar)"</formula>
    </cfRule>
  </conditionalFormatting>
  <conditionalFormatting sqref="P98">
    <cfRule type="cellIs" dxfId="155" priority="22" stopIfTrue="1" operator="equal">
      <formula>"Inkorrekt"</formula>
    </cfRule>
  </conditionalFormatting>
  <conditionalFormatting sqref="P98:P100">
    <cfRule type="cellIs" dxfId="154" priority="68" operator="equal">
      <formula>"Ausnahme (Plausibilität unklar)"</formula>
    </cfRule>
  </conditionalFormatting>
  <conditionalFormatting sqref="P101">
    <cfRule type="cellIs" dxfId="153" priority="47" stopIfTrue="1" operator="equal">
      <formula>"I.O. (Plausibilität unklar)"</formula>
    </cfRule>
    <cfRule type="cellIs" dxfId="152" priority="49" stopIfTrue="1" operator="equal">
      <formula>"I.O."</formula>
    </cfRule>
    <cfRule type="cellIs" dxfId="151" priority="21" stopIfTrue="1" operator="equal">
      <formula>"Inkorrekt"</formula>
    </cfRule>
  </conditionalFormatting>
  <conditionalFormatting sqref="P101:P103">
    <cfRule type="cellIs" dxfId="150" priority="46" operator="equal">
      <formula>"Ausnahme (Plausibilität unklar)"</formula>
    </cfRule>
  </conditionalFormatting>
  <conditionalFormatting sqref="Q8:Q103">
    <cfRule type="notContainsBlanks" dxfId="149" priority="50" stopIfTrue="1">
      <formula>LEN(TRIM(Q8))&gt;0</formula>
    </cfRule>
    <cfRule type="expression" dxfId="148" priority="53" stopIfTrue="1">
      <formula>OR($P8="Unvollständig",$P8="Sollvorgabe nicht erfüllt",$P8="I.O. (Plausibilität unklar)",$P8="Ausnahme (Plausibilität unklar)",$P8="optional - unvollständig",$P8="optional - Sollvorgabe nicht erfüllt",$P8="optional - I.O. (Plausibilität unklar)", $P8="optional - I.O. (Plausibilität unklar)",$P8="optional - Ausnahme (Plausibilität unklar)")</formula>
    </cfRule>
  </conditionalFormatting>
  <conditionalFormatting sqref="Q14:Q31">
    <cfRule type="notContainsBlanks" dxfId="147" priority="602" stopIfTrue="1">
      <formula>LEN(TRIM(Q14))&gt;0</formula>
    </cfRule>
  </conditionalFormatting>
  <conditionalFormatting sqref="Q44:Q46 Q92:Q94">
    <cfRule type="notContainsBlanks" dxfId="146" priority="604" stopIfTrue="1">
      <formula>LEN(TRIM(Q44))&gt;0</formula>
    </cfRule>
    <cfRule type="expression" dxfId="145" priority="605" stopIfTrue="1">
      <formula>OR($P44=#REF!,$P44="I.O. (Plausibilität unklar)",$P44=#REF!)</formula>
    </cfRule>
  </conditionalFormatting>
  <conditionalFormatting sqref="Q98:Q103">
    <cfRule type="expression" dxfId="144" priority="52" stopIfTrue="1">
      <formula>OR($P98="optional - Sollvorgabe nicht erfüllt",$P98="optional - I.O. (Plausibilität unklar)",$P98="optional - unvollständig")</formula>
    </cfRule>
  </conditionalFormatting>
  <dataValidations count="39">
    <dataValidation type="whole" showInputMessage="1" showErrorMessage="1" errorTitle="Eingabefehler" error="1.Zähler muss eine positive ganze Zahl sein._x000a_2.Zähler kann nicht größer als Nenner sein." sqref="O86 O92 O14 O32 O74" xr:uid="{00000000-0002-0000-0800-000000000000}">
      <formula1>0</formula1>
      <formula2>IF(O15="",5000,O15)</formula2>
    </dataValidation>
    <dataValidation type="whole" showInputMessage="1" showErrorMessage="1" errorTitle="Eingabefehler" error="1.Tabellenblatt Basisdaten muss vollständig ausgefüllt sein._x000a_2.Zähler muss eine positive ganze Zahl sein." sqref="O26" xr:uid="{00000000-0002-0000-0800-000001000000}">
      <formula1>0</formula1>
      <formula2>5000</formula2>
    </dataValidation>
    <dataValidation type="textLength" allowBlank="1" showInputMessage="1" showErrorMessage="1" errorTitle="Zeichenlänge" error="Minimal 30 Zeichen und max. 200 Zeichen." sqref="Q104:R111" xr:uid="{00000000-0002-0000-0800-000002000000}">
      <formula1>30</formula1>
      <formula2>200</formula2>
    </dataValidation>
    <dataValidation type="textLength" allowBlank="1" showInputMessage="1" showErrorMessage="1" errorTitle="Zeichenlänge" error="Minimal 30 Zeichen und max. 500 Zeichen." promptTitle="Hinweis" prompt="Wenn die Datenqualität nicht &quot;I.O.&quot; ist, ist der Kennzahlenwert zu begründen." sqref="Q8:Q10" xr:uid="{00000000-0002-0000-0800-000003000000}">
      <formula1>30</formula1>
      <formula2>500</formula2>
    </dataValidation>
    <dataValidation errorStyle="information" allowBlank="1" showInputMessage="1" showErrorMessage="1" sqref="P92 P32 P11:P29 P74:P77 P80 P83 P86 P89 P38 P35" xr:uid="{00000000-0002-0000-0800-000004000000}"/>
    <dataValidation errorStyle="information" allowBlank="1" showInputMessage="1" showErrorMessage="1" errorTitle="Kennzahl" promptTitle="Kennzahl" sqref="A6:B10" xr:uid="{00000000-0002-0000-0800-000005000000}"/>
    <dataValidation type="whole" showInputMessage="1" showErrorMessage="1" errorTitle="Eingabefehler" error="1.Tabellenblatt Basisdaten muss vollständig ausgefüllt sein._x000a_2.Zähler muss eine positive ganze Zahl sein._x000a_3.Zähler kann nicht größer als Nenner sein." sqref="O53 O56 O23 O68 O17 O20 O65" xr:uid="{00000000-0002-0000-0800-000006000000}">
      <formula1>0</formula1>
      <formula2>IF(O18="",0,O18)</formula2>
    </dataValidation>
    <dataValidation type="custom" operator="equal" showInputMessage="1" showErrorMessage="1" errorTitle="Eingabefehler" error="1.Nenner muss eine positive ganze Zahl sein._x000a_2.Nenner kann nicht kleiner als Zähler sein._x000a_4.Nenner kann nicht kleiner als Resektion Rektum sein._x000a_3.Nenner kann nicht größer als Primärfälle Gesamt sein." sqref="O12" xr:uid="{00000000-0002-0000-0800-000007000000}">
      <formula1>IF(ISNUMBER(O12),IF(O12&gt;0,IF(AND(O12&gt;=$S$13,O12&gt;=O11,O12&lt;=$S$12),O12,FALSE),FALSE),FALSE)</formula1>
    </dataValidation>
    <dataValidation type="whole" showInputMessage="1" showErrorMessage="1" errorTitle="Eingabefehler" error="1.Zähler muss eine positive ganze Zahl sein._x000a_2.Zähler kann nicht größer als Nenner sein." sqref="O44" xr:uid="{00000000-0002-0000-0800-000008000000}">
      <formula1>0</formula1>
      <formula2>IF(O45="",S45,O45)</formula2>
    </dataValidation>
    <dataValidation type="whole" showInputMessage="1" showErrorMessage="1" errorTitle="Eingabefehler" error="1.Tabellenblatt Basisdaten muss vollständig ausgefüllt sein._x000a_2.Zähler muss eine positive ganze Zahl sein._x000a_3.Zähler kann nicht größer als Nenner sein._x000a_4.Zähler kann nicht größer als Primärfälle Gesamt sein." sqref="O35" xr:uid="{00000000-0002-0000-0800-000009000000}">
      <formula1>0</formula1>
      <formula2>IF(O36="",S36,O36)</formula2>
    </dataValidation>
    <dataValidation type="custom" showInputMessage="1" showErrorMessage="1" errorTitle="Eingabefehler" error="1.Tabellenblatt Basisdaten muss vollständig ausgefüllt sein._x000a_2.Nenner muss eine positive ganze Zahl sein._x000a_3.Nenner kann nicht kleiner als Zähler sein._x000a_4.Nenner kann nicht größer als Primärfälle Gesamt sein." sqref="O36" xr:uid="{00000000-0002-0000-0800-00000A000000}">
      <formula1>IF(ISNUMBER(O36),IF(O36&gt;0,IF(AND(O36&gt;=O35,O36&lt;=$S$36),O36,FALSE),FALSE),FALSE)</formula1>
    </dataValidation>
    <dataValidation type="whole" showInputMessage="1" showErrorMessage="1" errorTitle="Eingabefehler" error="1.Tabellenblatt Basisdaten muss vollständig ausgefüllt sein._x000a_2.Nenner muss eine positive ganze Zahl sein._x000a_3.Nenner kann nicht kleiner als Zähler sein._x000a_4.Nenner kann n. größer als Primärfälle Rektum (ohne Notfälle) sein." sqref="O45" xr:uid="{00000000-0002-0000-0800-00000B000000}">
      <formula1>IF(O44="",0,O44)</formula1>
      <formula2>S45</formula2>
    </dataValidation>
    <dataValidation type="whole" showInputMessage="1" showErrorMessage="1" errorTitle="Eingabefehler" error="1.Zähler muss eine positive ganze Zahl sein._x000a_2.Zähler kann nicht größer als Nenner sein." sqref="O41" xr:uid="{00000000-0002-0000-0800-00000C000000}">
      <formula1>0</formula1>
      <formula2>IF(O42="",20000,O42)</formula2>
    </dataValidation>
    <dataValidation type="whole" showInputMessage="1" showErrorMessage="1" errorTitle="Eingafehler" error="1.Tabellenblatt Basisdaten muss vollständig ausgefüllt sein._x000a_2.Zähler muss eine positive ganze Zahl sein._x000a_3.Zähler kann nicht größer als Nenner sein." sqref="O29" xr:uid="{00000000-0002-0000-0800-00000D000000}">
      <formula1>0</formula1>
      <formula2>IF(O30="",0,O30)</formula2>
    </dataValidation>
    <dataValidation type="whole" showInputMessage="1" showErrorMessage="1" errorTitle="Eingabefehler" error="1.Nenner muss eine positive ganze Zahl sein. _x000a_2.Nenner kann nicht kleiner als Zähler sein." sqref="O15 O87" xr:uid="{00000000-0002-0000-0800-00000E000000}">
      <formula1>IF(O14="",0,O14)</formula1>
      <formula2>5000</formula2>
    </dataValidation>
    <dataValidation type="textLength" allowBlank="1" showInputMessage="1" showErrorMessage="1" errorTitle="Zeichenlänge" error="Minimal 30 Zeichen und max. 500 Zeichen." sqref="Q80:R80 Q83:R103 Q41:R77 R8:R10 Q11:R38" xr:uid="{00000000-0002-0000-0800-00000F000000}">
      <formula1>30</formula1>
      <formula2>500</formula2>
    </dataValidation>
    <dataValidation type="whole" showInputMessage="1" showErrorMessage="1" errorTitle="Eingabefehler" error="1.Nenner muss eine positive ganze Zahl sein._x000a_2.Nenner kann nicht kleiner als Zähler sein." sqref="O75" xr:uid="{00000000-0002-0000-0800-000010000000}">
      <formula1>O74</formula1>
      <formula2>5000</formula2>
    </dataValidation>
    <dataValidation type="whole" showInputMessage="1" showErrorMessage="1" errorTitle="Eingabefehler" error="1.Tabellenblatt Basisdaten muss vollständig ausgefüllt sein._x000a_2.Nenner muss eine positive ganze Zahl sein. _x000a_3.Nenner kann nicht kleiner als Zähler sein._x000a_4.Nenner kann nicht größer sein als Zähler KN 7." sqref="O33" xr:uid="{00000000-0002-0000-0800-000011000000}">
      <formula1>IF(O32="",0,O32)</formula1>
      <formula2>O29</formula2>
    </dataValidation>
    <dataValidation type="whole" showInputMessage="1" showErrorMessage="1" errorTitle="Eingabefehler" error="1.Zähler muss eine positive ganze Zahl sein._x000a_2.Zähler kann nicht größer als Nenner sein." sqref="O98" xr:uid="{00000000-0002-0000-0800-000012000000}">
      <formula1>0</formula1>
      <formula2>O99</formula2>
    </dataValidation>
    <dataValidation type="whole" showInputMessage="1" showErrorMessage="1" errorTitle="Eingabefehler" error="1.Tabellenblatt Basisdaten muss vollständig ausgefüllt sein._x000a_2.Nenner muss eine positive ganze Zahl sein._x000a_3.Nenner kann nicht kleiner als Zähler sein._x000a_4.Nenner kann n. größer als operative Primärfälle Kolon sein." sqref="O84" xr:uid="{00000000-0002-0000-0800-000013000000}">
      <formula1>O83</formula1>
      <formula2>IF(ISNUMBER(O84),IF(O84&gt;0,IF(O84&gt;=O83,$O$47,FALSE),FALSE),FALSE)</formula2>
    </dataValidation>
    <dataValidation type="whole" showInputMessage="1" showErrorMessage="1" errorTitle="Eingabefehler" error="Anzahl kann nicht größer als Zähler KN 22a sein." sqref="O77:O79" xr:uid="{00000000-0002-0000-0800-000014000000}">
      <formula1>0</formula1>
      <formula2>IF(ISNUMBER(O74),O74,-1)</formula2>
    </dataValidation>
    <dataValidation type="whole" allowBlank="1" showErrorMessage="1" errorTitle="Eingabefehler" error="1.Zähler muss eine positive ganze Zahl sein._x000a_2.Zähler kann nicht größer als Nenner sein." sqref="O38" xr:uid="{00000000-0002-0000-0800-000015000000}">
      <formula1>0</formula1>
      <formula2>IF(O39="",0,O39)</formula2>
    </dataValidation>
    <dataValidation type="custom" operator="equal" showErrorMessage="1" errorTitle="Eingabefehler" error="1.Nenner muss eine positive ganze Zahl sein. _x000a_2.Nenner kann nicht kleiner als Zähler sein." sqref="O42" xr:uid="{00000000-0002-0000-0800-000016000000}">
      <formula1>IF(ISNUMBER(O42),IF(O42&gt;0,IF(AND(O42&gt;=O41,O42&lt;=20000),O42,FALSE),FALSE),FALSE)</formula1>
    </dataValidation>
    <dataValidation type="whole" showErrorMessage="1" errorTitle="Eingabefehler" error="1.Nenner muss eine positive ganze Zahl sein. _x000a_2.Nenner kann nicht kleiner als Zähler sein." sqref="O39" xr:uid="{00000000-0002-0000-0800-000017000000}">
      <formula1>IF(O38="",0,O38)</formula1>
      <formula2>5000</formula2>
    </dataValidation>
    <dataValidation type="custom" showInputMessage="1" showErrorMessage="1" errorTitle="Eingabefehler" error="1.Nenner muss eine positive ganze Zahl sein. _x000a_2.Nenner kann nicht kleiner als Zähler sein." sqref="O93" xr:uid="{00000000-0002-0000-0800-000018000000}">
      <formula1>IF(ISNUMBER(O93),IF(O93&gt;0,IF(AND(O93&gt;=O92,O93&lt;5001),O93,FALSE),FALSE),FALSE)</formula1>
    </dataValidation>
    <dataValidation type="whole" showInputMessage="1" showErrorMessage="1" errorTitle="Eingabefehler" error="1.Tabellenblatt Basisdaten muss vollständig ausgefüllt sein._x000a_2.Zähler muss eine positive ganze Zahl sein._x000a_3.Zähler kann nicht größer als Nenner sein._x000a_4.Zähler kann n. größer als operative (elektive) Primärfälle Kolon sein." sqref="O59" xr:uid="{00000000-0002-0000-0800-000019000000}">
      <formula1>0</formula1>
      <formula2>IF(O60="",O54,O60)</formula2>
    </dataValidation>
    <dataValidation type="custom" operator="equal" showInputMessage="1" showErrorMessage="1" errorTitle="Eingabefehler" error="1.Tabellenblatt Basisdaten muss vollständig ausgefüllt sein._x000a_2.Nenner muss eine positive ganze Zahl sein._x000a_3.Nenner kann nicht kleiner als Zähler sein._x000a_4.Nenner kann n. größer als operative (elektive) Primärfälle Kolon sein." sqref="O60" xr:uid="{00000000-0002-0000-0800-00001A000000}">
      <formula1>IF(ISNUMBER(O60),IF(O60&gt;0,IF(AND(O60&gt;=O59,O60&lt;=O54),O60,FALSE),FALSE),FALSE)</formula1>
    </dataValidation>
    <dataValidation type="whole" showInputMessage="1" showErrorMessage="1" errorTitle="Eingabefehler" error="1.Tabellenblatt Basisdaten muss vollständig ausgefüllt sein._x000a_2.Zähler muss eine positive ganze Zahl sein._x000a_3.Zähler kann nicht größer als Nenner sein._x000a_4.Zähler kann n. größer als operative (elektive) Primärfälle Rektum sein." sqref="O62" xr:uid="{00000000-0002-0000-0800-00001B000000}">
      <formula1>0</formula1>
      <formula2>IF(O63="",O57,O63)</formula2>
    </dataValidation>
    <dataValidation type="custom" operator="equal" showInputMessage="1" showErrorMessage="1" errorTitle="Eingabefehler" error="1.Tabellenblatt Basisdaten muss vollständig ausgefüllt sein._x000a_2.Nenner muss eine positive ganze Zahl sein._x000a_3.Nenner kann nicht kleiner als Zähler sein._x000a_4.Nenner kann n. größer als operative (elektive) Primärfälle Rektum sein." sqref="O63" xr:uid="{00000000-0002-0000-0800-00001C000000}">
      <formula1>IF(ISNUMBER(O63),IF(O63&gt;0,IF(AND(O63&gt;=O62,O63&lt;=O57),O63,FALSE),FALSE),FALSE)</formula1>
    </dataValidation>
    <dataValidation type="whole" showInputMessage="1" showErrorMessage="1" errorTitle="Eingabefehler" error="1.Tabellenblatt Basisdaten muss vollständig ausgefüllt sein._x000a_2.Zähler muss eine positive ganze Zahl sein._x000a_3.Zähler kann nicht größer als Nenner sein._x000a_4.Zähler kann n. größer als operative (elektive) Primärfälle Rektum sein." sqref="O71" xr:uid="{00000000-0002-0000-0800-00001D000000}">
      <formula1>0</formula1>
      <formula2>IF(O72="",O57,O72)</formula2>
    </dataValidation>
    <dataValidation type="custom" operator="equal" showInputMessage="1" showErrorMessage="1" errorTitle="Eingabefehler" error="1.Tabellenblatt Basisdaten muss vollständig ausgefüllt sein._x000a_2.Nenner muss eine positive ganze Zahl sein._x000a_3.Nenner kann nicht kleiner als Zähler sein._x000a_4.Nenner kann n. größer als operative (elektive) Primärfälle Rektum sein." sqref="O72" xr:uid="{00000000-0002-0000-0800-00001E000000}">
      <formula1>IF(ISNUMBER(O72),IF(O72&gt;0,IF(AND(O72&gt;=O71,O72&lt;=O57),O72,FALSE),FALSE),FALSE)</formula1>
    </dataValidation>
    <dataValidation type="whole" showErrorMessage="1" errorTitle="Eingabefehler" error="1.Tabellenblatt Basisdaten muss vollständig ausgefüllt sein._x000a_2.Zähler muss eine positive ganze Zahl sein._x000a_3.Zähler kann nicht größer als Nenner sein._x000a_4.Zähler kann nicht größer als operative (elektive) Primärfälle sein." sqref="O95" xr:uid="{00000000-0002-0000-0800-00001F000000}">
      <formula1>0</formula1>
      <formula2>IF(O96="",O66,O96)</formula2>
    </dataValidation>
    <dataValidation type="custom" operator="equal" showErrorMessage="1" errorTitle="Eingabefehler" error="1.Tabellenblatt Basisdaten muss vollständig ausgefüllt sein._x000a_2.Nenner muss eine positive ganze Zahl sein._x000a_3.Nenner kann nicht kleiner als Zähler sein._x000a_4.Nenner kann nicht größer als operative (elektive) Primärfälle sein." sqref="O96" xr:uid="{00000000-0002-0000-0800-000020000000}">
      <formula1>IF(ISNUMBER(O96),IF(O96&gt;0,IF(AND(O96&gt;=O95,O96&lt;=O66),O96,FALSE),FALSE),FALSE)</formula1>
    </dataValidation>
    <dataValidation type="whole" showInputMessage="1" showErrorMessage="1" errorTitle="Eingabefehler" error="1.Tabellenblatt Basisdaten muss vollständig ausgefüllt sein._x000a_2.Zähler muss eine positive ganze Zahl sein._x000a_3.Zähler kann nicht größer als Nenner sein._x000a_4.Zähler kann n. größer als operative (elektive) Primärfälle Rektum sein." sqref="O89" xr:uid="{00000000-0002-0000-0800-000021000000}">
      <formula1>0</formula1>
      <formula2>IF(O90="",O57,O90)</formula2>
    </dataValidation>
    <dataValidation type="custom" operator="equal" showInputMessage="1" showErrorMessage="1" errorTitle="Eingabefehler" error="1.Tabellenblatt Basisdaten muss vollständig ausgefüllt sein._x000a_2.Nenner muss eine positive ganze Zahl sein._x000a_3.Nenner kann nicht kleiner als Zähler sein._x000a_4.Nenner kann n. größer als operative (elektive) Primärfälle Rektum sein." sqref="O90" xr:uid="{00000000-0002-0000-0800-000022000000}">
      <formula1>IF(ISNUMBER(O90),IF(O90&gt;0,IF(AND(O90&gt;=O89,O90&lt;=O57),O90,FALSE),FALSE),FALSE)</formula1>
    </dataValidation>
    <dataValidation type="whole" showInputMessage="1" showErrorMessage="1" errorTitle="Eingabefehler" error="1.Tabellenblatt Basisdaten muss vollständig ausgefüllt sein._x000a_2.Zähler muss eine positive ganze Zahl sein._x000a_3.Zähler kann nicht größer als Nenner sein._x000a_4.Zähler kann n. größer als operative  Primärfälle Kolon sein." sqref="O83" xr:uid="{00000000-0002-0000-0800-000023000000}">
      <formula1>0</formula1>
      <formula2>IF(O84="",O47,O84)</formula2>
    </dataValidation>
    <dataValidation type="whole" allowBlank="1" showInputMessage="1" showErrorMessage="1" errorTitle="Eingabefehler" error="Ganze Zahl zwischen 0 und 5000 eingeben." sqref="O8:O10" xr:uid="{00000000-0002-0000-0800-000024000000}">
      <formula1>0</formula1>
      <formula2>5000</formula2>
    </dataValidation>
    <dataValidation type="whole" showInputMessage="1" showErrorMessage="1" errorTitle="Eingabefehler" error="1.Zähler muss eine positive ganze Zahl sein._x000a_2.Zähler kann nicht größer als Nenner sein._x000a_3.Zähler kann nicht kleiner als Zähler KN 19 sein." sqref="O101" xr:uid="{00000000-0002-0000-0800-000025000000}">
      <formula1>O65</formula1>
      <formula2>O102</formula2>
    </dataValidation>
    <dataValidation type="whole" showInputMessage="1" showErrorMessage="1" errorTitle="Eingabefehler" error="1.Tabellenblatt Basisdaten muss vollständig ausgefüllt sein._x000a_2.Zähler muss eine positive ganze Zahl sein._x000a_3.Zähler kann nicht größer als Nenner sein._x000a_4.Zähler kann nicht größer als operative (elektive) Primärfälle sein." sqref="O11" xr:uid="{00000000-0002-0000-0800-000026000000}">
      <formula1>0</formula1>
      <formula2>IF(O12="",O66,O12)</formula2>
    </dataValidation>
  </dataValidations>
  <pageMargins left="0.15748031496062992" right="3.937007874015748E-2" top="0.27559055118110237" bottom="0.27559055118110237" header="0.11811023622047245" footer="0.11811023622047245"/>
  <pageSetup scale="91" orientation="landscape" r:id="rId1"/>
  <headerFooter>
    <oddFooter>&amp;L&amp;"Arial,Standard"&amp;7
&amp;F&amp;C&amp;"Arial,Standard"&amp;7
 © DKG  Alle Rechte vorbehalten&amp;R&amp;"Arial,Standard"&amp;7
&amp;P</oddFooter>
  </headerFooter>
  <rowBreaks count="6" manualBreakCount="6">
    <brk id="22" max="15" man="1"/>
    <brk id="37" max="15" man="1"/>
    <brk id="52" max="15" man="1"/>
    <brk id="67" max="15" man="1"/>
    <brk id="82" max="15" man="1"/>
    <brk id="94" max="15" man="1"/>
  </rowBreaks>
  <ignoredErrors>
    <ignoredError sqref="B26:B28 B30:B31 B45:B52 B60:B61 B63:B64 B72:B73 B84:B85 B90:B91" twoDigitTextYear="1"/>
  </ignoredErrors>
  <drawing r:id="rId2"/>
  <legacyDrawing r:id="rId3"/>
  <legacyDrawingHF r:id="rId4"/>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27</vt:i4>
      </vt:variant>
      <vt:variant>
        <vt:lpstr>Named Ranges</vt:lpstr>
      </vt:variant>
      <vt:variant>
        <vt:i4>18</vt:i4>
      </vt:variant>
    </vt:vector>
  </HeadingPairs>
  <TitlesOfParts>
    <vt:vector size="45" baseType="lpstr">
      <vt:lpstr>Basisdaten</vt:lpstr>
      <vt:lpstr>HilfstabelleB</vt:lpstr>
      <vt:lpstr>HilfstabelleSD</vt:lpstr>
      <vt:lpstr>Datenquelle</vt:lpstr>
      <vt:lpstr>Studien</vt:lpstr>
      <vt:lpstr>HilfstabelleStudien</vt:lpstr>
      <vt:lpstr>Untersucher</vt:lpstr>
      <vt:lpstr>Operateure</vt:lpstr>
      <vt:lpstr>Kennzahlenbogen_(KB)</vt:lpstr>
      <vt:lpstr>HilfstabelleKB</vt:lpstr>
      <vt:lpstr>Berechnung1</vt:lpstr>
      <vt:lpstr>Hilfstabelle DatendefKB</vt:lpstr>
      <vt:lpstr>Datendefizite_KB</vt:lpstr>
      <vt:lpstr>Kennzahlenbogen plus</vt:lpstr>
      <vt:lpstr>HilfstabellePlus</vt:lpstr>
      <vt:lpstr>Matrix-Kolon</vt:lpstr>
      <vt:lpstr>Berechnung2</vt:lpstr>
      <vt:lpstr>Berechnung3</vt:lpstr>
      <vt:lpstr>Datendefizite_Matrix-Kolon</vt:lpstr>
      <vt:lpstr>HilfstabelleDMK</vt:lpstr>
      <vt:lpstr>Matrix-Rektum</vt:lpstr>
      <vt:lpstr>Berechnung4</vt:lpstr>
      <vt:lpstr>Berechnung5</vt:lpstr>
      <vt:lpstr>Datendefizite_Matrix-Rektum</vt:lpstr>
      <vt:lpstr>HilfstabelleMR</vt:lpstr>
      <vt:lpstr>HilfstabelleDMR</vt:lpstr>
      <vt:lpstr>HilfstabelleMK</vt:lpstr>
      <vt:lpstr>Keine_Zusammenarbeit</vt:lpstr>
      <vt:lpstr>KrebsregisterZusammenarbeit</vt:lpstr>
      <vt:lpstr>OncoBox</vt:lpstr>
      <vt:lpstr>Basisdaten!Print_Area</vt:lpstr>
      <vt:lpstr>'Kennzahlenbogen_(KB)'!Print_Area</vt:lpstr>
      <vt:lpstr>'Matrix-Kolon'!Print_Area</vt:lpstr>
      <vt:lpstr>'Matrix-Rektum'!Print_Area</vt:lpstr>
      <vt:lpstr>Operateure!Print_Area</vt:lpstr>
      <vt:lpstr>Studien!Print_Area</vt:lpstr>
      <vt:lpstr>Untersucher!Print_Area</vt:lpstr>
      <vt:lpstr>Datendefizite_KB!Print_Titles</vt:lpstr>
      <vt:lpstr>'Datendefizite_Matrix-Kolon'!Print_Titles</vt:lpstr>
      <vt:lpstr>'Datendefizite_Matrix-Rektum'!Print_Titles</vt:lpstr>
      <vt:lpstr>'Hilfstabelle DatendefKB'!Print_Titles</vt:lpstr>
      <vt:lpstr>'Kennzahlenbogen plus'!Print_Titles</vt:lpstr>
      <vt:lpstr>'Kennzahlenbogen_(KB)'!Print_Titles</vt:lpstr>
      <vt:lpstr>Tumordokumentation</vt:lpstr>
      <vt:lpstr>Zentrum</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DKG</dc:creator>
  <cp:lastModifiedBy>OnkoZert - Florina Dudu</cp:lastModifiedBy>
  <cp:lastPrinted>2025-10-13T07:59:33Z</cp:lastPrinted>
  <dcterms:created xsi:type="dcterms:W3CDTF">2012-04-12T09:13:43Z</dcterms:created>
  <dcterms:modified xsi:type="dcterms:W3CDTF">2025-11-14T13:42:42Z</dcterms:modified>
</cp:coreProperties>
</file>