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showInkAnnotation="0" updateLinks="never" codeName="ThisWorkbook" defaultThemeVersion="124226"/>
  <mc:AlternateContent xmlns:mc="http://schemas.openxmlformats.org/markup-compatibility/2006">
    <mc:Choice Requires="x15">
      <x15ac:absPath xmlns:x15ac="http://schemas.microsoft.com/office/spreadsheetml/2010/11/ac" url="L:\06_daten\09_excel-kennzahlenbögen\15_excel-kb auditjahr 2026\organe\brust\"/>
    </mc:Choice>
  </mc:AlternateContent>
  <xr:revisionPtr revIDLastSave="0" documentId="13_ncr:1_{8EB05190-38AC-4182-B395-E5876AAE832D}" xr6:coauthVersionLast="47" xr6:coauthVersionMax="47" xr10:uidLastSave="{00000000-0000-0000-0000-000000000000}"/>
  <bookViews>
    <workbookView xWindow="-120" yWindow="-120" windowWidth="38640" windowHeight="15840" tabRatio="847" xr2:uid="{00000000-000D-0000-FFFF-FFFF00000000}"/>
  </bookViews>
  <sheets>
    <sheet name="Basic data" sheetId="11" r:id="rId1"/>
    <sheet name="HilfstabelleSD" sheetId="21" state="hidden" r:id="rId2"/>
    <sheet name="HilfstabelleB" sheetId="46" state="hidden" r:id="rId3"/>
    <sheet name="HilfstabelleB2" sheetId="51" state="hidden" r:id="rId4"/>
    <sheet name="Datenquelle" sheetId="13" state="hidden" r:id="rId5"/>
    <sheet name="Studies" sheetId="55" r:id="rId6"/>
    <sheet name="HilfstabelleStudien" sheetId="53" state="hidden" r:id="rId7"/>
    <sheet name="Surgeons" sheetId="54" r:id="rId8"/>
    <sheet name="Indicator sheet" sheetId="2" r:id="rId9"/>
    <sheet name="HilfstabelleKB" sheetId="45" state="hidden" r:id="rId10"/>
    <sheet name="Berechnung1" sheetId="24" state="hidden" r:id="rId11"/>
    <sheet name="Datendefizite_KB" sheetId="44" state="hidden" r:id="rId12"/>
    <sheet name="Hilfstabelle DatendefKB" sheetId="49" state="hidden" r:id="rId13"/>
    <sheet name="Matrix" sheetId="12" state="hidden" r:id="rId14"/>
    <sheet name="HilfstabelleM" sheetId="20" state="hidden" r:id="rId15"/>
    <sheet name="Berechnung3" sheetId="47" state="hidden" r:id="rId16"/>
    <sheet name="Berechnung2" sheetId="31" state="hidden" r:id="rId17"/>
    <sheet name="Datendefizite_Matrix" sheetId="29" state="hidden" r:id="rId18"/>
    <sheet name="HilfstabelleDM" sheetId="48" state="hidden" r:id="rId19"/>
  </sheets>
  <externalReferences>
    <externalReference r:id="rId20"/>
  </externalReferences>
  <definedNames>
    <definedName name="_xlnm._FilterDatabase" localSheetId="16" hidden="1">Berechnung2!#REF!</definedName>
    <definedName name="_xlnm._FilterDatabase" localSheetId="4" hidden="1">Datenquelle!$A$41:$F$42</definedName>
    <definedName name="Keine_Zusammenarbeit">Datenquelle!$B$33</definedName>
    <definedName name="myItem" localSheetId="6">OFFSET(HilfstabelleStudien!myItemList,0,0,COUNTA(HilfstabelleStudien!myItemList),1)</definedName>
    <definedName name="myItem" localSheetId="5">OFFSET([0]!myItemList,0,0,COUNTA([0]!myItemList),1)</definedName>
    <definedName name="myItem" localSheetId="7">OFFSET([0]!myItemList,0,0,COUNTA([0]!myItemList),1)</definedName>
    <definedName name="myItem">OFFSET(myItemList,0,0,COUNTA(myItemList),1)</definedName>
    <definedName name="myItemList" localSheetId="6">INDEX([1]Datenquelle!$A$29:$S$49,0,MATCH([1]Datenquelle!$E$66,[1]Datenquelle!$A$28:$S$28,0))</definedName>
    <definedName name="myItemList">INDEX(Datenquelle!#REF!,0,MATCH(Datenquelle!#REF!,Datenquelle!#REF!,0))</definedName>
    <definedName name="OncoBox">Datenquelle!$B$28:$B$29</definedName>
    <definedName name="_xlnm.Print_Area" localSheetId="0">'Basic data'!$A$1:$L$58</definedName>
    <definedName name="_xlnm.Print_Area" localSheetId="11">OFFSET(Datendefizite_KB!$A$1,0,0,SUMPRODUCT((Datendefizite_KB!$A$14:$A$36&lt;&gt;"")+0)+13,11)</definedName>
    <definedName name="_xlnm.Print_Area" localSheetId="8">'Indicator sheet'!$A$1:$P$85</definedName>
    <definedName name="_xlnm.Print_Area" localSheetId="13">Matrix!$A$1:$AE$72</definedName>
    <definedName name="_xlnm.Print_Area" localSheetId="5">Studies!$A$1:$E$60</definedName>
    <definedName name="_xlnm.Print_Area" localSheetId="7">Surgeons!$A$1:$F$24</definedName>
    <definedName name="_xlnm.Print_Titles" localSheetId="11">Datendefizite_KB!$12:$13</definedName>
    <definedName name="_xlnm.Print_Titles" localSheetId="17">Datendefizite_Matrix!$1:$16</definedName>
    <definedName name="_xlnm.Print_Titles" localSheetId="8">'Indicator sheet'!$7:$8</definedName>
    <definedName name="Tumordokumentation" localSheetId="6">[1]Datenquelle!$B$1:$B$23</definedName>
    <definedName name="Tumordokumentation">Datenquelle!$B$1:$B$25</definedName>
    <definedName name="Zentrum1" localSheetId="6">[1]Datenquelle!$A$69:$A$388</definedName>
    <definedName name="Zentrum1">Datenquelle!$A$42:$A$42</definedName>
    <definedName name="zentrumsintern___ohne_Krebsregister" localSheetId="6">[1]Datenquelle!$B$57:$B$62</definedName>
    <definedName name="zentrumsintern___ohne_Krebsregister">Datenquelle!$B$33:$B$37</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O48" i="2"/>
  <c r="O16" i="2"/>
  <c r="P48" i="2" s="1"/>
  <c r="A2" i="55"/>
  <c r="J60" i="55"/>
  <c r="I60" i="55"/>
  <c r="K60" i="55" s="1"/>
  <c r="J59" i="55"/>
  <c r="I59" i="55"/>
  <c r="K59" i="55" s="1"/>
  <c r="J58" i="55"/>
  <c r="I58" i="55"/>
  <c r="K58" i="55" s="1"/>
  <c r="J57" i="55"/>
  <c r="I57" i="55"/>
  <c r="K57" i="55" s="1"/>
  <c r="J56" i="55"/>
  <c r="I56" i="55"/>
  <c r="K56" i="55" s="1"/>
  <c r="J55" i="55"/>
  <c r="I55" i="55"/>
  <c r="K55" i="55" s="1"/>
  <c r="J54" i="55"/>
  <c r="K54" i="55" s="1"/>
  <c r="I54" i="55"/>
  <c r="J53" i="55"/>
  <c r="I53" i="55"/>
  <c r="K53" i="55" s="1"/>
  <c r="J52" i="55"/>
  <c r="I52" i="55"/>
  <c r="K52" i="55" s="1"/>
  <c r="J51" i="55"/>
  <c r="I51" i="55"/>
  <c r="K51" i="55" s="1"/>
  <c r="J50" i="55"/>
  <c r="I50" i="55"/>
  <c r="K50" i="55" s="1"/>
  <c r="J49" i="55"/>
  <c r="I49" i="55"/>
  <c r="K49" i="55" s="1"/>
  <c r="J48" i="55"/>
  <c r="I48" i="55"/>
  <c r="K48" i="55" s="1"/>
  <c r="K47" i="55"/>
  <c r="J47" i="55"/>
  <c r="I47" i="55"/>
  <c r="J46" i="55"/>
  <c r="I46" i="55"/>
  <c r="K46" i="55" s="1"/>
  <c r="J45" i="55"/>
  <c r="I45" i="55"/>
  <c r="K45" i="55" s="1"/>
  <c r="J44" i="55"/>
  <c r="I44" i="55"/>
  <c r="K44" i="55" s="1"/>
  <c r="J43" i="55"/>
  <c r="I43" i="55"/>
  <c r="K43" i="55" s="1"/>
  <c r="J42" i="55"/>
  <c r="I42" i="55"/>
  <c r="K42" i="55" s="1"/>
  <c r="J41" i="55"/>
  <c r="I41" i="55"/>
  <c r="K41" i="55" s="1"/>
  <c r="J40" i="55"/>
  <c r="I40" i="55"/>
  <c r="K40" i="55" s="1"/>
  <c r="J39" i="55"/>
  <c r="I39" i="55"/>
  <c r="K39" i="55" s="1"/>
  <c r="J38" i="55"/>
  <c r="I38" i="55"/>
  <c r="K38" i="55" s="1"/>
  <c r="J37" i="55"/>
  <c r="I37" i="55"/>
  <c r="K37" i="55" s="1"/>
  <c r="J36" i="55"/>
  <c r="I36" i="55"/>
  <c r="K36" i="55" s="1"/>
  <c r="J35" i="55"/>
  <c r="I35" i="55"/>
  <c r="K35" i="55" s="1"/>
  <c r="J34" i="55"/>
  <c r="K34" i="55" s="1"/>
  <c r="I34" i="55"/>
  <c r="J33" i="55"/>
  <c r="I33" i="55"/>
  <c r="K33" i="55" s="1"/>
  <c r="J32" i="55"/>
  <c r="I32" i="55"/>
  <c r="K32" i="55" s="1"/>
  <c r="J31" i="55"/>
  <c r="I31" i="55"/>
  <c r="K31" i="55" s="1"/>
  <c r="J30" i="55"/>
  <c r="I30" i="55"/>
  <c r="K30" i="55" s="1"/>
  <c r="J29" i="55"/>
  <c r="I29" i="55"/>
  <c r="K29" i="55" s="1"/>
  <c r="J28" i="55"/>
  <c r="I28" i="55"/>
  <c r="K28" i="55" s="1"/>
  <c r="K27" i="55"/>
  <c r="J27" i="55"/>
  <c r="I27" i="55"/>
  <c r="J26" i="55"/>
  <c r="I26" i="55"/>
  <c r="K26" i="55" s="1"/>
  <c r="J25" i="55"/>
  <c r="I25" i="55"/>
  <c r="K25" i="55" s="1"/>
  <c r="J24" i="55"/>
  <c r="I24" i="55"/>
  <c r="K24" i="55" s="1"/>
  <c r="J23" i="55"/>
  <c r="I23" i="55"/>
  <c r="K23" i="55" s="1"/>
  <c r="J22" i="55"/>
  <c r="I22" i="55"/>
  <c r="K22" i="55" s="1"/>
  <c r="J21" i="55"/>
  <c r="I21" i="55"/>
  <c r="K21" i="55" s="1"/>
  <c r="J20" i="55"/>
  <c r="I20" i="55"/>
  <c r="K20" i="55" s="1"/>
  <c r="J19" i="55"/>
  <c r="I19" i="55"/>
  <c r="K19" i="55" s="1"/>
  <c r="J18" i="55"/>
  <c r="I18" i="55"/>
  <c r="K18" i="55" s="1"/>
  <c r="J17" i="55"/>
  <c r="I17" i="55"/>
  <c r="K17" i="55" s="1"/>
  <c r="J16" i="55"/>
  <c r="I16" i="55"/>
  <c r="K16" i="55" s="1"/>
  <c r="J15" i="55"/>
  <c r="I15" i="55"/>
  <c r="K15" i="55" s="1"/>
  <c r="J14" i="55"/>
  <c r="K14" i="55" s="1"/>
  <c r="I14" i="55"/>
  <c r="J13" i="55"/>
  <c r="I13" i="55"/>
  <c r="J12" i="55"/>
  <c r="I12" i="55"/>
  <c r="K12" i="55" s="1"/>
  <c r="J11" i="55"/>
  <c r="I11" i="55"/>
  <c r="K11" i="55" l="1"/>
  <c r="K13" i="55"/>
  <c r="E5" i="55" s="1"/>
  <c r="O39" i="2" s="1"/>
  <c r="L31" i="11" l="1"/>
  <c r="J3" i="46" s="1"/>
  <c r="C3" i="46"/>
  <c r="D3" i="46"/>
  <c r="E3" i="46"/>
  <c r="F3" i="46"/>
  <c r="G3" i="46"/>
  <c r="H3" i="46"/>
  <c r="I3" i="46"/>
  <c r="B3" i="46"/>
  <c r="F7" i="21"/>
  <c r="E7" i="21"/>
  <c r="A2" i="54" l="1"/>
  <c r="E24" i="54"/>
  <c r="L9" i="53" l="1"/>
  <c r="L13" i="53"/>
  <c r="L25" i="53"/>
  <c r="L48" i="53" l="1"/>
  <c r="B26" i="53"/>
  <c r="B50" i="53"/>
  <c r="A6" i="53"/>
  <c r="L49" i="53"/>
  <c r="L29" i="53"/>
  <c r="L47" i="53"/>
  <c r="A43" i="53"/>
  <c r="L40" i="53"/>
  <c r="L36" i="53"/>
  <c r="B38" i="53"/>
  <c r="L34" i="53"/>
  <c r="L30" i="53"/>
  <c r="B23" i="53"/>
  <c r="L17" i="53"/>
  <c r="L15" i="53"/>
  <c r="B11" i="53"/>
  <c r="L41" i="53"/>
  <c r="L24" i="53"/>
  <c r="L20" i="53"/>
  <c r="L8" i="53"/>
  <c r="B34" i="53"/>
  <c r="B19" i="53"/>
  <c r="L43" i="53"/>
  <c r="B39" i="53"/>
  <c r="L37" i="53"/>
  <c r="L35" i="53"/>
  <c r="B33" i="53"/>
  <c r="L31" i="53"/>
  <c r="L22" i="53"/>
  <c r="L18" i="53"/>
  <c r="B14" i="53"/>
  <c r="L7" i="53"/>
  <c r="L5" i="53"/>
  <c r="B18" i="53"/>
  <c r="B51" i="53"/>
  <c r="B46" i="53"/>
  <c r="A44" i="53"/>
  <c r="B42" i="53"/>
  <c r="A27" i="53"/>
  <c r="L10" i="53"/>
  <c r="A34" i="53"/>
  <c r="L45" i="53"/>
  <c r="B45" i="53"/>
  <c r="A45" i="53"/>
  <c r="L44" i="53"/>
  <c r="L21" i="53"/>
  <c r="B21" i="53"/>
  <c r="A21" i="53"/>
  <c r="B22" i="53"/>
  <c r="B6" i="53"/>
  <c r="L50" i="53"/>
  <c r="L38" i="53"/>
  <c r="L26" i="53"/>
  <c r="L6" i="53"/>
  <c r="A49" i="53"/>
  <c r="A29" i="53"/>
  <c r="A25" i="53"/>
  <c r="A13" i="53"/>
  <c r="A9" i="53"/>
  <c r="B41" i="53"/>
  <c r="B25" i="53"/>
  <c r="B13" i="53"/>
  <c r="B9" i="53"/>
  <c r="A47" i="53"/>
  <c r="B47" i="53"/>
  <c r="A50" i="53"/>
  <c r="A38" i="53"/>
  <c r="A26" i="53"/>
  <c r="A10" i="53"/>
  <c r="A48" i="53"/>
  <c r="A40" i="53"/>
  <c r="A8" i="53"/>
  <c r="B48" i="53"/>
  <c r="B40" i="53"/>
  <c r="B8" i="53"/>
  <c r="L3" i="53"/>
  <c r="B43" i="53" l="1"/>
  <c r="B49" i="53"/>
  <c r="B36" i="53"/>
  <c r="A36" i="53"/>
  <c r="A46" i="53"/>
  <c r="B29" i="53"/>
  <c r="A17" i="53"/>
  <c r="A37" i="53"/>
  <c r="A22" i="53"/>
  <c r="A5" i="53"/>
  <c r="B17" i="53"/>
  <c r="B37" i="53"/>
  <c r="B5" i="53"/>
  <c r="A41" i="53"/>
  <c r="B44" i="53"/>
  <c r="A11" i="53"/>
  <c r="B20" i="53"/>
  <c r="A20" i="53"/>
  <c r="A19" i="53"/>
  <c r="A31" i="53"/>
  <c r="A15" i="53"/>
  <c r="L23" i="53"/>
  <c r="L11" i="53"/>
  <c r="A24" i="53"/>
  <c r="A23" i="53"/>
  <c r="B7" i="53"/>
  <c r="B15" i="53"/>
  <c r="A3" i="53"/>
  <c r="B24" i="53"/>
  <c r="A42" i="53"/>
  <c r="L42" i="53"/>
  <c r="L19" i="53"/>
  <c r="A30" i="53"/>
  <c r="B30" i="53"/>
  <c r="L46" i="53"/>
  <c r="A35" i="53"/>
  <c r="A18" i="53"/>
  <c r="L14" i="53"/>
  <c r="A14" i="53"/>
  <c r="B3" i="53"/>
  <c r="B10" i="53"/>
  <c r="L33" i="53"/>
  <c r="A33" i="53"/>
  <c r="A51" i="53"/>
  <c r="L27" i="53"/>
  <c r="B31" i="53"/>
  <c r="A39" i="53"/>
  <c r="B27" i="53"/>
  <c r="B35" i="53"/>
  <c r="A7" i="53"/>
  <c r="L39" i="53"/>
  <c r="L51" i="53"/>
  <c r="L4" i="53"/>
  <c r="B4" i="53"/>
  <c r="A4" i="53"/>
  <c r="L12" i="53"/>
  <c r="B12" i="53"/>
  <c r="A12" i="53"/>
  <c r="L28" i="53"/>
  <c r="B28" i="53"/>
  <c r="A28" i="53"/>
  <c r="L16" i="53"/>
  <c r="B16" i="53"/>
  <c r="A16" i="53"/>
  <c r="L32" i="53"/>
  <c r="B32" i="53"/>
  <c r="A32" i="53"/>
  <c r="L2" i="53" l="1"/>
  <c r="A2" i="53"/>
  <c r="B2" i="53"/>
  <c r="A42" i="13" l="1"/>
  <c r="F42" i="13" s="1"/>
  <c r="C42" i="13" l="1"/>
  <c r="C10" i="11" s="1"/>
  <c r="D42" i="13"/>
  <c r="E42" i="13"/>
  <c r="B42" i="13"/>
  <c r="C8" i="11" s="1"/>
  <c r="S61" i="2" l="1"/>
  <c r="G25" i="45"/>
  <c r="F25" i="45"/>
  <c r="O79" i="24"/>
  <c r="H25" i="45" s="1"/>
  <c r="K14" i="11" l="1"/>
  <c r="L40" i="11" l="1"/>
  <c r="L39" i="11"/>
  <c r="H42" i="11"/>
  <c r="D42" i="11"/>
  <c r="L41" i="11" l="1"/>
  <c r="E111" i="47"/>
  <c r="E110" i="47"/>
  <c r="E106" i="47"/>
  <c r="E105" i="47"/>
  <c r="E104" i="47"/>
  <c r="E103" i="47"/>
  <c r="E102" i="47"/>
  <c r="E101" i="47"/>
  <c r="E100" i="47"/>
  <c r="E13" i="47" l="1"/>
  <c r="B2" i="20"/>
  <c r="D2" i="20"/>
  <c r="E2" i="20"/>
  <c r="F2" i="20"/>
  <c r="G2" i="20"/>
  <c r="H2" i="20"/>
  <c r="I2" i="20"/>
  <c r="J2" i="20"/>
  <c r="K2" i="20"/>
  <c r="L2" i="20"/>
  <c r="N2" i="20"/>
  <c r="O2" i="20"/>
  <c r="S2" i="20"/>
  <c r="T2" i="20"/>
  <c r="U2" i="20"/>
  <c r="V2" i="20"/>
  <c r="W2" i="20"/>
  <c r="X2" i="20"/>
  <c r="Y2" i="20"/>
  <c r="Z2" i="20"/>
  <c r="AA2" i="20"/>
  <c r="AB2" i="20"/>
  <c r="AC2" i="20"/>
  <c r="T20" i="12"/>
  <c r="R2" i="20" s="1"/>
  <c r="C20" i="12"/>
  <c r="C2" i="20" s="1"/>
  <c r="C21" i="12"/>
  <c r="N20" i="12" l="1"/>
  <c r="Q20" i="12" s="1"/>
  <c r="P2" i="20" s="1"/>
  <c r="R20" i="12" l="1"/>
  <c r="Q2" i="20" s="1"/>
  <c r="M2" i="20"/>
  <c r="C76" i="11"/>
  <c r="C75" i="11"/>
  <c r="C74" i="11"/>
  <c r="C73" i="11"/>
  <c r="C72" i="11"/>
  <c r="L71" i="11"/>
  <c r="K71" i="11"/>
  <c r="J71" i="11"/>
  <c r="I71" i="11"/>
  <c r="H71" i="11"/>
  <c r="G71" i="11"/>
  <c r="F71" i="11"/>
  <c r="E71" i="11"/>
  <c r="D71" i="11"/>
  <c r="C71" i="11"/>
  <c r="C70" i="11"/>
  <c r="L69" i="11"/>
  <c r="C69" i="11"/>
  <c r="E31" i="24"/>
  <c r="E76" i="11" s="1"/>
  <c r="F31" i="24"/>
  <c r="F76" i="11" s="1"/>
  <c r="G31" i="24"/>
  <c r="G76" i="11" s="1"/>
  <c r="H31" i="24"/>
  <c r="H76" i="11" s="1"/>
  <c r="I31" i="24"/>
  <c r="I76" i="11" s="1"/>
  <c r="J31" i="24"/>
  <c r="J76" i="11" s="1"/>
  <c r="K31" i="24"/>
  <c r="K76" i="11" s="1"/>
  <c r="D31" i="24"/>
  <c r="D76" i="11" s="1"/>
  <c r="E30" i="24"/>
  <c r="E75" i="11" s="1"/>
  <c r="F30" i="24"/>
  <c r="F75" i="11" s="1"/>
  <c r="G30" i="24"/>
  <c r="G75" i="11" s="1"/>
  <c r="H30" i="24"/>
  <c r="H75" i="11" s="1"/>
  <c r="I30" i="24"/>
  <c r="I75" i="11" s="1"/>
  <c r="J30" i="24"/>
  <c r="J75" i="11" s="1"/>
  <c r="K30" i="24"/>
  <c r="K75" i="11" s="1"/>
  <c r="D30" i="24"/>
  <c r="D75" i="11" s="1"/>
  <c r="E25" i="24"/>
  <c r="E70" i="11" s="1"/>
  <c r="F25" i="24"/>
  <c r="F70" i="11" s="1"/>
  <c r="G25" i="24"/>
  <c r="G70" i="11" s="1"/>
  <c r="H25" i="24"/>
  <c r="H70" i="11" s="1"/>
  <c r="I25" i="24"/>
  <c r="I70" i="11" s="1"/>
  <c r="J25" i="24"/>
  <c r="J70" i="11" s="1"/>
  <c r="K25" i="24"/>
  <c r="K70" i="11" s="1"/>
  <c r="D25" i="24"/>
  <c r="D70" i="11" s="1"/>
  <c r="E29" i="24"/>
  <c r="E74" i="11" s="1"/>
  <c r="F29" i="24"/>
  <c r="F74" i="11" s="1"/>
  <c r="G29" i="24"/>
  <c r="G74" i="11" s="1"/>
  <c r="H29" i="24"/>
  <c r="H74" i="11" s="1"/>
  <c r="I29" i="24"/>
  <c r="I74" i="11" s="1"/>
  <c r="J29" i="24"/>
  <c r="J74" i="11" s="1"/>
  <c r="K29" i="24"/>
  <c r="K74" i="11" s="1"/>
  <c r="D29" i="24"/>
  <c r="D74" i="11" s="1"/>
  <c r="E28" i="24"/>
  <c r="E73" i="11" s="1"/>
  <c r="F28" i="24"/>
  <c r="F73" i="11" s="1"/>
  <c r="G28" i="24"/>
  <c r="G73" i="11" s="1"/>
  <c r="H28" i="24"/>
  <c r="H73" i="11" s="1"/>
  <c r="I28" i="24"/>
  <c r="I73" i="11" s="1"/>
  <c r="J28" i="24"/>
  <c r="J73" i="11" s="1"/>
  <c r="K28" i="24"/>
  <c r="K73" i="11" s="1"/>
  <c r="D28" i="24"/>
  <c r="D73" i="11" s="1"/>
  <c r="K24" i="24"/>
  <c r="K69" i="11" s="1"/>
  <c r="J24" i="24"/>
  <c r="J69" i="11" s="1"/>
  <c r="I24" i="24"/>
  <c r="I69" i="11" s="1"/>
  <c r="H24" i="24"/>
  <c r="H69" i="11" s="1"/>
  <c r="G24" i="24"/>
  <c r="G69" i="11" s="1"/>
  <c r="F24" i="24"/>
  <c r="F69" i="11" s="1"/>
  <c r="E24" i="24"/>
  <c r="E69" i="11" s="1"/>
  <c r="D24" i="24"/>
  <c r="D69" i="11" s="1"/>
  <c r="S70" i="2" l="1"/>
  <c r="G32" i="45" l="1"/>
  <c r="F32" i="45"/>
  <c r="O100" i="24"/>
  <c r="H32" i="45" s="1"/>
  <c r="B32" i="45"/>
  <c r="A2" i="12" l="1"/>
  <c r="A22" i="49" l="1"/>
  <c r="J22" i="49" s="1"/>
  <c r="O26" i="2"/>
  <c r="M22" i="49" l="1"/>
  <c r="K22" i="49"/>
  <c r="I22" i="49"/>
  <c r="G22" i="49"/>
  <c r="E22" i="49"/>
  <c r="C22" i="49"/>
  <c r="H22" i="49"/>
  <c r="F22" i="49"/>
  <c r="D22" i="49"/>
  <c r="L22" i="49"/>
  <c r="S28" i="2" l="1"/>
  <c r="S25" i="2"/>
  <c r="O56" i="2" l="1"/>
  <c r="L34" i="11" l="1"/>
  <c r="L28" i="24" l="1"/>
  <c r="L73" i="11" s="1"/>
  <c r="G26" i="45"/>
  <c r="F26" i="45"/>
  <c r="C26" i="45"/>
  <c r="B26" i="45"/>
  <c r="B27" i="45"/>
  <c r="C27" i="45"/>
  <c r="F27" i="45"/>
  <c r="G27" i="45"/>
  <c r="O53" i="2"/>
  <c r="O82" i="24"/>
  <c r="H26" i="45" s="1"/>
  <c r="P51" i="2" l="1"/>
  <c r="M82" i="24" s="1"/>
  <c r="N82" i="24" s="1"/>
  <c r="D26" i="45"/>
  <c r="L82" i="24"/>
  <c r="E26" i="45" l="1"/>
  <c r="A16" i="49"/>
  <c r="J16" i="49" l="1"/>
  <c r="I16" i="49"/>
  <c r="H16" i="49"/>
  <c r="G16" i="49"/>
  <c r="F16" i="49"/>
  <c r="E16" i="49"/>
  <c r="D16" i="49"/>
  <c r="M16" i="49"/>
  <c r="L16" i="49"/>
  <c r="K16" i="49"/>
  <c r="C16" i="49"/>
  <c r="B13" i="20" l="1"/>
  <c r="B12" i="20"/>
  <c r="O32" i="2" l="1"/>
  <c r="P30" i="2" s="1"/>
  <c r="M61" i="24" l="1"/>
  <c r="N61" i="24" s="1"/>
  <c r="E19" i="45" s="1"/>
  <c r="D19" i="45"/>
  <c r="E31" i="12"/>
  <c r="E13" i="20" s="1"/>
  <c r="F31" i="12"/>
  <c r="F13" i="20" s="1"/>
  <c r="G31" i="12"/>
  <c r="G13" i="20" s="1"/>
  <c r="H31" i="12"/>
  <c r="H13" i="20" s="1"/>
  <c r="I31" i="12"/>
  <c r="I13" i="20" s="1"/>
  <c r="J31" i="12"/>
  <c r="J13" i="20" s="1"/>
  <c r="K31" i="12"/>
  <c r="K13" i="20" s="1"/>
  <c r="D31" i="12"/>
  <c r="D13" i="20" s="1"/>
  <c r="S19" i="2"/>
  <c r="O19" i="2" s="1"/>
  <c r="C29" i="45"/>
  <c r="C16" i="45"/>
  <c r="L36" i="11"/>
  <c r="J7" i="46" s="1"/>
  <c r="L35" i="11"/>
  <c r="S52" i="2"/>
  <c r="L30" i="11"/>
  <c r="J46" i="11" s="1"/>
  <c r="C14" i="45"/>
  <c r="B14" i="45"/>
  <c r="O17" i="2"/>
  <c r="P15" i="2" s="1"/>
  <c r="C3" i="20"/>
  <c r="B2" i="21"/>
  <c r="B1" i="21"/>
  <c r="D4" i="20"/>
  <c r="E4" i="20"/>
  <c r="F4" i="20"/>
  <c r="G4" i="20"/>
  <c r="H4" i="20"/>
  <c r="I4" i="20"/>
  <c r="J4" i="20"/>
  <c r="K4" i="20"/>
  <c r="L4" i="20"/>
  <c r="N4" i="20"/>
  <c r="O4" i="20"/>
  <c r="S4" i="20"/>
  <c r="T4" i="20"/>
  <c r="U4" i="20"/>
  <c r="V4" i="20"/>
  <c r="W4" i="20"/>
  <c r="X4" i="20"/>
  <c r="Y4" i="20"/>
  <c r="Z4" i="20"/>
  <c r="AA4" i="20"/>
  <c r="AB4" i="20"/>
  <c r="AC4" i="20"/>
  <c r="D5" i="20"/>
  <c r="E5" i="20"/>
  <c r="F5" i="20"/>
  <c r="G5" i="20"/>
  <c r="H5" i="20"/>
  <c r="I5" i="20"/>
  <c r="J5" i="20"/>
  <c r="K5" i="20"/>
  <c r="L5" i="20"/>
  <c r="N5" i="20"/>
  <c r="O5" i="20"/>
  <c r="S5" i="20"/>
  <c r="T5" i="20"/>
  <c r="U5" i="20"/>
  <c r="V5" i="20"/>
  <c r="W5" i="20"/>
  <c r="X5" i="20"/>
  <c r="Y5" i="20"/>
  <c r="Z5" i="20"/>
  <c r="AA5" i="20"/>
  <c r="AB5" i="20"/>
  <c r="AC5" i="20"/>
  <c r="D6" i="20"/>
  <c r="E6" i="20"/>
  <c r="F6" i="20"/>
  <c r="G6" i="20"/>
  <c r="H6" i="20"/>
  <c r="I6" i="20"/>
  <c r="J6" i="20"/>
  <c r="K6" i="20"/>
  <c r="L6" i="20"/>
  <c r="N6" i="20"/>
  <c r="O6" i="20"/>
  <c r="S6" i="20"/>
  <c r="T6" i="20"/>
  <c r="U6" i="20"/>
  <c r="V6" i="20"/>
  <c r="W6" i="20"/>
  <c r="X6" i="20"/>
  <c r="Y6" i="20"/>
  <c r="Z6" i="20"/>
  <c r="AA6" i="20"/>
  <c r="AB6" i="20"/>
  <c r="AC6" i="20"/>
  <c r="D7" i="20"/>
  <c r="E7" i="20"/>
  <c r="F7" i="20"/>
  <c r="G7" i="20"/>
  <c r="H7" i="20"/>
  <c r="I7" i="20"/>
  <c r="J7" i="20"/>
  <c r="K7" i="20"/>
  <c r="L7" i="20"/>
  <c r="N7" i="20"/>
  <c r="O7" i="20"/>
  <c r="S7" i="20"/>
  <c r="T7" i="20"/>
  <c r="U7" i="20"/>
  <c r="V7" i="20"/>
  <c r="W7" i="20"/>
  <c r="X7" i="20"/>
  <c r="Y7" i="20"/>
  <c r="Z7" i="20"/>
  <c r="AA7" i="20"/>
  <c r="AB7" i="20"/>
  <c r="AC7" i="20"/>
  <c r="D8" i="20"/>
  <c r="E8" i="20"/>
  <c r="F8" i="20"/>
  <c r="G8" i="20"/>
  <c r="H8" i="20"/>
  <c r="I8" i="20"/>
  <c r="J8" i="20"/>
  <c r="K8" i="20"/>
  <c r="L8" i="20"/>
  <c r="N8" i="20"/>
  <c r="O8" i="20"/>
  <c r="S8" i="20"/>
  <c r="T8" i="20"/>
  <c r="U8" i="20"/>
  <c r="V8" i="20"/>
  <c r="W8" i="20"/>
  <c r="X8" i="20"/>
  <c r="Y8" i="20"/>
  <c r="Z8" i="20"/>
  <c r="AA8" i="20"/>
  <c r="AB8" i="20"/>
  <c r="AC8" i="20"/>
  <c r="D9" i="20"/>
  <c r="E9" i="20"/>
  <c r="F9" i="20"/>
  <c r="G9" i="20"/>
  <c r="H9" i="20"/>
  <c r="I9" i="20"/>
  <c r="J9" i="20"/>
  <c r="K9" i="20"/>
  <c r="L9" i="20"/>
  <c r="N9" i="20"/>
  <c r="O9" i="20"/>
  <c r="S9" i="20"/>
  <c r="T9" i="20"/>
  <c r="U9" i="20"/>
  <c r="V9" i="20"/>
  <c r="W9" i="20"/>
  <c r="X9" i="20"/>
  <c r="Y9" i="20"/>
  <c r="Z9" i="20"/>
  <c r="AA9" i="20"/>
  <c r="AB9" i="20"/>
  <c r="AC9" i="20"/>
  <c r="D10" i="20"/>
  <c r="E10" i="20"/>
  <c r="F10" i="20"/>
  <c r="G10" i="20"/>
  <c r="H10" i="20"/>
  <c r="I10" i="20"/>
  <c r="J10" i="20"/>
  <c r="K10" i="20"/>
  <c r="L10" i="20"/>
  <c r="N10" i="20"/>
  <c r="O10" i="20"/>
  <c r="S10" i="20"/>
  <c r="T10" i="20"/>
  <c r="U10" i="20"/>
  <c r="V10" i="20"/>
  <c r="W10" i="20"/>
  <c r="X10" i="20"/>
  <c r="Y10" i="20"/>
  <c r="Z10" i="20"/>
  <c r="AA10" i="20"/>
  <c r="AB10" i="20"/>
  <c r="AC10" i="20"/>
  <c r="D11" i="20"/>
  <c r="E11" i="20"/>
  <c r="F11" i="20"/>
  <c r="G11" i="20"/>
  <c r="H11" i="20"/>
  <c r="I11" i="20"/>
  <c r="J11" i="20"/>
  <c r="K11" i="20"/>
  <c r="L11" i="20"/>
  <c r="N11" i="20"/>
  <c r="O11" i="20"/>
  <c r="S11" i="20"/>
  <c r="T11" i="20"/>
  <c r="U11" i="20"/>
  <c r="V11" i="20"/>
  <c r="W11" i="20"/>
  <c r="X11" i="20"/>
  <c r="Y11" i="20"/>
  <c r="Z11" i="20"/>
  <c r="AA11" i="20"/>
  <c r="AB11" i="20"/>
  <c r="AC11" i="20"/>
  <c r="D12" i="20"/>
  <c r="E12" i="20"/>
  <c r="F12" i="20"/>
  <c r="G12" i="20"/>
  <c r="H12" i="20"/>
  <c r="I12" i="20"/>
  <c r="J12" i="20"/>
  <c r="K12" i="20"/>
  <c r="B4" i="20"/>
  <c r="B5" i="20"/>
  <c r="B6" i="20"/>
  <c r="B7" i="20"/>
  <c r="B8" i="20"/>
  <c r="B9" i="20"/>
  <c r="B10" i="20"/>
  <c r="B11" i="20"/>
  <c r="AG30" i="12"/>
  <c r="T29" i="12"/>
  <c r="T28" i="12"/>
  <c r="T27" i="12"/>
  <c r="T26" i="12"/>
  <c r="T25" i="12"/>
  <c r="T24" i="12"/>
  <c r="T23" i="12"/>
  <c r="T22" i="12"/>
  <c r="R4" i="20" s="1"/>
  <c r="C30" i="12"/>
  <c r="C29" i="12"/>
  <c r="C28" i="12"/>
  <c r="C27" i="12"/>
  <c r="C26" i="12"/>
  <c r="C25" i="12"/>
  <c r="C24" i="12"/>
  <c r="C23" i="12"/>
  <c r="C22" i="12"/>
  <c r="N22" i="12" s="1"/>
  <c r="M4" i="20" s="1"/>
  <c r="T21" i="12"/>
  <c r="R3" i="20" s="1"/>
  <c r="A78" i="12"/>
  <c r="B78" i="12"/>
  <c r="C78" i="12"/>
  <c r="E78" i="12"/>
  <c r="F78" i="12"/>
  <c r="G78" i="12"/>
  <c r="H78" i="12"/>
  <c r="I78" i="12"/>
  <c r="J78" i="12"/>
  <c r="K78" i="12"/>
  <c r="M78" i="12"/>
  <c r="A79" i="12"/>
  <c r="B79" i="12"/>
  <c r="C79" i="12"/>
  <c r="E79" i="12"/>
  <c r="F79" i="12"/>
  <c r="G79" i="12"/>
  <c r="H79" i="12"/>
  <c r="I79" i="12"/>
  <c r="J79" i="12"/>
  <c r="K79" i="12"/>
  <c r="M79" i="12"/>
  <c r="A80" i="12"/>
  <c r="B80" i="12"/>
  <c r="C80" i="12"/>
  <c r="E80" i="12"/>
  <c r="F80" i="12"/>
  <c r="G80" i="12"/>
  <c r="H80" i="12"/>
  <c r="I80" i="12"/>
  <c r="J80" i="12"/>
  <c r="K80" i="12"/>
  <c r="M80" i="12"/>
  <c r="A81" i="12"/>
  <c r="B81" i="12"/>
  <c r="C81" i="12"/>
  <c r="E81" i="12"/>
  <c r="F81" i="12"/>
  <c r="G81" i="12"/>
  <c r="H81" i="12"/>
  <c r="I81" i="12"/>
  <c r="J81" i="12"/>
  <c r="K81" i="12"/>
  <c r="M81" i="12"/>
  <c r="A82" i="12"/>
  <c r="B82" i="12"/>
  <c r="C82" i="12"/>
  <c r="E82" i="12"/>
  <c r="F82" i="12"/>
  <c r="G82" i="12"/>
  <c r="H82" i="12"/>
  <c r="I82" i="12"/>
  <c r="J82" i="12"/>
  <c r="K82" i="12"/>
  <c r="M82" i="12"/>
  <c r="A83" i="12"/>
  <c r="B83" i="12"/>
  <c r="C83" i="12"/>
  <c r="E83" i="12"/>
  <c r="F83" i="12"/>
  <c r="G83" i="12"/>
  <c r="H83" i="12"/>
  <c r="I83" i="12"/>
  <c r="J83" i="12"/>
  <c r="K83" i="12"/>
  <c r="M83" i="12"/>
  <c r="A84" i="12"/>
  <c r="B84" i="12"/>
  <c r="C84" i="12"/>
  <c r="E84" i="12"/>
  <c r="F84" i="12"/>
  <c r="G84" i="12"/>
  <c r="H84" i="12"/>
  <c r="I84" i="12"/>
  <c r="J84" i="12"/>
  <c r="K84" i="12"/>
  <c r="M84" i="12"/>
  <c r="A85" i="12"/>
  <c r="B85" i="12"/>
  <c r="C85" i="12"/>
  <c r="E85" i="12"/>
  <c r="F85" i="12"/>
  <c r="G85" i="12"/>
  <c r="H85" i="12"/>
  <c r="I85" i="12"/>
  <c r="J85" i="12"/>
  <c r="K85" i="12"/>
  <c r="M85" i="12"/>
  <c r="A86" i="12"/>
  <c r="B86" i="12"/>
  <c r="C86" i="12"/>
  <c r="E86" i="12"/>
  <c r="F86" i="12"/>
  <c r="G86" i="12"/>
  <c r="H86" i="12"/>
  <c r="I86" i="12"/>
  <c r="J86" i="12"/>
  <c r="K86" i="12"/>
  <c r="M86" i="12"/>
  <c r="A87" i="12"/>
  <c r="B87" i="12"/>
  <c r="C87" i="12"/>
  <c r="E87" i="12"/>
  <c r="F87" i="12"/>
  <c r="G87" i="12"/>
  <c r="H87" i="12"/>
  <c r="I87" i="12"/>
  <c r="J87" i="12"/>
  <c r="K87" i="12"/>
  <c r="M87" i="12"/>
  <c r="A88" i="12"/>
  <c r="B88" i="12"/>
  <c r="C88" i="12"/>
  <c r="E88" i="12"/>
  <c r="F88" i="12"/>
  <c r="G88" i="12"/>
  <c r="H88" i="12"/>
  <c r="I88" i="12"/>
  <c r="J88" i="12"/>
  <c r="K88" i="12"/>
  <c r="M88" i="12"/>
  <c r="A89" i="12"/>
  <c r="B89" i="12"/>
  <c r="C89" i="12"/>
  <c r="E89" i="12"/>
  <c r="F89" i="12"/>
  <c r="G89" i="12"/>
  <c r="H89" i="12"/>
  <c r="J89" i="12"/>
  <c r="K89" i="12"/>
  <c r="M89" i="12"/>
  <c r="B77" i="12"/>
  <c r="C77" i="12"/>
  <c r="E77" i="12"/>
  <c r="F77" i="12"/>
  <c r="G77" i="12"/>
  <c r="H77" i="12"/>
  <c r="I77" i="12"/>
  <c r="J77" i="12"/>
  <c r="K77" i="12"/>
  <c r="M77" i="12"/>
  <c r="A77" i="12"/>
  <c r="S3" i="20"/>
  <c r="T3" i="20"/>
  <c r="U3" i="20"/>
  <c r="V3" i="20"/>
  <c r="W3" i="20"/>
  <c r="X3" i="20"/>
  <c r="Y3" i="20"/>
  <c r="Z3" i="20"/>
  <c r="AA3" i="20"/>
  <c r="AB3" i="20"/>
  <c r="AC3" i="20"/>
  <c r="N3" i="20"/>
  <c r="O3" i="20"/>
  <c r="L3" i="20"/>
  <c r="D3" i="20"/>
  <c r="E3" i="20"/>
  <c r="F3" i="20"/>
  <c r="G3" i="20"/>
  <c r="H3" i="20"/>
  <c r="I3" i="20"/>
  <c r="J3" i="20"/>
  <c r="K3" i="20"/>
  <c r="AC1" i="20"/>
  <c r="AB1" i="20"/>
  <c r="AA1" i="20"/>
  <c r="Z1" i="20"/>
  <c r="Y1" i="20"/>
  <c r="X1" i="20"/>
  <c r="W1" i="20"/>
  <c r="V1" i="20"/>
  <c r="U1" i="20"/>
  <c r="T1" i="20"/>
  <c r="S1" i="20"/>
  <c r="C1" i="20"/>
  <c r="M1" i="20"/>
  <c r="P1" i="20"/>
  <c r="O1" i="20"/>
  <c r="N1" i="20"/>
  <c r="L1" i="20"/>
  <c r="J1" i="20"/>
  <c r="I1" i="20"/>
  <c r="C3" i="51"/>
  <c r="C2" i="51"/>
  <c r="B3" i="51"/>
  <c r="B2" i="51"/>
  <c r="B2" i="46"/>
  <c r="D3" i="51"/>
  <c r="C2" i="46"/>
  <c r="D2" i="46"/>
  <c r="E2" i="46"/>
  <c r="F2" i="46"/>
  <c r="G2" i="46"/>
  <c r="H2" i="46"/>
  <c r="I2" i="46"/>
  <c r="C5" i="46"/>
  <c r="D5" i="46"/>
  <c r="E5" i="46"/>
  <c r="F5" i="46"/>
  <c r="G5" i="46"/>
  <c r="H5" i="46"/>
  <c r="I5" i="46"/>
  <c r="C6" i="46"/>
  <c r="D6" i="46"/>
  <c r="E6" i="46"/>
  <c r="F6" i="46"/>
  <c r="G6" i="46"/>
  <c r="H6" i="46"/>
  <c r="I6" i="46"/>
  <c r="C7" i="46"/>
  <c r="D7" i="46"/>
  <c r="E7" i="46"/>
  <c r="F7" i="46"/>
  <c r="G7" i="46"/>
  <c r="H7" i="46"/>
  <c r="I7" i="46"/>
  <c r="B7" i="46"/>
  <c r="A1" i="20"/>
  <c r="B1" i="20"/>
  <c r="D1" i="20"/>
  <c r="E1" i="20"/>
  <c r="F1" i="20"/>
  <c r="G1" i="20"/>
  <c r="H1" i="20"/>
  <c r="K1" i="20"/>
  <c r="Q1" i="20"/>
  <c r="R1" i="20"/>
  <c r="B3" i="20"/>
  <c r="B2" i="45"/>
  <c r="B3" i="45"/>
  <c r="B12" i="45"/>
  <c r="F12" i="45"/>
  <c r="G12" i="45"/>
  <c r="B13" i="45"/>
  <c r="F13" i="45"/>
  <c r="G13" i="45"/>
  <c r="F14" i="45"/>
  <c r="G14" i="45"/>
  <c r="O46" i="24"/>
  <c r="H14" i="45" s="1"/>
  <c r="B15" i="45"/>
  <c r="F15" i="45"/>
  <c r="G15" i="45"/>
  <c r="O49" i="24"/>
  <c r="H15" i="45" s="1"/>
  <c r="B16" i="45"/>
  <c r="F16" i="45"/>
  <c r="G16" i="45"/>
  <c r="B17" i="45"/>
  <c r="C17" i="45"/>
  <c r="F17" i="45"/>
  <c r="G17" i="45"/>
  <c r="B18" i="45"/>
  <c r="C18" i="45"/>
  <c r="F18" i="45"/>
  <c r="G18" i="45"/>
  <c r="B19" i="45"/>
  <c r="C19" i="45"/>
  <c r="F19" i="45"/>
  <c r="G19" i="45"/>
  <c r="B20" i="45"/>
  <c r="F20" i="45"/>
  <c r="G20" i="45"/>
  <c r="O64" i="24"/>
  <c r="H20" i="45" s="1"/>
  <c r="B21" i="45"/>
  <c r="F21" i="45"/>
  <c r="G21" i="45"/>
  <c r="B22" i="45"/>
  <c r="F22" i="45"/>
  <c r="G22" i="45"/>
  <c r="B23" i="45"/>
  <c r="F23" i="45"/>
  <c r="G23" i="45"/>
  <c r="F24" i="45"/>
  <c r="G24" i="45"/>
  <c r="O76" i="24"/>
  <c r="H24" i="45" s="1"/>
  <c r="O85" i="24"/>
  <c r="H27" i="45" s="1"/>
  <c r="F28" i="45"/>
  <c r="G28" i="45"/>
  <c r="B29" i="45"/>
  <c r="F29" i="45"/>
  <c r="G29" i="45"/>
  <c r="B30" i="45"/>
  <c r="C30" i="45"/>
  <c r="F30" i="45"/>
  <c r="G30" i="45"/>
  <c r="O94" i="24"/>
  <c r="H30" i="45" s="1"/>
  <c r="B31" i="45"/>
  <c r="F31" i="45"/>
  <c r="G31" i="45"/>
  <c r="O97" i="24"/>
  <c r="H31" i="45" s="1"/>
  <c r="B7" i="21"/>
  <c r="C7" i="21"/>
  <c r="D7" i="21"/>
  <c r="B5" i="46"/>
  <c r="B6" i="46"/>
  <c r="O40" i="24"/>
  <c r="H12" i="45" s="1"/>
  <c r="O43" i="24"/>
  <c r="H13" i="45" s="1"/>
  <c r="O52" i="24"/>
  <c r="H16" i="45" s="1"/>
  <c r="O55" i="24"/>
  <c r="H17" i="45" s="1"/>
  <c r="O58" i="24"/>
  <c r="H18" i="45" s="1"/>
  <c r="O61" i="24"/>
  <c r="H19" i="45" s="1"/>
  <c r="O67" i="24"/>
  <c r="H21" i="45" s="1"/>
  <c r="O70" i="24"/>
  <c r="H22" i="45" s="1"/>
  <c r="O73" i="24"/>
  <c r="H23" i="45" s="1"/>
  <c r="O88" i="24"/>
  <c r="H28" i="45" s="1"/>
  <c r="O91" i="24"/>
  <c r="H29" i="45" s="1"/>
  <c r="B27" i="13"/>
  <c r="E5" i="2"/>
  <c r="B8" i="29"/>
  <c r="F8" i="29"/>
  <c r="I89" i="12"/>
  <c r="C7" i="12"/>
  <c r="O7" i="12"/>
  <c r="A76" i="12"/>
  <c r="C8" i="44"/>
  <c r="J8" i="44"/>
  <c r="C5" i="2"/>
  <c r="O23" i="2"/>
  <c r="D16" i="45" s="1"/>
  <c r="P24" i="2"/>
  <c r="O29" i="2"/>
  <c r="P27" i="2" s="1"/>
  <c r="O62" i="2"/>
  <c r="O65" i="2"/>
  <c r="P63" i="2" s="1"/>
  <c r="A23" i="49" s="1"/>
  <c r="D33" i="11"/>
  <c r="D27" i="24" s="1"/>
  <c r="D72" i="11" s="1"/>
  <c r="E33" i="11"/>
  <c r="F33" i="11"/>
  <c r="F27" i="24" s="1"/>
  <c r="F72" i="11" s="1"/>
  <c r="G33" i="11"/>
  <c r="G27" i="24" s="1"/>
  <c r="G72" i="11" s="1"/>
  <c r="H33" i="11"/>
  <c r="H27" i="24" s="1"/>
  <c r="H72" i="11" s="1"/>
  <c r="I33" i="11"/>
  <c r="J33" i="11"/>
  <c r="K33" i="11"/>
  <c r="K27" i="24" s="1"/>
  <c r="K72" i="11" s="1"/>
  <c r="B5" i="51"/>
  <c r="C5" i="51"/>
  <c r="AH25" i="12"/>
  <c r="AG25" i="12"/>
  <c r="AI25" i="12"/>
  <c r="AH26" i="12"/>
  <c r="A20" i="49"/>
  <c r="L61" i="24"/>
  <c r="O34" i="2" l="1"/>
  <c r="O37" i="2"/>
  <c r="C21" i="45" s="1"/>
  <c r="O70" i="2"/>
  <c r="E27" i="24"/>
  <c r="E72" i="11" s="1"/>
  <c r="P60" i="2"/>
  <c r="M91" i="24" s="1"/>
  <c r="D29" i="45"/>
  <c r="P21" i="2"/>
  <c r="M52" i="24" s="1"/>
  <c r="N52" i="24" s="1"/>
  <c r="E16" i="45" s="1"/>
  <c r="R6" i="20"/>
  <c r="R10" i="20"/>
  <c r="N26" i="12"/>
  <c r="Q26" i="12" s="1"/>
  <c r="R7" i="20"/>
  <c r="R11" i="20"/>
  <c r="N25" i="12"/>
  <c r="R25" i="12" s="1"/>
  <c r="Q7" i="20" s="1"/>
  <c r="R8" i="20"/>
  <c r="N24" i="12"/>
  <c r="AI27" i="12"/>
  <c r="N27" i="12"/>
  <c r="M9" i="20" s="1"/>
  <c r="R5" i="20"/>
  <c r="N23" i="12"/>
  <c r="O57" i="2"/>
  <c r="B28" i="45" s="1"/>
  <c r="L29" i="24"/>
  <c r="L74" i="11" s="1"/>
  <c r="H4" i="46"/>
  <c r="J27" i="24"/>
  <c r="J72" i="11" s="1"/>
  <c r="G4" i="46"/>
  <c r="I27" i="24"/>
  <c r="I72" i="11" s="1"/>
  <c r="O45" i="2"/>
  <c r="P45" i="2" s="1"/>
  <c r="L30" i="24"/>
  <c r="L75" i="11" s="1"/>
  <c r="L31" i="24"/>
  <c r="L76" i="11" s="1"/>
  <c r="L25" i="24"/>
  <c r="L70" i="11" s="1"/>
  <c r="M58" i="24"/>
  <c r="M46" i="24"/>
  <c r="C15" i="45"/>
  <c r="AG26" i="12"/>
  <c r="AG22" i="12"/>
  <c r="AI22" i="12"/>
  <c r="D2" i="51"/>
  <c r="D4" i="51"/>
  <c r="AI26" i="12"/>
  <c r="AG24" i="12"/>
  <c r="AH24" i="12"/>
  <c r="AI24" i="12"/>
  <c r="AH22" i="12"/>
  <c r="A7" i="49"/>
  <c r="AI23" i="12"/>
  <c r="AH23" i="12"/>
  <c r="AG23" i="12"/>
  <c r="AH28" i="12"/>
  <c r="AI21" i="12"/>
  <c r="AG21" i="12"/>
  <c r="AH21" i="12"/>
  <c r="O20" i="2"/>
  <c r="D15" i="45" s="1"/>
  <c r="I23" i="49"/>
  <c r="J23" i="49"/>
  <c r="J20" i="49"/>
  <c r="I20" i="49"/>
  <c r="C8" i="20"/>
  <c r="C6" i="20"/>
  <c r="C20" i="49"/>
  <c r="G20" i="49"/>
  <c r="E20" i="49"/>
  <c r="M20" i="49"/>
  <c r="F20" i="49"/>
  <c r="D20" i="49"/>
  <c r="H20" i="49"/>
  <c r="L20" i="49"/>
  <c r="K20" i="49"/>
  <c r="D23" i="49"/>
  <c r="E23" i="49"/>
  <c r="C23" i="49"/>
  <c r="F23" i="49"/>
  <c r="G23" i="49"/>
  <c r="H23" i="49"/>
  <c r="K23" i="49"/>
  <c r="M23" i="49"/>
  <c r="L23" i="49"/>
  <c r="P54" i="2"/>
  <c r="A17" i="49" s="1"/>
  <c r="D27" i="45"/>
  <c r="D30" i="45"/>
  <c r="L55" i="24"/>
  <c r="D14" i="45"/>
  <c r="J5" i="46"/>
  <c r="S22" i="2"/>
  <c r="C7" i="20"/>
  <c r="D17" i="45"/>
  <c r="L94" i="24"/>
  <c r="L58" i="24"/>
  <c r="R9" i="20"/>
  <c r="AG27" i="12"/>
  <c r="AH27" i="12"/>
  <c r="AI29" i="12"/>
  <c r="C9" i="20"/>
  <c r="C12" i="20"/>
  <c r="F4" i="46"/>
  <c r="AI28" i="12"/>
  <c r="AG28" i="12"/>
  <c r="J6" i="46"/>
  <c r="C4" i="46"/>
  <c r="L52" i="24"/>
  <c r="J2" i="46"/>
  <c r="AI30" i="12"/>
  <c r="AH30" i="12"/>
  <c r="AG29" i="12"/>
  <c r="AH29" i="12"/>
  <c r="C5" i="20"/>
  <c r="C4" i="20"/>
  <c r="Q22" i="12"/>
  <c r="P4" i="20" s="1"/>
  <c r="B3" i="21"/>
  <c r="E4" i="46"/>
  <c r="O13" i="2"/>
  <c r="L46" i="24"/>
  <c r="M94" i="24"/>
  <c r="N94" i="24" s="1"/>
  <c r="E30" i="45" s="1"/>
  <c r="A10" i="49"/>
  <c r="J10" i="49" s="1"/>
  <c r="B4" i="46"/>
  <c r="B6" i="29"/>
  <c r="C5" i="12"/>
  <c r="C6" i="44"/>
  <c r="O35" i="2"/>
  <c r="P33" i="2" s="1"/>
  <c r="M64" i="24" s="1"/>
  <c r="L85" i="24"/>
  <c r="O40" i="2"/>
  <c r="O41" i="2" s="1"/>
  <c r="N21" i="12"/>
  <c r="C31" i="12"/>
  <c r="N29" i="12"/>
  <c r="C11" i="20"/>
  <c r="L33" i="11"/>
  <c r="D4" i="46"/>
  <c r="O101" i="11"/>
  <c r="L91" i="24"/>
  <c r="M55" i="24"/>
  <c r="N55" i="24" s="1"/>
  <c r="E17" i="45" s="1"/>
  <c r="A8" i="49"/>
  <c r="I4" i="46"/>
  <c r="D18" i="45"/>
  <c r="N28" i="12"/>
  <c r="C10" i="20"/>
  <c r="O71" i="2" l="1"/>
  <c r="C32" i="45"/>
  <c r="B25" i="45"/>
  <c r="M79" i="24"/>
  <c r="N79" i="24" s="1"/>
  <c r="E25" i="45" s="1"/>
  <c r="L79" i="24"/>
  <c r="M8" i="20"/>
  <c r="M7" i="20"/>
  <c r="Q27" i="12"/>
  <c r="P9" i="20" s="1"/>
  <c r="A19" i="49"/>
  <c r="D19" i="49" s="1"/>
  <c r="A21" i="49"/>
  <c r="M6" i="20"/>
  <c r="Q24" i="12"/>
  <c r="P6" i="20" s="1"/>
  <c r="Q25" i="12"/>
  <c r="P8" i="20"/>
  <c r="R26" i="12"/>
  <c r="Q8" i="20" s="1"/>
  <c r="R27" i="12"/>
  <c r="M5" i="20"/>
  <c r="Q23" i="12"/>
  <c r="P5" i="20" s="1"/>
  <c r="C13" i="20"/>
  <c r="O67" i="2"/>
  <c r="L27" i="24"/>
  <c r="L72" i="11" s="1"/>
  <c r="A7" i="21"/>
  <c r="A4" i="49"/>
  <c r="J4" i="49" s="1"/>
  <c r="O38" i="2"/>
  <c r="P36" i="2" s="1"/>
  <c r="M67" i="24" s="1"/>
  <c r="N67" i="24" s="1"/>
  <c r="E21" i="45" s="1"/>
  <c r="R24" i="12"/>
  <c r="Q6" i="20" s="1"/>
  <c r="I7" i="49"/>
  <c r="K7" i="49"/>
  <c r="E7" i="49"/>
  <c r="F7" i="49"/>
  <c r="H7" i="49"/>
  <c r="D7" i="49"/>
  <c r="C7" i="49"/>
  <c r="L7" i="49"/>
  <c r="G7" i="49"/>
  <c r="J7" i="49"/>
  <c r="M7" i="49"/>
  <c r="C13" i="45"/>
  <c r="O14" i="2"/>
  <c r="L49" i="24"/>
  <c r="P18" i="2"/>
  <c r="A5" i="49" s="1"/>
  <c r="C22" i="45"/>
  <c r="P39" i="2"/>
  <c r="J17" i="49"/>
  <c r="I17" i="49"/>
  <c r="M85" i="24"/>
  <c r="N85" i="24" s="1"/>
  <c r="E27" i="45" s="1"/>
  <c r="F17" i="49"/>
  <c r="D17" i="49"/>
  <c r="K17" i="49"/>
  <c r="G17" i="49"/>
  <c r="L17" i="49"/>
  <c r="M17" i="49"/>
  <c r="E17" i="49"/>
  <c r="C17" i="49"/>
  <c r="H17" i="49"/>
  <c r="C20" i="45"/>
  <c r="I8" i="49"/>
  <c r="H8" i="49"/>
  <c r="K10" i="49"/>
  <c r="I10" i="49"/>
  <c r="H10" i="49"/>
  <c r="A6" i="49"/>
  <c r="B24" i="45"/>
  <c r="L10" i="49"/>
  <c r="G10" i="49"/>
  <c r="M10" i="49"/>
  <c r="F10" i="49"/>
  <c r="E10" i="49"/>
  <c r="R22" i="12"/>
  <c r="Q4" i="20" s="1"/>
  <c r="E3" i="13"/>
  <c r="F3" i="13" s="1"/>
  <c r="F1" i="13"/>
  <c r="N46" i="24"/>
  <c r="E14" i="45" s="1"/>
  <c r="D10" i="49"/>
  <c r="C10" i="49"/>
  <c r="L76" i="24"/>
  <c r="Q21" i="12"/>
  <c r="P3" i="20" s="1"/>
  <c r="M3" i="20"/>
  <c r="O58" i="2"/>
  <c r="O59" i="2" s="1"/>
  <c r="O43" i="2"/>
  <c r="O10" i="2"/>
  <c r="J4" i="46"/>
  <c r="N91" i="24"/>
  <c r="E29" i="45" s="1"/>
  <c r="N58" i="24"/>
  <c r="E18" i="45" s="1"/>
  <c r="A9" i="49"/>
  <c r="J9" i="49" s="1"/>
  <c r="M11" i="20"/>
  <c r="Q29" i="12"/>
  <c r="M10" i="20"/>
  <c r="Q28" i="12"/>
  <c r="E8" i="49"/>
  <c r="J8" i="49"/>
  <c r="D8" i="49"/>
  <c r="M8" i="49"/>
  <c r="F8" i="49"/>
  <c r="K8" i="49"/>
  <c r="L8" i="49"/>
  <c r="G8" i="49"/>
  <c r="C8" i="49"/>
  <c r="D32" i="45" l="1"/>
  <c r="L100" i="24"/>
  <c r="P69" i="2"/>
  <c r="M100" i="24" s="1"/>
  <c r="N100" i="24" s="1"/>
  <c r="E32" i="45" s="1"/>
  <c r="M19" i="49"/>
  <c r="J19" i="49"/>
  <c r="F19" i="49"/>
  <c r="G19" i="49"/>
  <c r="K19" i="49"/>
  <c r="I19" i="49"/>
  <c r="L19" i="49"/>
  <c r="C19" i="49"/>
  <c r="H19" i="49"/>
  <c r="E19" i="49"/>
  <c r="M6" i="49"/>
  <c r="J6" i="49"/>
  <c r="J21" i="49"/>
  <c r="I21" i="49"/>
  <c r="F21" i="49"/>
  <c r="E21" i="49"/>
  <c r="H21" i="49"/>
  <c r="L21" i="49"/>
  <c r="G21" i="49"/>
  <c r="C21" i="49"/>
  <c r="D21" i="49"/>
  <c r="M21" i="49"/>
  <c r="K21" i="49"/>
  <c r="A11" i="47"/>
  <c r="H59" i="47" s="1"/>
  <c r="A7" i="47"/>
  <c r="H55" i="47" s="1"/>
  <c r="A3" i="47"/>
  <c r="H3" i="47" s="1"/>
  <c r="A8" i="47"/>
  <c r="A10" i="47"/>
  <c r="H58" i="47" s="1"/>
  <c r="A6" i="47"/>
  <c r="H6" i="47" s="1"/>
  <c r="A2" i="47"/>
  <c r="A12" i="47"/>
  <c r="H97" i="47" s="1"/>
  <c r="A9" i="47"/>
  <c r="H107" i="47" s="1"/>
  <c r="A5" i="47"/>
  <c r="H53" i="47" s="1"/>
  <c r="A4" i="47"/>
  <c r="H4" i="47" s="1"/>
  <c r="P11" i="20"/>
  <c r="R23" i="12"/>
  <c r="Q5" i="20" s="1"/>
  <c r="P7" i="20"/>
  <c r="P10" i="20"/>
  <c r="Q9" i="20"/>
  <c r="A13" i="47"/>
  <c r="H98" i="47" s="1"/>
  <c r="A20" i="12"/>
  <c r="A2" i="20" s="1"/>
  <c r="D21" i="45"/>
  <c r="E4" i="49"/>
  <c r="I4" i="49"/>
  <c r="M4" i="49"/>
  <c r="D4" i="49"/>
  <c r="C4" i="49"/>
  <c r="K4" i="49"/>
  <c r="L4" i="49"/>
  <c r="G4" i="49"/>
  <c r="F4" i="49"/>
  <c r="H4" i="49"/>
  <c r="L67" i="24"/>
  <c r="A15" i="49"/>
  <c r="H15" i="49" s="1"/>
  <c r="M76" i="24"/>
  <c r="N76" i="24" s="1"/>
  <c r="E24" i="45" s="1"/>
  <c r="A21" i="12"/>
  <c r="A3" i="20" s="1"/>
  <c r="A29" i="12"/>
  <c r="M49" i="24"/>
  <c r="N49" i="24" s="1"/>
  <c r="E15" i="45" s="1"/>
  <c r="O44" i="2"/>
  <c r="P42" i="2" s="1"/>
  <c r="D22" i="45"/>
  <c r="L70" i="24"/>
  <c r="D20" i="45"/>
  <c r="L64" i="24"/>
  <c r="A12" i="49"/>
  <c r="I12" i="49" s="1"/>
  <c r="G6" i="49"/>
  <c r="E6" i="49"/>
  <c r="C6" i="49"/>
  <c r="L6" i="49"/>
  <c r="H5" i="49"/>
  <c r="I5" i="49"/>
  <c r="I6" i="49"/>
  <c r="H6" i="49"/>
  <c r="D6" i="49"/>
  <c r="F6" i="49"/>
  <c r="K6" i="49"/>
  <c r="I9" i="49"/>
  <c r="H9" i="49"/>
  <c r="L43" i="24"/>
  <c r="P12" i="2"/>
  <c r="D13" i="45"/>
  <c r="C12" i="45"/>
  <c r="O11" i="2"/>
  <c r="P9" i="2" s="1"/>
  <c r="M40" i="24" s="1"/>
  <c r="N40" i="24" s="1"/>
  <c r="C31" i="45"/>
  <c r="O68" i="2"/>
  <c r="P66" i="2" s="1"/>
  <c r="A24" i="49" s="1"/>
  <c r="R29" i="12"/>
  <c r="R28" i="12"/>
  <c r="R21" i="12"/>
  <c r="Q3" i="20" s="1"/>
  <c r="A26" i="12"/>
  <c r="A8" i="20" s="1"/>
  <c r="A24" i="12"/>
  <c r="A6" i="20" s="1"/>
  <c r="A31" i="12"/>
  <c r="A13" i="20" s="1"/>
  <c r="A30" i="12"/>
  <c r="A28" i="12"/>
  <c r="A10" i="20" s="1"/>
  <c r="A23" i="12"/>
  <c r="A5" i="20" s="1"/>
  <c r="A27" i="12"/>
  <c r="A9" i="20" s="1"/>
  <c r="A25" i="12"/>
  <c r="A7" i="20" s="1"/>
  <c r="A22" i="12"/>
  <c r="A4" i="20" s="1"/>
  <c r="D5" i="49"/>
  <c r="J5" i="49"/>
  <c r="C5" i="49"/>
  <c r="F5" i="49"/>
  <c r="G5" i="49"/>
  <c r="K5" i="49"/>
  <c r="M5" i="49"/>
  <c r="E5" i="49"/>
  <c r="L5" i="49"/>
  <c r="C28" i="45"/>
  <c r="P57" i="2"/>
  <c r="A18" i="49" s="1"/>
  <c r="D9" i="49"/>
  <c r="C9" i="49"/>
  <c r="E9" i="49"/>
  <c r="F9" i="49"/>
  <c r="M9" i="49"/>
  <c r="L9" i="49"/>
  <c r="K9" i="49"/>
  <c r="G9" i="49"/>
  <c r="C23" i="45"/>
  <c r="A25" i="49" l="1"/>
  <c r="I25" i="49" s="1"/>
  <c r="H7" i="47"/>
  <c r="E7" i="47" s="1"/>
  <c r="H11" i="47"/>
  <c r="E11" i="47" s="1"/>
  <c r="H10" i="47"/>
  <c r="E10" i="47" s="1"/>
  <c r="H9" i="47"/>
  <c r="E9" i="47" s="1"/>
  <c r="H68" i="47"/>
  <c r="E68" i="47" s="1"/>
  <c r="H80" i="47"/>
  <c r="E80" i="47" s="1"/>
  <c r="H20" i="47"/>
  <c r="E20" i="47" s="1"/>
  <c r="H93" i="47"/>
  <c r="E93" i="47" s="1"/>
  <c r="H32" i="47"/>
  <c r="E32" i="47" s="1"/>
  <c r="H56" i="47"/>
  <c r="E56" i="47" s="1"/>
  <c r="H44" i="47"/>
  <c r="E44" i="47" s="1"/>
  <c r="H87" i="47"/>
  <c r="E87" i="47" s="1"/>
  <c r="H62" i="47"/>
  <c r="E62" i="47" s="1"/>
  <c r="H26" i="47"/>
  <c r="E26" i="47" s="1"/>
  <c r="H14" i="47"/>
  <c r="E14" i="47" s="1"/>
  <c r="H50" i="47"/>
  <c r="E50" i="47" s="1"/>
  <c r="H74" i="47"/>
  <c r="E74" i="47" s="1"/>
  <c r="H38" i="47"/>
  <c r="E38" i="47" s="1"/>
  <c r="H2" i="47"/>
  <c r="H65" i="47"/>
  <c r="E65" i="47" s="1"/>
  <c r="H77" i="47"/>
  <c r="E77" i="47" s="1"/>
  <c r="H90" i="47"/>
  <c r="E90" i="47" s="1"/>
  <c r="H17" i="47"/>
  <c r="E17" i="47" s="1"/>
  <c r="H29" i="47"/>
  <c r="E29" i="47" s="1"/>
  <c r="H41" i="47"/>
  <c r="E41" i="47" s="1"/>
  <c r="H78" i="47"/>
  <c r="E78" i="47" s="1"/>
  <c r="H18" i="47"/>
  <c r="E18" i="47" s="1"/>
  <c r="H66" i="47"/>
  <c r="E66" i="47" s="1"/>
  <c r="H91" i="47"/>
  <c r="E91" i="47" s="1"/>
  <c r="H30" i="47"/>
  <c r="E30" i="47" s="1"/>
  <c r="H42" i="47"/>
  <c r="E42" i="47" s="1"/>
  <c r="H54" i="47"/>
  <c r="E54" i="47" s="1"/>
  <c r="H79" i="47"/>
  <c r="E79" i="47" s="1"/>
  <c r="H19" i="47"/>
  <c r="E19" i="47" s="1"/>
  <c r="H67" i="47"/>
  <c r="E67" i="47" s="1"/>
  <c r="H31" i="47"/>
  <c r="E31" i="47" s="1"/>
  <c r="H92" i="47"/>
  <c r="E92" i="47" s="1"/>
  <c r="H43" i="47"/>
  <c r="E43" i="47" s="1"/>
  <c r="H64" i="47"/>
  <c r="E64" i="47" s="1"/>
  <c r="H28" i="47"/>
  <c r="E28" i="47" s="1"/>
  <c r="H16" i="47"/>
  <c r="E16" i="47" s="1"/>
  <c r="H40" i="47"/>
  <c r="E40" i="47" s="1"/>
  <c r="H89" i="47"/>
  <c r="E89" i="47" s="1"/>
  <c r="H76" i="47"/>
  <c r="E76" i="47" s="1"/>
  <c r="H52" i="47"/>
  <c r="E52" i="47" s="1"/>
  <c r="H39" i="47"/>
  <c r="E39" i="47" s="1"/>
  <c r="H88" i="47"/>
  <c r="E88" i="47" s="1"/>
  <c r="H75" i="47"/>
  <c r="E75" i="47" s="1"/>
  <c r="H51" i="47"/>
  <c r="E51" i="47" s="1"/>
  <c r="H63" i="47"/>
  <c r="E63" i="47" s="1"/>
  <c r="H15" i="47"/>
  <c r="E15" i="47" s="1"/>
  <c r="H27" i="47"/>
  <c r="E27" i="47" s="1"/>
  <c r="H8" i="47"/>
  <c r="E8" i="47" s="1"/>
  <c r="H12" i="47"/>
  <c r="H81" i="47"/>
  <c r="E81" i="47" s="1"/>
  <c r="H69" i="47"/>
  <c r="E69" i="47" s="1"/>
  <c r="H94" i="47"/>
  <c r="E94" i="47" s="1"/>
  <c r="H33" i="47"/>
  <c r="E33" i="47" s="1"/>
  <c r="H21" i="47"/>
  <c r="E21" i="47" s="1"/>
  <c r="H57" i="47"/>
  <c r="E57" i="47" s="1"/>
  <c r="H45" i="47"/>
  <c r="E45" i="47" s="1"/>
  <c r="H82" i="47"/>
  <c r="E82" i="47" s="1"/>
  <c r="H70" i="47"/>
  <c r="E70" i="47" s="1"/>
  <c r="H22" i="47"/>
  <c r="E22" i="47" s="1"/>
  <c r="H95" i="47"/>
  <c r="E95" i="47" s="1"/>
  <c r="H34" i="47"/>
  <c r="E34" i="47" s="1"/>
  <c r="H46" i="47"/>
  <c r="E46" i="47" s="1"/>
  <c r="H23" i="47"/>
  <c r="E23" i="47" s="1"/>
  <c r="H71" i="47"/>
  <c r="E71" i="47" s="1"/>
  <c r="H83" i="47"/>
  <c r="E83" i="47" s="1"/>
  <c r="H96" i="47"/>
  <c r="E96" i="47" s="1"/>
  <c r="H35" i="47"/>
  <c r="E35" i="47" s="1"/>
  <c r="H47" i="47"/>
  <c r="E47" i="47" s="1"/>
  <c r="H5" i="47"/>
  <c r="Q11" i="20"/>
  <c r="H109" i="47"/>
  <c r="E109" i="47" s="1"/>
  <c r="Q10" i="20"/>
  <c r="H108" i="47"/>
  <c r="E108" i="47" s="1"/>
  <c r="D15" i="49"/>
  <c r="I15" i="49"/>
  <c r="G15" i="49"/>
  <c r="E107" i="47"/>
  <c r="M73" i="24"/>
  <c r="R33" i="12"/>
  <c r="H99" i="47" s="1"/>
  <c r="E99" i="47" s="1"/>
  <c r="M15" i="49"/>
  <c r="L15" i="49"/>
  <c r="J15" i="49"/>
  <c r="K15" i="49"/>
  <c r="C15" i="49"/>
  <c r="F15" i="49"/>
  <c r="E15" i="49"/>
  <c r="A3" i="49"/>
  <c r="D3" i="49" s="1"/>
  <c r="D23" i="45"/>
  <c r="L73" i="24"/>
  <c r="M70" i="24"/>
  <c r="N70" i="24" s="1"/>
  <c r="E22" i="45" s="1"/>
  <c r="A13" i="49"/>
  <c r="J24" i="49"/>
  <c r="I24" i="49"/>
  <c r="J18" i="49"/>
  <c r="I18" i="49"/>
  <c r="C18" i="49"/>
  <c r="H18" i="49"/>
  <c r="L18" i="49"/>
  <c r="G18" i="49"/>
  <c r="E18" i="49"/>
  <c r="D18" i="49"/>
  <c r="K18" i="49"/>
  <c r="F18" i="49"/>
  <c r="M18" i="49"/>
  <c r="H24" i="49"/>
  <c r="L24" i="49"/>
  <c r="G24" i="49"/>
  <c r="D24" i="49"/>
  <c r="M24" i="49"/>
  <c r="C24" i="49"/>
  <c r="E24" i="49"/>
  <c r="F24" i="49"/>
  <c r="K24" i="49"/>
  <c r="M12" i="49"/>
  <c r="F12" i="49"/>
  <c r="L12" i="49"/>
  <c r="J12" i="49"/>
  <c r="K12" i="49"/>
  <c r="C12" i="49"/>
  <c r="G12" i="49"/>
  <c r="D12" i="49"/>
  <c r="E12" i="49"/>
  <c r="H12" i="49"/>
  <c r="N64" i="24"/>
  <c r="E20" i="45" s="1"/>
  <c r="A11" i="49"/>
  <c r="A11" i="20"/>
  <c r="M43" i="24"/>
  <c r="N43" i="24" s="1"/>
  <c r="E13" i="45" s="1"/>
  <c r="D12" i="45"/>
  <c r="L40" i="24"/>
  <c r="L97" i="24"/>
  <c r="D31" i="45"/>
  <c r="A12" i="20"/>
  <c r="E58" i="47"/>
  <c r="E59" i="47"/>
  <c r="E53" i="47"/>
  <c r="E61" i="47"/>
  <c r="E98" i="47"/>
  <c r="E73" i="47"/>
  <c r="E49" i="47"/>
  <c r="E85" i="47"/>
  <c r="E37" i="47"/>
  <c r="E3" i="47"/>
  <c r="E4" i="47"/>
  <c r="E55" i="47"/>
  <c r="E6" i="47"/>
  <c r="D28" i="45"/>
  <c r="L88" i="24"/>
  <c r="E25" i="49" l="1"/>
  <c r="D25" i="49"/>
  <c r="F25" i="49"/>
  <c r="L25" i="49"/>
  <c r="H25" i="49"/>
  <c r="C25" i="49"/>
  <c r="K25" i="49"/>
  <c r="M25" i="49"/>
  <c r="J25" i="49"/>
  <c r="G25" i="49"/>
  <c r="B15" i="31"/>
  <c r="C15" i="31" s="1"/>
  <c r="B19" i="31"/>
  <c r="C19" i="31" s="1"/>
  <c r="B23" i="31"/>
  <c r="C23" i="31" s="1"/>
  <c r="B16" i="31"/>
  <c r="C16" i="31" s="1"/>
  <c r="B18" i="31"/>
  <c r="C18" i="31" s="1"/>
  <c r="B17" i="31"/>
  <c r="C17" i="31" s="1"/>
  <c r="B21" i="31"/>
  <c r="C21" i="31" s="1"/>
  <c r="B20" i="31"/>
  <c r="C20" i="31" s="1"/>
  <c r="E5" i="47"/>
  <c r="B25" i="31"/>
  <c r="C25" i="31" s="1"/>
  <c r="E24" i="47"/>
  <c r="E72" i="47"/>
  <c r="E48" i="47"/>
  <c r="E84" i="47"/>
  <c r="E12" i="47"/>
  <c r="G12" i="47"/>
  <c r="J12" i="47"/>
  <c r="F12" i="47"/>
  <c r="E25" i="47"/>
  <c r="E36" i="47"/>
  <c r="E2" i="47"/>
  <c r="E60" i="47"/>
  <c r="E97" i="47"/>
  <c r="G97" i="47"/>
  <c r="J97" i="47"/>
  <c r="F97" i="47"/>
  <c r="D6" i="24"/>
  <c r="G6" i="24"/>
  <c r="G9" i="24" s="1"/>
  <c r="C6" i="24"/>
  <c r="H6" i="24"/>
  <c r="H9" i="24" s="1"/>
  <c r="F6" i="24"/>
  <c r="E6" i="24"/>
  <c r="E3" i="49"/>
  <c r="F3" i="49"/>
  <c r="G3" i="49"/>
  <c r="K3" i="49"/>
  <c r="H86" i="47"/>
  <c r="E86" i="47" s="1"/>
  <c r="C3" i="49"/>
  <c r="J3" i="49"/>
  <c r="H3" i="49"/>
  <c r="L3" i="49"/>
  <c r="I3" i="49"/>
  <c r="M3" i="49"/>
  <c r="A14" i="49"/>
  <c r="N73" i="24"/>
  <c r="E23" i="45" s="1"/>
  <c r="G13" i="49"/>
  <c r="D13" i="49"/>
  <c r="M13" i="49"/>
  <c r="I13" i="49"/>
  <c r="C13" i="49"/>
  <c r="H13" i="49"/>
  <c r="J13" i="49"/>
  <c r="E13" i="49"/>
  <c r="F13" i="49"/>
  <c r="L13" i="49"/>
  <c r="K13" i="49"/>
  <c r="I11" i="49"/>
  <c r="J11" i="49"/>
  <c r="C11" i="49"/>
  <c r="D11" i="49"/>
  <c r="H11" i="49"/>
  <c r="L11" i="49"/>
  <c r="G11" i="49"/>
  <c r="E11" i="49"/>
  <c r="M11" i="49"/>
  <c r="K11" i="49"/>
  <c r="F11" i="49"/>
  <c r="G107" i="47"/>
  <c r="A2" i="49"/>
  <c r="E12" i="45"/>
  <c r="M97" i="24"/>
  <c r="N97" i="24" s="1"/>
  <c r="E31" i="45" s="1"/>
  <c r="F87" i="47"/>
  <c r="J87" i="47"/>
  <c r="G87" i="47"/>
  <c r="E23" i="31"/>
  <c r="G39" i="47"/>
  <c r="F39" i="47"/>
  <c r="J39" i="47"/>
  <c r="G29" i="47"/>
  <c r="F29" i="47"/>
  <c r="J29" i="47"/>
  <c r="J91" i="47"/>
  <c r="F91" i="47"/>
  <c r="G91" i="47"/>
  <c r="G28" i="47"/>
  <c r="F28" i="47"/>
  <c r="J28" i="47"/>
  <c r="G98" i="47"/>
  <c r="F98" i="47"/>
  <c r="J98" i="47"/>
  <c r="F77" i="47"/>
  <c r="J77" i="47"/>
  <c r="G77" i="47"/>
  <c r="J35" i="47"/>
  <c r="F35" i="47"/>
  <c r="I35" i="47"/>
  <c r="G35" i="47"/>
  <c r="J46" i="47"/>
  <c r="F46" i="47"/>
  <c r="G46" i="47"/>
  <c r="F78" i="47"/>
  <c r="G78" i="47"/>
  <c r="I78" i="47"/>
  <c r="J78" i="47"/>
  <c r="G31" i="47"/>
  <c r="J31" i="47"/>
  <c r="F31" i="47"/>
  <c r="J14" i="47"/>
  <c r="F14" i="47"/>
  <c r="G14" i="47"/>
  <c r="D16" i="31"/>
  <c r="E16" i="31"/>
  <c r="J16" i="47"/>
  <c r="F16" i="47"/>
  <c r="G16" i="47"/>
  <c r="J63" i="47"/>
  <c r="G63" i="47"/>
  <c r="F63" i="47"/>
  <c r="F32" i="47"/>
  <c r="G32" i="47"/>
  <c r="J32" i="47"/>
  <c r="J81" i="47"/>
  <c r="G81" i="47"/>
  <c r="F81" i="47"/>
  <c r="J53" i="47"/>
  <c r="G53" i="47"/>
  <c r="F53" i="47"/>
  <c r="J109" i="47"/>
  <c r="G109" i="47"/>
  <c r="F109" i="47"/>
  <c r="J58" i="47"/>
  <c r="G58" i="47"/>
  <c r="F58" i="47"/>
  <c r="G54" i="47"/>
  <c r="I54" i="47"/>
  <c r="J54" i="47"/>
  <c r="F54" i="47"/>
  <c r="G19" i="47"/>
  <c r="F19" i="47"/>
  <c r="J19" i="47"/>
  <c r="G74" i="47"/>
  <c r="F74" i="47"/>
  <c r="J74" i="47"/>
  <c r="E21" i="31"/>
  <c r="D21" i="31"/>
  <c r="J52" i="47"/>
  <c r="G52" i="47"/>
  <c r="I52" i="47"/>
  <c r="F52" i="47"/>
  <c r="J27" i="47"/>
  <c r="F27" i="47"/>
  <c r="G27" i="47"/>
  <c r="F93" i="47"/>
  <c r="J93" i="47"/>
  <c r="G93" i="47"/>
  <c r="F94" i="47"/>
  <c r="J94" i="47"/>
  <c r="G94" i="47"/>
  <c r="E25" i="31"/>
  <c r="F107" i="47"/>
  <c r="D25" i="31"/>
  <c r="J107" i="47"/>
  <c r="J5" i="47"/>
  <c r="G5" i="47"/>
  <c r="F5" i="47"/>
  <c r="G23" i="47"/>
  <c r="F23" i="47"/>
  <c r="J23" i="47"/>
  <c r="J82" i="47"/>
  <c r="G82" i="47"/>
  <c r="F82" i="47"/>
  <c r="I82" i="47"/>
  <c r="F6" i="47"/>
  <c r="G6" i="47"/>
  <c r="J6" i="47"/>
  <c r="J8" i="47"/>
  <c r="F8" i="47"/>
  <c r="G8" i="47"/>
  <c r="J34" i="47"/>
  <c r="G34" i="47"/>
  <c r="F34" i="47"/>
  <c r="I34" i="47"/>
  <c r="F50" i="47"/>
  <c r="G50" i="47"/>
  <c r="J50" i="47"/>
  <c r="E19" i="31"/>
  <c r="D19" i="31"/>
  <c r="I69" i="47"/>
  <c r="F69" i="47"/>
  <c r="J69" i="47"/>
  <c r="G69" i="47"/>
  <c r="D23" i="31"/>
  <c r="G92" i="47"/>
  <c r="F92" i="47"/>
  <c r="J92" i="47"/>
  <c r="F38" i="47"/>
  <c r="E18" i="31"/>
  <c r="G38" i="47"/>
  <c r="D18" i="31"/>
  <c r="J38" i="47"/>
  <c r="J51" i="47"/>
  <c r="G51" i="47"/>
  <c r="F51" i="47"/>
  <c r="J44" i="47"/>
  <c r="F44" i="47"/>
  <c r="G44" i="47"/>
  <c r="G17" i="47"/>
  <c r="J17" i="47"/>
  <c r="F17" i="47"/>
  <c r="J11" i="47"/>
  <c r="G11" i="47"/>
  <c r="F11" i="47"/>
  <c r="F83" i="47"/>
  <c r="I83" i="47"/>
  <c r="J83" i="47"/>
  <c r="G83" i="47"/>
  <c r="G70" i="47"/>
  <c r="I70" i="47"/>
  <c r="J70" i="47"/>
  <c r="F70" i="47"/>
  <c r="G2" i="47"/>
  <c r="J2" i="47"/>
  <c r="F2" i="47"/>
  <c r="D15" i="31"/>
  <c r="E15" i="31"/>
  <c r="J9" i="47"/>
  <c r="G9" i="47"/>
  <c r="F9" i="47"/>
  <c r="F41" i="47"/>
  <c r="G41" i="47"/>
  <c r="J41" i="47"/>
  <c r="E20" i="31"/>
  <c r="F71" i="47"/>
  <c r="I71" i="47"/>
  <c r="G71" i="47"/>
  <c r="J71" i="47"/>
  <c r="J95" i="47"/>
  <c r="F95" i="47"/>
  <c r="G95" i="47"/>
  <c r="G108" i="47"/>
  <c r="F108" i="47"/>
  <c r="J108" i="47"/>
  <c r="F66" i="47"/>
  <c r="G66" i="47"/>
  <c r="I66" i="47"/>
  <c r="J66" i="47"/>
  <c r="J67" i="47"/>
  <c r="G67" i="47"/>
  <c r="F67" i="47"/>
  <c r="I67" i="47"/>
  <c r="G26" i="47"/>
  <c r="D17" i="31"/>
  <c r="F26" i="47"/>
  <c r="J26" i="47"/>
  <c r="E17" i="31"/>
  <c r="F40" i="47"/>
  <c r="G40" i="47"/>
  <c r="J40" i="47"/>
  <c r="F88" i="47"/>
  <c r="G88" i="47"/>
  <c r="J88" i="47"/>
  <c r="J80" i="47"/>
  <c r="F80" i="47"/>
  <c r="G80" i="47"/>
  <c r="I80" i="47"/>
  <c r="F21" i="47"/>
  <c r="G21" i="47"/>
  <c r="J21" i="47"/>
  <c r="J90" i="47"/>
  <c r="F90" i="47"/>
  <c r="G90" i="47"/>
  <c r="J59" i="47"/>
  <c r="G59" i="47"/>
  <c r="F59" i="47"/>
  <c r="F22" i="47"/>
  <c r="J22" i="47"/>
  <c r="G22" i="47"/>
  <c r="F43" i="47"/>
  <c r="J43" i="47"/>
  <c r="G43" i="47"/>
  <c r="J64" i="47"/>
  <c r="G64" i="47"/>
  <c r="F64" i="47"/>
  <c r="J57" i="47"/>
  <c r="G57" i="47"/>
  <c r="F57" i="47"/>
  <c r="G47" i="47"/>
  <c r="F47" i="47"/>
  <c r="J47" i="47"/>
  <c r="G55" i="47"/>
  <c r="J55" i="47"/>
  <c r="F55" i="47"/>
  <c r="J15" i="47"/>
  <c r="G15" i="47"/>
  <c r="F15" i="47"/>
  <c r="G20" i="47"/>
  <c r="F20" i="47"/>
  <c r="J20" i="47"/>
  <c r="F18" i="47"/>
  <c r="I18" i="47"/>
  <c r="G18" i="47"/>
  <c r="J18" i="47"/>
  <c r="J76" i="47"/>
  <c r="F76" i="47"/>
  <c r="G76" i="47"/>
  <c r="F45" i="47"/>
  <c r="G45" i="47"/>
  <c r="J45" i="47"/>
  <c r="I42" i="47"/>
  <c r="J42" i="47"/>
  <c r="F42" i="47"/>
  <c r="G42" i="47"/>
  <c r="J79" i="47"/>
  <c r="G79" i="47"/>
  <c r="F79" i="47"/>
  <c r="I79" i="47"/>
  <c r="J89" i="47"/>
  <c r="F89" i="47"/>
  <c r="G89" i="47"/>
  <c r="G75" i="47"/>
  <c r="I75" i="47"/>
  <c r="F75" i="47"/>
  <c r="J75" i="47"/>
  <c r="F56" i="47"/>
  <c r="G56" i="47"/>
  <c r="J56" i="47"/>
  <c r="F30" i="47"/>
  <c r="G30" i="47"/>
  <c r="J30" i="47"/>
  <c r="I30" i="47"/>
  <c r="F7" i="47"/>
  <c r="J7" i="47"/>
  <c r="G7" i="47"/>
  <c r="J62" i="47"/>
  <c r="G62" i="47"/>
  <c r="F62" i="47"/>
  <c r="D20" i="31"/>
  <c r="F4" i="47"/>
  <c r="J4" i="47"/>
  <c r="G4" i="47"/>
  <c r="F3" i="47"/>
  <c r="J3" i="47"/>
  <c r="G3" i="47"/>
  <c r="F68" i="47"/>
  <c r="I68" i="47"/>
  <c r="G68" i="47"/>
  <c r="J68" i="47"/>
  <c r="G33" i="47"/>
  <c r="F33" i="47"/>
  <c r="J33" i="47"/>
  <c r="F65" i="47"/>
  <c r="J65" i="47"/>
  <c r="G65" i="47"/>
  <c r="F96" i="47"/>
  <c r="G96" i="47"/>
  <c r="J96" i="47"/>
  <c r="G10" i="47"/>
  <c r="F10" i="47"/>
  <c r="J10" i="47"/>
  <c r="M88" i="24"/>
  <c r="N88" i="24" s="1"/>
  <c r="E28" i="45" s="1"/>
  <c r="O108" i="47" a="1"/>
  <c r="O102" i="47" a="1"/>
  <c r="O106" i="47" a="1"/>
  <c r="O111" i="47" a="1"/>
  <c r="E77" i="2" l="1"/>
  <c r="J113" i="47"/>
  <c r="F5" i="31" s="1"/>
  <c r="O111" i="47"/>
  <c r="C111" i="48" s="1"/>
  <c r="O108" i="47"/>
  <c r="C108" i="48" s="1"/>
  <c r="O106" i="47"/>
  <c r="C106" i="48" s="1"/>
  <c r="O102" i="47"/>
  <c r="C102" i="48" s="1"/>
  <c r="J114" i="47"/>
  <c r="E5" i="31" s="1"/>
  <c r="C9" i="24"/>
  <c r="E11" i="24"/>
  <c r="D7" i="24"/>
  <c r="D10" i="24"/>
  <c r="E10" i="24"/>
  <c r="E7" i="24"/>
  <c r="E9" i="24"/>
  <c r="F9" i="24"/>
  <c r="G10" i="24"/>
  <c r="G7" i="24"/>
  <c r="G8" i="24" s="1"/>
  <c r="D9" i="24"/>
  <c r="K9" i="24" s="1"/>
  <c r="I6" i="24"/>
  <c r="K6" i="24"/>
  <c r="C14" i="49"/>
  <c r="D14" i="49"/>
  <c r="J14" i="49"/>
  <c r="K14" i="49"/>
  <c r="M14" i="49"/>
  <c r="F14" i="49"/>
  <c r="E14" i="49"/>
  <c r="H14" i="49"/>
  <c r="L14" i="49"/>
  <c r="G14" i="49"/>
  <c r="I14" i="49"/>
  <c r="I2" i="49"/>
  <c r="H2" i="49"/>
  <c r="M2" i="49"/>
  <c r="L2" i="49"/>
  <c r="D2" i="49"/>
  <c r="K2" i="49"/>
  <c r="F2" i="49"/>
  <c r="J2" i="49"/>
  <c r="G2" i="49"/>
  <c r="C2" i="49"/>
  <c r="E2" i="49"/>
  <c r="E24" i="31"/>
  <c r="J99" i="47"/>
  <c r="J115" i="47" s="1"/>
  <c r="G99" i="47"/>
  <c r="F99" i="47"/>
  <c r="D24" i="31"/>
  <c r="C24" i="31" s="1"/>
  <c r="J86" i="47"/>
  <c r="J116" i="47" s="1"/>
  <c r="G86" i="47"/>
  <c r="D22" i="31"/>
  <c r="C22" i="31" s="1"/>
  <c r="E22" i="31"/>
  <c r="F86" i="47"/>
  <c r="N100" i="47" a="1"/>
  <c r="M107" i="47" a="1"/>
  <c r="L102" i="47" a="1"/>
  <c r="O107" i="47" a="1"/>
  <c r="O56" i="47" a="1"/>
  <c r="O24" i="47" a="1"/>
  <c r="O109" i="47" a="1"/>
  <c r="O105" i="47" a="1"/>
  <c r="L105" i="47" a="1"/>
  <c r="N110" i="47" a="1"/>
  <c r="N103" i="47" a="1"/>
  <c r="O103" i="47" a="1"/>
  <c r="O99" i="47" a="1"/>
  <c r="L110" i="47" a="1"/>
  <c r="O104" i="47" a="1"/>
  <c r="O101" i="47" a="1"/>
  <c r="O110" i="47" a="1"/>
  <c r="O100" i="47" a="1"/>
  <c r="E78" i="2" l="1"/>
  <c r="E74" i="2"/>
  <c r="O105" i="47"/>
  <c r="C105" i="48" s="1"/>
  <c r="O100" i="47"/>
  <c r="C100" i="48" s="1"/>
  <c r="O109" i="47"/>
  <c r="C109" i="48" s="1"/>
  <c r="F74" i="2"/>
  <c r="E75" i="2"/>
  <c r="G11" i="24"/>
  <c r="I11" i="24" s="1"/>
  <c r="F77" i="2"/>
  <c r="F76" i="2"/>
  <c r="O104" i="47"/>
  <c r="C104" i="48" s="1"/>
  <c r="O101" i="47"/>
  <c r="C101" i="48" s="1"/>
  <c r="O103" i="47"/>
  <c r="C103" i="48" s="1"/>
  <c r="O24" i="47"/>
  <c r="C24" i="48" s="1"/>
  <c r="O110" i="47"/>
  <c r="C110" i="48" s="1"/>
  <c r="O56" i="47"/>
  <c r="C56" i="48" s="1"/>
  <c r="O99" i="47"/>
  <c r="C99" i="48" s="1"/>
  <c r="O107" i="47"/>
  <c r="C107" i="48" s="1"/>
  <c r="N100" i="47"/>
  <c r="B100" i="48" s="1"/>
  <c r="N110" i="47"/>
  <c r="B110" i="48" s="1"/>
  <c r="N103" i="47"/>
  <c r="B103" i="48" s="1"/>
  <c r="L102" i="47"/>
  <c r="A102" i="48" s="1"/>
  <c r="L110" i="47"/>
  <c r="A110" i="48" s="1"/>
  <c r="L105" i="47"/>
  <c r="A105" i="48" s="1"/>
  <c r="M107" i="47"/>
  <c r="I10" i="24"/>
  <c r="I9" i="24"/>
  <c r="E8" i="24"/>
  <c r="I8" i="24" s="1"/>
  <c r="I7" i="24"/>
  <c r="D5" i="31"/>
  <c r="C5" i="31"/>
  <c r="I21" i="31" a="1"/>
  <c r="I21" i="31" s="1"/>
  <c r="J21" i="31" s="1"/>
  <c r="I25" i="31" a="1"/>
  <c r="I25" i="31" s="1"/>
  <c r="J25" i="31" s="1"/>
  <c r="G25" i="31" a="1"/>
  <c r="G25" i="31" s="1"/>
  <c r="I20" i="31" a="1"/>
  <c r="I20" i="31" s="1"/>
  <c r="J20" i="31" s="1"/>
  <c r="H15" i="31" a="1"/>
  <c r="H15" i="31" s="1"/>
  <c r="B17" i="29" s="1"/>
  <c r="H21" i="31" a="1"/>
  <c r="H21" i="31" s="1"/>
  <c r="B23" i="29" s="1"/>
  <c r="G24" i="31" a="1"/>
  <c r="G24" i="31" s="1"/>
  <c r="I17" i="31" a="1"/>
  <c r="I17" i="31" s="1"/>
  <c r="J17" i="31" s="1"/>
  <c r="G18" i="31" a="1"/>
  <c r="G18" i="31" s="1"/>
  <c r="A20" i="29" s="1"/>
  <c r="I23" i="31" a="1"/>
  <c r="I23" i="31" s="1"/>
  <c r="J23" i="31" s="1"/>
  <c r="G16" i="31" a="1"/>
  <c r="G16" i="31" s="1"/>
  <c r="A18" i="29" s="1"/>
  <c r="H16" i="31" a="1"/>
  <c r="H16" i="31" s="1"/>
  <c r="B18" i="29" s="1"/>
  <c r="I15" i="31" a="1"/>
  <c r="I15" i="31" s="1"/>
  <c r="H24" i="31" a="1"/>
  <c r="H24" i="31" s="1"/>
  <c r="G22" i="31" a="1"/>
  <c r="G22" i="31" s="1"/>
  <c r="A24" i="29" s="1"/>
  <c r="I22" i="31" a="1"/>
  <c r="I22" i="31" s="1"/>
  <c r="J22" i="31" s="1"/>
  <c r="I16" i="31" a="1"/>
  <c r="I16" i="31" s="1"/>
  <c r="J16" i="31" s="1"/>
  <c r="H23" i="31" a="1"/>
  <c r="H23" i="31" s="1"/>
  <c r="B25" i="29" s="1"/>
  <c r="I18" i="31" a="1"/>
  <c r="I18" i="31" s="1"/>
  <c r="J18" i="31" s="1"/>
  <c r="H20" i="31" a="1"/>
  <c r="H20" i="31" s="1"/>
  <c r="B22" i="29" s="1"/>
  <c r="H17" i="31" a="1"/>
  <c r="H17" i="31" s="1"/>
  <c r="B19" i="29" s="1"/>
  <c r="E13" i="29"/>
  <c r="S13" i="12"/>
  <c r="B5" i="31"/>
  <c r="G19" i="31" a="1"/>
  <c r="G19" i="31" s="1"/>
  <c r="A21" i="29" s="1"/>
  <c r="G23" i="31" a="1"/>
  <c r="G23" i="31" s="1"/>
  <c r="A25" i="29" s="1"/>
  <c r="G20" i="31" a="1"/>
  <c r="G20" i="31" s="1"/>
  <c r="A22" i="29" s="1"/>
  <c r="G15" i="31" a="1"/>
  <c r="G15" i="31" s="1"/>
  <c r="A17" i="29" s="1"/>
  <c r="H25" i="31" a="1"/>
  <c r="H25" i="31" s="1"/>
  <c r="G17" i="31" a="1"/>
  <c r="G17" i="31" s="1"/>
  <c r="A19" i="29" s="1"/>
  <c r="I19" i="31" a="1"/>
  <c r="I19" i="31" s="1"/>
  <c r="J19" i="31" s="1"/>
  <c r="H22" i="31" a="1"/>
  <c r="H22" i="31" s="1"/>
  <c r="B24" i="29" s="1"/>
  <c r="H19" i="31" a="1"/>
  <c r="H19" i="31" s="1"/>
  <c r="B21" i="29" s="1"/>
  <c r="F13" i="29"/>
  <c r="Z13" i="12"/>
  <c r="H18" i="31" a="1"/>
  <c r="H18" i="31" s="1"/>
  <c r="B20" i="29" s="1"/>
  <c r="I24" i="31" a="1"/>
  <c r="I24" i="31" s="1"/>
  <c r="J24" i="31" s="1"/>
  <c r="G21" i="31" a="1"/>
  <c r="G21" i="31" s="1"/>
  <c r="A23" i="29" s="1"/>
  <c r="M99" i="47" a="1"/>
  <c r="L106" i="47" a="1"/>
  <c r="M106" i="47" a="1"/>
  <c r="M108" i="47" a="1"/>
  <c r="M101" i="47" a="1"/>
  <c r="M102" i="47" a="1"/>
  <c r="M100" i="47" a="1"/>
  <c r="L111" i="47" a="1"/>
  <c r="M111" i="47" a="1"/>
  <c r="L107" i="47" a="1"/>
  <c r="N105" i="47" a="1"/>
  <c r="M110" i="47" a="1"/>
  <c r="N107" i="47" a="1"/>
  <c r="M104" i="47" a="1"/>
  <c r="L108" i="47" a="1"/>
  <c r="M105" i="47" a="1"/>
  <c r="L104" i="47" a="1"/>
  <c r="N106" i="47" a="1"/>
  <c r="L99" i="47" a="1"/>
  <c r="L103" i="47" a="1"/>
  <c r="L101" i="47" a="1"/>
  <c r="M103" i="47" a="1"/>
  <c r="N102" i="47" a="1"/>
  <c r="M109" i="47" a="1"/>
  <c r="L100" i="47" a="1"/>
  <c r="N101" i="47" a="1"/>
  <c r="N99" i="47" a="1"/>
  <c r="N108" i="47" a="1"/>
  <c r="N109" i="47" a="1"/>
  <c r="N111" i="47" a="1"/>
  <c r="L109" i="47" a="1"/>
  <c r="N104" i="47" a="1"/>
  <c r="N109" i="47" l="1"/>
  <c r="B109" i="48" s="1"/>
  <c r="N106" i="47"/>
  <c r="B106" i="48" s="1"/>
  <c r="G76" i="2"/>
  <c r="N108" i="47"/>
  <c r="B108" i="48" s="1"/>
  <c r="N111" i="47"/>
  <c r="B111" i="48" s="1"/>
  <c r="N102" i="47"/>
  <c r="B102" i="48" s="1"/>
  <c r="N105" i="47"/>
  <c r="B105" i="48" s="1"/>
  <c r="N101" i="47"/>
  <c r="B101" i="48" s="1"/>
  <c r="N99" i="47"/>
  <c r="B99" i="48" s="1"/>
  <c r="N104" i="47"/>
  <c r="B104" i="48" s="1"/>
  <c r="N107" i="47"/>
  <c r="B107" i="48" s="1"/>
  <c r="M100" i="47"/>
  <c r="M101" i="47"/>
  <c r="M106" i="47"/>
  <c r="M99" i="47"/>
  <c r="I87" i="47"/>
  <c r="L109" i="47"/>
  <c r="A109" i="48" s="1"/>
  <c r="L101" i="47"/>
  <c r="A101" i="48" s="1"/>
  <c r="M105" i="47"/>
  <c r="M104" i="47"/>
  <c r="L99" i="47"/>
  <c r="A99" i="48" s="1"/>
  <c r="M111" i="47"/>
  <c r="L100" i="47"/>
  <c r="A100" i="48" s="1"/>
  <c r="L111" i="47"/>
  <c r="A111" i="48" s="1"/>
  <c r="M110" i="47"/>
  <c r="L103" i="47"/>
  <c r="A103" i="48" s="1"/>
  <c r="L108" i="47"/>
  <c r="A108" i="48" s="1"/>
  <c r="M108" i="47"/>
  <c r="L106" i="47"/>
  <c r="A106" i="48" s="1"/>
  <c r="L104" i="47"/>
  <c r="A104" i="48" s="1"/>
  <c r="L107" i="47"/>
  <c r="A107" i="48" s="1"/>
  <c r="M109" i="47"/>
  <c r="M103" i="47"/>
  <c r="M102" i="47"/>
  <c r="I33" i="47"/>
  <c r="I77" i="47"/>
  <c r="I97" i="47"/>
  <c r="D13" i="29"/>
  <c r="M13" i="12"/>
  <c r="I29" i="47"/>
  <c r="I39" i="47"/>
  <c r="I51" i="47"/>
  <c r="I15" i="47"/>
  <c r="I40" i="47"/>
  <c r="I41" i="47"/>
  <c r="I16" i="47"/>
  <c r="I17" i="47"/>
  <c r="I81" i="47"/>
  <c r="I31" i="47"/>
  <c r="I76" i="47"/>
  <c r="I65" i="47"/>
  <c r="I63" i="47"/>
  <c r="I53" i="47"/>
  <c r="I28" i="47"/>
  <c r="I64" i="47"/>
  <c r="I27" i="47"/>
  <c r="I62" i="47"/>
  <c r="I43" i="47"/>
  <c r="I55" i="47"/>
  <c r="I14" i="47"/>
  <c r="I19" i="47"/>
  <c r="I38" i="47"/>
  <c r="I50" i="47"/>
  <c r="I99" i="47"/>
  <c r="I26" i="47"/>
  <c r="I74" i="47"/>
  <c r="I32" i="47"/>
  <c r="G13" i="12"/>
  <c r="C13" i="29"/>
  <c r="I44" i="47"/>
  <c r="I56" i="47"/>
  <c r="I20" i="47"/>
  <c r="I108" i="47"/>
  <c r="I109" i="47"/>
  <c r="I89" i="47"/>
  <c r="I46" i="47"/>
  <c r="I59" i="47"/>
  <c r="I45" i="47"/>
  <c r="I57" i="47"/>
  <c r="I23" i="47"/>
  <c r="I47" i="47"/>
  <c r="I58" i="47"/>
  <c r="I21" i="47"/>
  <c r="I107" i="47"/>
  <c r="I22" i="47"/>
  <c r="I88" i="47"/>
  <c r="J15" i="31"/>
  <c r="I10" i="47" s="1"/>
  <c r="I95" i="47"/>
  <c r="I94" i="47"/>
  <c r="I96" i="47"/>
  <c r="I93" i="47"/>
  <c r="I90" i="47"/>
  <c r="I91" i="47"/>
  <c r="I92" i="47"/>
  <c r="A13" i="29"/>
  <c r="A12" i="29" s="1"/>
  <c r="A13" i="12"/>
  <c r="A12" i="12" s="1"/>
  <c r="I12" i="47" l="1"/>
  <c r="I86" i="47"/>
  <c r="I98" i="47"/>
  <c r="I8" i="47"/>
  <c r="I6" i="47"/>
  <c r="I2" i="47"/>
  <c r="I7" i="47"/>
  <c r="I9" i="47"/>
  <c r="I3" i="47"/>
  <c r="I5" i="47"/>
  <c r="I4" i="47"/>
  <c r="I11" i="47"/>
  <c r="N81" i="47" l="1" a="1"/>
  <c r="Y25" i="49" a="1"/>
  <c r="L46" i="47" a="1"/>
  <c r="Q15" i="49" a="1"/>
  <c r="O76" i="47" a="1"/>
  <c r="O39" i="47" a="1"/>
  <c r="N39" i="47" a="1"/>
  <c r="O95" i="47" a="1"/>
  <c r="O62" i="47" a="1"/>
  <c r="N43" i="47" a="1"/>
  <c r="X10" i="49" a="1"/>
  <c r="N76" i="47" a="1"/>
  <c r="M12" i="47" a="1"/>
  <c r="N17" i="47" a="1"/>
  <c r="X8" i="49" a="1"/>
  <c r="L66" i="47" a="1"/>
  <c r="L81" i="47" a="1"/>
  <c r="T15" i="49" a="1"/>
  <c r="P27" i="47" a="1"/>
  <c r="W20" i="49" a="1"/>
  <c r="P110" i="47" a="1"/>
  <c r="Y9" i="49" a="1"/>
  <c r="M51" i="47" a="1"/>
  <c r="M60" i="47" a="1"/>
  <c r="O20" i="49" a="1"/>
  <c r="T3" i="49" a="1"/>
  <c r="N92" i="47" a="1"/>
  <c r="V22" i="49" a="1"/>
  <c r="N75" i="47" a="1"/>
  <c r="M47" i="47" a="1"/>
  <c r="N56" i="47" a="1"/>
  <c r="N30" i="47" a="1"/>
  <c r="O19" i="49" a="1"/>
  <c r="P24" i="49" a="1"/>
  <c r="U10" i="49" a="1"/>
  <c r="O84" i="47" a="1"/>
  <c r="O11" i="47" a="1"/>
  <c r="P44" i="47" a="1"/>
  <c r="P22" i="47" a="1"/>
  <c r="L18" i="47" a="1"/>
  <c r="P62" i="47" a="1"/>
  <c r="N91" i="47" a="1"/>
  <c r="M31" i="47" a="1"/>
  <c r="M71" i="47" a="1"/>
  <c r="Y20" i="49" a="1"/>
  <c r="M6" i="47" a="1"/>
  <c r="O40" i="47" a="1"/>
  <c r="L77" i="47" a="1"/>
  <c r="P108" i="47" a="1"/>
  <c r="L54" i="47" a="1"/>
  <c r="O31" i="47" a="1"/>
  <c r="P101" i="47" a="1"/>
  <c r="O12" i="49" a="1"/>
  <c r="O80" i="47" a="1"/>
  <c r="U11" i="49" a="1"/>
  <c r="O54" i="47" a="1"/>
  <c r="N83" i="47" a="1"/>
  <c r="R24" i="49" a="1"/>
  <c r="L30" i="47" a="1"/>
  <c r="O63" i="47" a="1"/>
  <c r="P40" i="47" a="1"/>
  <c r="M7" i="47" a="1"/>
  <c r="M67" i="47" a="1"/>
  <c r="P35" i="47" a="1"/>
  <c r="M58" i="47" a="1"/>
  <c r="O45" i="47" a="1"/>
  <c r="O14" i="49" a="1"/>
  <c r="W18" i="49" a="1"/>
  <c r="W24" i="49" a="1"/>
  <c r="T6" i="49" a="1"/>
  <c r="V8" i="49" a="1"/>
  <c r="M30" i="47" a="1"/>
  <c r="P29" i="47" a="1"/>
  <c r="N44" i="47" a="1"/>
  <c r="P26" i="47" a="1"/>
  <c r="P2" i="47" a="1"/>
  <c r="L56" i="47" a="1"/>
  <c r="W12" i="49" a="1"/>
  <c r="W5" i="49" a="1"/>
  <c r="W13" i="49" a="1"/>
  <c r="N15" i="47" a="1"/>
  <c r="M91" i="47" a="1"/>
  <c r="O67" i="47" a="1"/>
  <c r="L59" i="47" a="1"/>
  <c r="N70" i="47" a="1"/>
  <c r="T25" i="49" a="1"/>
  <c r="M27" i="47" a="1"/>
  <c r="P4" i="49" a="1"/>
  <c r="U23" i="49" a="1"/>
  <c r="M98" i="47" a="1"/>
  <c r="N65" i="47" a="1"/>
  <c r="L43" i="47" a="1"/>
  <c r="M54" i="47" a="1"/>
  <c r="Q13" i="49" a="1"/>
  <c r="W11" i="49" a="1"/>
  <c r="U22" i="49" a="1"/>
  <c r="S4" i="49" a="1"/>
  <c r="P11" i="49" a="1"/>
  <c r="T21" i="49" a="1"/>
  <c r="S9" i="49" a="1"/>
  <c r="O72" i="47" a="1"/>
  <c r="X24" i="49" a="1"/>
  <c r="O87" i="47" a="1"/>
  <c r="L93" i="47" a="1"/>
  <c r="Q3" i="49" a="1"/>
  <c r="L17" i="47" a="1"/>
  <c r="V24" i="49" a="1"/>
  <c r="N69" i="47" a="1"/>
  <c r="O98" i="47" a="1"/>
  <c r="P59" i="47" a="1"/>
  <c r="U2" i="49" a="1"/>
  <c r="O5" i="49" a="1"/>
  <c r="M64" i="47" a="1"/>
  <c r="L10" i="47" a="1"/>
  <c r="P5" i="47" a="1"/>
  <c r="O23" i="49" a="1"/>
  <c r="O28" i="47" a="1"/>
  <c r="N68" i="47" a="1"/>
  <c r="W16" i="49" a="1"/>
  <c r="N29" i="47" a="1"/>
  <c r="L3" i="47" a="1"/>
  <c r="M40" i="47" a="1"/>
  <c r="L7" i="47" a="1"/>
  <c r="O20" i="47" a="1"/>
  <c r="U12" i="49" a="1"/>
  <c r="Y10" i="49" a="1"/>
  <c r="N36" i="47" a="1"/>
  <c r="N12" i="47" a="1"/>
  <c r="N52" i="47" a="1"/>
  <c r="O3" i="47" a="1"/>
  <c r="L26" i="47" a="1"/>
  <c r="S7" i="49" a="1"/>
  <c r="O17" i="47" a="1"/>
  <c r="R19" i="49" a="1"/>
  <c r="V5" i="49" a="1"/>
  <c r="S21" i="49" a="1"/>
  <c r="X18" i="49" a="1"/>
  <c r="O64" i="47" a="1"/>
  <c r="P25" i="49" a="1"/>
  <c r="L6" i="47" a="1"/>
  <c r="O27" i="47" a="1"/>
  <c r="M81" i="47" a="1"/>
  <c r="O16" i="47" a="1"/>
  <c r="M89" i="47" a="1"/>
  <c r="N8" i="47" a="1"/>
  <c r="P14" i="47" a="1"/>
  <c r="P83" i="47" a="1"/>
  <c r="U13" i="49" a="1"/>
  <c r="X5" i="49" a="1"/>
  <c r="L12" i="47" a="1"/>
  <c r="N4" i="47" a="1"/>
  <c r="N18" i="47" a="1"/>
  <c r="L82" i="47" a="1"/>
  <c r="N14" i="47" a="1"/>
  <c r="P22" i="49" a="1"/>
  <c r="M57" i="47" a="1"/>
  <c r="X9" i="49" a="1"/>
  <c r="W22" i="49" a="1"/>
  <c r="L79" i="47" a="1"/>
  <c r="N50" i="47" a="1"/>
  <c r="N40" i="47" a="1"/>
  <c r="N71" i="47" a="1"/>
  <c r="L75" i="47" a="1"/>
  <c r="M63" i="47" a="1"/>
  <c r="N72" i="47" a="1"/>
  <c r="V17" i="49" a="1"/>
  <c r="O55" i="47" a="1"/>
  <c r="S17" i="49" a="1"/>
  <c r="L28" i="47" a="1"/>
  <c r="O23" i="47" a="1"/>
  <c r="L65" i="47" a="1"/>
  <c r="X13" i="49" a="1"/>
  <c r="M21" i="47" a="1"/>
  <c r="Y24" i="49" a="1"/>
  <c r="O69" i="47" a="1"/>
  <c r="O50" i="47" a="1"/>
  <c r="U21" i="49" a="1"/>
  <c r="N54" i="47" a="1"/>
  <c r="P4" i="47" a="1"/>
  <c r="W2" i="49" a="1"/>
  <c r="M84" i="47" a="1"/>
  <c r="P41" i="47" a="1"/>
  <c r="Q11" i="49" a="1"/>
  <c r="L42" i="47" a="1"/>
  <c r="P37" i="47" a="1"/>
  <c r="N7" i="47" a="1"/>
  <c r="M94" i="47" a="1"/>
  <c r="N20" i="47" a="1"/>
  <c r="N51" i="47" a="1"/>
  <c r="P10" i="47" a="1"/>
  <c r="O66" i="47" a="1"/>
  <c r="X17" i="49" a="1"/>
  <c r="P8" i="49" a="1"/>
  <c r="W4" i="49" a="1"/>
  <c r="T18" i="49" a="1"/>
  <c r="N78" i="47" a="1"/>
  <c r="O9" i="49" a="1"/>
  <c r="L37" i="47" a="1"/>
  <c r="O6" i="47" a="1"/>
  <c r="L68" i="47" a="1"/>
  <c r="X25" i="49" a="1"/>
  <c r="P13" i="49" a="1"/>
  <c r="P74" i="47" a="1"/>
  <c r="P49" i="47" a="1"/>
  <c r="N26" i="47" a="1"/>
  <c r="M62" i="47" a="1"/>
  <c r="V21" i="49" a="1"/>
  <c r="O5" i="47" a="1"/>
  <c r="P88" i="47" a="1"/>
  <c r="N33" i="47" a="1"/>
  <c r="L87" i="47" a="1"/>
  <c r="S23" i="49" a="1"/>
  <c r="M14" i="47" a="1"/>
  <c r="X22" i="49" a="1"/>
  <c r="O29" i="47" a="1"/>
  <c r="X12" i="49" a="1"/>
  <c r="N87" i="47" a="1"/>
  <c r="N19" i="47" a="1"/>
  <c r="P51" i="47" a="1"/>
  <c r="U9" i="49" a="1"/>
  <c r="X2" i="49" a="1"/>
  <c r="M56" i="47" a="1"/>
  <c r="O92" i="47" a="1"/>
  <c r="P20" i="47" a="1"/>
  <c r="U17" i="49" a="1"/>
  <c r="L22" i="47" a="1"/>
  <c r="L86" i="47" a="1"/>
  <c r="M24" i="47" a="1"/>
  <c r="P50" i="47" a="1"/>
  <c r="L51" i="47" a="1"/>
  <c r="P17" i="47" a="1"/>
  <c r="L23" i="47" a="1"/>
  <c r="O75" i="47" a="1"/>
  <c r="O93" i="47" a="1"/>
  <c r="Q23" i="49" a="1"/>
  <c r="M8" i="47" a="1"/>
  <c r="P15" i="47" a="1"/>
  <c r="S10" i="49" a="1"/>
  <c r="O83" i="47" a="1"/>
  <c r="N77" i="47" a="1"/>
  <c r="R22" i="49" a="1"/>
  <c r="V6" i="49" a="1"/>
  <c r="M43" i="47" a="1"/>
  <c r="N62" i="47" a="1"/>
  <c r="Y14" i="49" a="1"/>
  <c r="L32" i="47" a="1"/>
  <c r="P82" i="47" a="1"/>
  <c r="O71" i="47" a="1"/>
  <c r="T2" i="49" a="1"/>
  <c r="N21" i="47" a="1"/>
  <c r="Q19" i="49" a="1"/>
  <c r="O14" i="47" a="1"/>
  <c r="U24" i="49" a="1"/>
  <c r="M35" i="47" a="1"/>
  <c r="V11" i="49" a="1"/>
  <c r="Y5" i="49" a="1"/>
  <c r="Q25" i="49" a="1"/>
  <c r="L33" i="47" a="1"/>
  <c r="X14" i="49" a="1"/>
  <c r="O78" i="47" a="1"/>
  <c r="L78" i="47" a="1"/>
  <c r="N49" i="47" a="1"/>
  <c r="O10" i="47" a="1"/>
  <c r="M90" i="47" a="1"/>
  <c r="Q16" i="49" a="1"/>
  <c r="P81" i="47" a="1"/>
  <c r="O13" i="47" a="1"/>
  <c r="S12" i="49" a="1"/>
  <c r="N34" i="47" a="1"/>
  <c r="P9" i="47" a="1"/>
  <c r="O96" i="47" a="1"/>
  <c r="M80" i="47" a="1"/>
  <c r="Q10" i="49" a="1"/>
  <c r="L63" i="47" a="1"/>
  <c r="P104" i="47" a="1"/>
  <c r="O52" i="47" a="1"/>
  <c r="U6" i="49" a="1"/>
  <c r="L80" i="47" a="1"/>
  <c r="Q2" i="49" a="1"/>
  <c r="Q14" i="49" a="1"/>
  <c r="O38" i="47" a="1"/>
  <c r="N31" i="47" a="1"/>
  <c r="M15" i="47" a="1"/>
  <c r="Y6" i="49" a="1"/>
  <c r="L83" i="47" a="1"/>
  <c r="L34" i="47" a="1"/>
  <c r="P97" i="47" a="1"/>
  <c r="N22" i="47" a="1"/>
  <c r="P52" i="47" a="1"/>
  <c r="W7" i="49" a="1"/>
  <c r="U4" i="49" a="1"/>
  <c r="P89" i="47" a="1"/>
  <c r="O91" i="47" a="1"/>
  <c r="N10" i="47" a="1"/>
  <c r="O2" i="49" a="1"/>
  <c r="L45" i="47" a="1"/>
  <c r="N23" i="47" a="1"/>
  <c r="P7" i="49" a="1"/>
  <c r="N66" i="47" a="1"/>
  <c r="N97" i="47" a="1"/>
  <c r="V15" i="49" a="1"/>
  <c r="R14" i="49" a="1"/>
  <c r="S13" i="49" a="1"/>
  <c r="P2" i="49" a="1"/>
  <c r="P13" i="47" a="1"/>
  <c r="R13" i="49" a="1"/>
  <c r="L47" i="47" a="1"/>
  <c r="P25" i="47" a="1"/>
  <c r="N95" i="47" a="1"/>
  <c r="P45" i="47" a="1"/>
  <c r="M38" i="47" a="1"/>
  <c r="Y18" i="49" a="1"/>
  <c r="R2" i="49" a="1"/>
  <c r="P71" i="47" a="1"/>
  <c r="V4" i="49" a="1"/>
  <c r="N48" i="47" a="1"/>
  <c r="R18" i="49" a="1"/>
  <c r="O6" i="49" a="1"/>
  <c r="P48" i="47" a="1"/>
  <c r="Y17" i="49" a="1"/>
  <c r="V9" i="49" a="1"/>
  <c r="W6" i="49" a="1"/>
  <c r="M77" i="47" a="1"/>
  <c r="M74" i="47" a="1"/>
  <c r="M86" i="47" a="1"/>
  <c r="N94" i="47" a="1"/>
  <c r="P107" i="47" a="1"/>
  <c r="M34" i="47" a="1"/>
  <c r="O8" i="47" a="1"/>
  <c r="T4" i="49" a="1"/>
  <c r="M49" i="47" a="1"/>
  <c r="S14" i="49" a="1"/>
  <c r="O49" i="47" a="1"/>
  <c r="P14" i="49" a="1"/>
  <c r="O94" i="47" a="1"/>
  <c r="O18" i="49" a="1"/>
  <c r="M5" i="47" a="1"/>
  <c r="M18" i="47" a="1"/>
  <c r="R21" i="49" a="1"/>
  <c r="P23" i="49" a="1"/>
  <c r="M83" i="47" a="1"/>
  <c r="P64" i="47" a="1"/>
  <c r="N73" i="47" a="1"/>
  <c r="T9" i="49" a="1"/>
  <c r="Q20" i="49" a="1"/>
  <c r="O10" i="49" a="1"/>
  <c r="T23" i="49" a="1"/>
  <c r="P16" i="49" a="1"/>
  <c r="N88" i="47" a="1"/>
  <c r="Y3" i="49" a="1"/>
  <c r="S22" i="49" a="1"/>
  <c r="O19" i="47" a="1"/>
  <c r="T12" i="49" a="1"/>
  <c r="L13" i="47" a="1"/>
  <c r="P36" i="47" a="1"/>
  <c r="X4" i="49" a="1"/>
  <c r="N64" i="47" a="1"/>
  <c r="N13" i="47" a="1"/>
  <c r="P78" i="47" a="1"/>
  <c r="P53" i="47" a="1"/>
  <c r="P98" i="47" a="1"/>
  <c r="L31" i="47" a="1"/>
  <c r="M41" i="47" a="1"/>
  <c r="O26" i="47" a="1"/>
  <c r="W17" i="49" a="1"/>
  <c r="O11" i="49" a="1"/>
  <c r="N5" i="47" a="1"/>
  <c r="S5" i="49" a="1"/>
  <c r="X15" i="49" a="1"/>
  <c r="T24" i="49" a="1"/>
  <c r="P10" i="49" a="1"/>
  <c r="L38" i="47" a="1"/>
  <c r="O33" i="47" a="1"/>
  <c r="X20" i="49" a="1"/>
  <c r="N25" i="47" a="1"/>
  <c r="N80" i="47" a="1"/>
  <c r="V25" i="49" a="1"/>
  <c r="Y11" i="49" a="1"/>
  <c r="O86" i="47" a="1"/>
  <c r="Y13" i="49" a="1"/>
  <c r="N2" i="47" a="1"/>
  <c r="W23" i="49" a="1"/>
  <c r="M25" i="47" a="1"/>
  <c r="L74" i="47" a="1"/>
  <c r="M11" i="47" a="1"/>
  <c r="T17" i="49" a="1"/>
  <c r="O4" i="47" a="1"/>
  <c r="M93" i="47" a="1"/>
  <c r="O85" i="47" a="1"/>
  <c r="L35" i="47" a="1"/>
  <c r="S24" i="49" a="1"/>
  <c r="P11" i="47" a="1"/>
  <c r="M95" i="47" a="1"/>
  <c r="P18" i="47" a="1"/>
  <c r="P47" i="47" a="1"/>
  <c r="O13" i="49" a="1"/>
  <c r="S8" i="49" a="1"/>
  <c r="O41" i="47" a="1"/>
  <c r="V14" i="49" a="1"/>
  <c r="M52" i="47" a="1"/>
  <c r="M61" i="47" a="1"/>
  <c r="X3" i="49" a="1"/>
  <c r="L49" i="47" a="1"/>
  <c r="L95" i="47" a="1"/>
  <c r="N59" i="47" a="1"/>
  <c r="U18" i="49" a="1"/>
  <c r="W3" i="49" a="1"/>
  <c r="N98" i="47" a="1"/>
  <c r="W10" i="49" a="1"/>
  <c r="R3" i="49" a="1"/>
  <c r="S3" i="49" a="1"/>
  <c r="P91" i="47" a="1"/>
  <c r="M20" i="47" a="1"/>
  <c r="O24" i="49" a="1"/>
  <c r="L8" i="47" a="1"/>
  <c r="Q6" i="49" a="1"/>
  <c r="U3" i="49" a="1"/>
  <c r="T16" i="49" a="1"/>
  <c r="L96" i="47" a="1"/>
  <c r="M85" i="47" a="1"/>
  <c r="L58" i="47" a="1"/>
  <c r="S20" i="49" a="1"/>
  <c r="N37" i="47" a="1"/>
  <c r="O7" i="49" a="1"/>
  <c r="P69" i="47" a="1"/>
  <c r="O48" i="47" a="1"/>
  <c r="O51" i="47" a="1"/>
  <c r="L92" i="47" a="1"/>
  <c r="O30" i="47" a="1"/>
  <c r="U8" i="49" a="1"/>
  <c r="L29" i="47" a="1"/>
  <c r="V2" i="49" a="1"/>
  <c r="P18" i="49" a="1"/>
  <c r="M22" i="47" a="1"/>
  <c r="P6" i="49" a="1"/>
  <c r="P105" i="47" a="1"/>
  <c r="P8" i="47" a="1"/>
  <c r="N53" i="47" a="1"/>
  <c r="L15" i="47" a="1"/>
  <c r="O53" i="47" a="1"/>
  <c r="V20" i="49" a="1"/>
  <c r="P17" i="49" a="1"/>
  <c r="O73" i="47" a="1"/>
  <c r="P43" i="47" a="1"/>
  <c r="X23" i="49" a="1"/>
  <c r="Y19" i="49" a="1"/>
  <c r="T19" i="49" a="1"/>
  <c r="M65" i="47" a="1"/>
  <c r="T20" i="49" a="1"/>
  <c r="U25" i="49" a="1"/>
  <c r="M39" i="47" a="1"/>
  <c r="L89" i="47" a="1"/>
  <c r="R9" i="49" a="1"/>
  <c r="L11" i="47" a="1"/>
  <c r="P54" i="47" a="1"/>
  <c r="N82" i="47" a="1"/>
  <c r="N79" i="47" a="1"/>
  <c r="P86" i="47" a="1"/>
  <c r="R6" i="49" a="1"/>
  <c r="O17" i="49" a="1"/>
  <c r="P106" i="47" a="1"/>
  <c r="P23" i="47" a="1"/>
  <c r="L71" i="47" a="1"/>
  <c r="Y12" i="49" a="1"/>
  <c r="O21" i="47" a="1"/>
  <c r="P31" i="47" a="1"/>
  <c r="L90" i="47" a="1"/>
  <c r="M45" i="47" a="1"/>
  <c r="U15" i="49" a="1"/>
  <c r="O46" i="47" a="1"/>
  <c r="W15" i="49" a="1"/>
  <c r="S15" i="49" a="1"/>
  <c r="V10" i="49" a="1"/>
  <c r="Q17" i="49" a="1"/>
  <c r="N85" i="47" a="1"/>
  <c r="R7" i="49" a="1"/>
  <c r="M70" i="47" a="1"/>
  <c r="L53" i="47" a="1"/>
  <c r="O43" i="47" a="1"/>
  <c r="Y2" i="49" a="1"/>
  <c r="P12" i="49" a="1"/>
  <c r="Y16" i="49" a="1"/>
  <c r="M28" i="47" a="1"/>
  <c r="M72" i="47" a="1"/>
  <c r="L25" i="47" a="1"/>
  <c r="M82" i="47" a="1"/>
  <c r="X19" i="49" a="1"/>
  <c r="M50" i="47" a="1"/>
  <c r="Y21" i="49" a="1"/>
  <c r="P5" i="49" a="1"/>
  <c r="W14" i="49" a="1"/>
  <c r="M19" i="47" a="1"/>
  <c r="N93" i="47" a="1"/>
  <c r="V18" i="49" a="1"/>
  <c r="Y7" i="49" a="1"/>
  <c r="L64" i="47" a="1"/>
  <c r="O22" i="49" a="1"/>
  <c r="P19" i="47" a="1"/>
  <c r="X7" i="49" a="1"/>
  <c r="N90" i="47" a="1"/>
  <c r="N6" i="47" a="1"/>
  <c r="P99" i="47" a="1"/>
  <c r="N41" i="47" a="1"/>
  <c r="P6" i="47" a="1"/>
  <c r="Q18" i="49" a="1"/>
  <c r="Y23" i="49" a="1"/>
  <c r="P65" i="47" a="1"/>
  <c r="M33" i="47" a="1"/>
  <c r="M17" i="47" a="1"/>
  <c r="M73" i="47" a="1"/>
  <c r="P103" i="47" a="1"/>
  <c r="M96" i="47" a="1"/>
  <c r="P3" i="47" a="1"/>
  <c r="M9" i="47" a="1"/>
  <c r="N45" i="47" a="1"/>
  <c r="M44" i="47" a="1"/>
  <c r="O59" i="47" a="1"/>
  <c r="P68" i="47" a="1"/>
  <c r="P38" i="47" a="1"/>
  <c r="P9" i="49" a="1"/>
  <c r="P21" i="49" a="1"/>
  <c r="P3" i="49" a="1"/>
  <c r="M68" i="47" a="1"/>
  <c r="N60" i="47" a="1"/>
  <c r="L2" i="47" a="1"/>
  <c r="M46" i="47" a="1"/>
  <c r="R15" i="49" a="1"/>
  <c r="M37" i="47" a="1"/>
  <c r="R8" i="49" a="1"/>
  <c r="M4" i="47" a="1"/>
  <c r="L94" i="47" a="1"/>
  <c r="P90" i="47" a="1"/>
  <c r="W8" i="49" a="1"/>
  <c r="N86" i="47" a="1"/>
  <c r="N96" i="47" a="1"/>
  <c r="P66" i="47" a="1"/>
  <c r="P85" i="47" a="1"/>
  <c r="Q5" i="49" a="1"/>
  <c r="L40" i="47" a="1"/>
  <c r="V23" i="49" a="1"/>
  <c r="R10" i="49" a="1"/>
  <c r="M16" i="47" a="1"/>
  <c r="N46" i="47" a="1"/>
  <c r="Q22" i="49" a="1"/>
  <c r="O65" i="47" a="1"/>
  <c r="V19" i="49" a="1"/>
  <c r="P95" i="47" a="1"/>
  <c r="O79" i="47" a="1"/>
  <c r="O21" i="49" a="1"/>
  <c r="S25" i="49" a="1"/>
  <c r="X6" i="49" a="1"/>
  <c r="T22" i="49" a="1"/>
  <c r="T11" i="49" a="1"/>
  <c r="T14" i="49" a="1"/>
  <c r="L76" i="47" a="1"/>
  <c r="R4" i="49" a="1"/>
  <c r="T13" i="49" a="1"/>
  <c r="P16" i="47" a="1"/>
  <c r="Q21" i="49" a="1"/>
  <c r="O61" i="47" a="1"/>
  <c r="P94" i="47" a="1"/>
  <c r="P46" i="47" a="1"/>
  <c r="O3" i="49" a="1"/>
  <c r="T10" i="49" a="1"/>
  <c r="N89" i="47" a="1"/>
  <c r="O47" i="47" a="1"/>
  <c r="L19" i="47" a="1"/>
  <c r="S19" i="49" a="1"/>
  <c r="X16" i="49" a="1"/>
  <c r="O7" i="47" a="1"/>
  <c r="M48" i="47" a="1"/>
  <c r="M88" i="47" a="1"/>
  <c r="O16" i="49" a="1"/>
  <c r="M36" i="47" a="1"/>
  <c r="L44" i="47" a="1"/>
  <c r="O34" i="47" a="1"/>
  <c r="O58" i="47" a="1"/>
  <c r="R17" i="49" a="1"/>
  <c r="P73" i="47" a="1"/>
  <c r="N32" i="47" a="1"/>
  <c r="U16" i="49" a="1"/>
  <c r="L48" i="47" a="1"/>
  <c r="P93" i="47" a="1"/>
  <c r="O74" i="47" a="1"/>
  <c r="M75" i="47" a="1"/>
  <c r="P20" i="49" a="1"/>
  <c r="P21" i="47" a="1"/>
  <c r="V3" i="49" a="1"/>
  <c r="P24" i="47" a="1"/>
  <c r="U20" i="49" a="1"/>
  <c r="T8" i="49" a="1"/>
  <c r="M66" i="47" a="1"/>
  <c r="M59" i="47" a="1"/>
  <c r="O37" i="47" a="1"/>
  <c r="P57" i="47" a="1"/>
  <c r="O68" i="47" a="1"/>
  <c r="O15" i="49" a="1"/>
  <c r="O22" i="47" a="1"/>
  <c r="R16" i="49" a="1"/>
  <c r="N67" i="47" a="1"/>
  <c r="N42" i="47" a="1"/>
  <c r="M79" i="47" a="1"/>
  <c r="M29" i="47" a="1"/>
  <c r="P63" i="47" a="1"/>
  <c r="L85" i="47" a="1"/>
  <c r="P79" i="47" a="1"/>
  <c r="L73" i="47" a="1"/>
  <c r="P67" i="47" a="1"/>
  <c r="L67" i="47" a="1"/>
  <c r="M97" i="47" a="1"/>
  <c r="N74" i="47" a="1"/>
  <c r="L88" i="47" a="1"/>
  <c r="L27" i="47" a="1"/>
  <c r="L4" i="47" a="1"/>
  <c r="R25" i="49" a="1"/>
  <c r="O60" i="47" a="1"/>
  <c r="U14" i="49" a="1"/>
  <c r="N58" i="47" a="1"/>
  <c r="N3" i="47" a="1"/>
  <c r="O25" i="47" a="1"/>
  <c r="P100" i="47" a="1"/>
  <c r="L60" i="47" a="1"/>
  <c r="N47" i="47" a="1"/>
  <c r="L24" i="47" a="1"/>
  <c r="Q9" i="49" a="1"/>
  <c r="P42" i="47" a="1"/>
  <c r="L62" i="47" a="1"/>
  <c r="N84" i="47" a="1"/>
  <c r="P28" i="47" a="1"/>
  <c r="Q8" i="49" a="1"/>
  <c r="O81" i="47" a="1"/>
  <c r="W21" i="49" a="1"/>
  <c r="L21" i="47" a="1"/>
  <c r="L57" i="47" a="1"/>
  <c r="R11" i="49" a="1"/>
  <c r="M78" i="47" a="1"/>
  <c r="N55" i="47" a="1"/>
  <c r="O35" i="47" a="1"/>
  <c r="O4" i="49" a="1"/>
  <c r="L61" i="47" a="1"/>
  <c r="P7" i="47" a="1"/>
  <c r="Y15" i="49" a="1"/>
  <c r="L9" i="47" a="1"/>
  <c r="L72" i="47" a="1"/>
  <c r="L14" i="47" a="1"/>
  <c r="O18" i="47" a="1"/>
  <c r="P55" i="47" a="1"/>
  <c r="P72" i="47" a="1"/>
  <c r="O88" i="47" a="1"/>
  <c r="O25" i="49" a="1"/>
  <c r="O42" i="47" a="1"/>
  <c r="P76" i="47" a="1"/>
  <c r="W9" i="49" a="1"/>
  <c r="T5" i="49" a="1"/>
  <c r="S2" i="49" a="1"/>
  <c r="L41" i="47" a="1"/>
  <c r="P84" i="47" a="1"/>
  <c r="M13" i="47" a="1"/>
  <c r="R5" i="49" a="1"/>
  <c r="U7" i="49" a="1"/>
  <c r="R20" i="49" a="1"/>
  <c r="N28" i="47" a="1"/>
  <c r="N38" i="47" a="1"/>
  <c r="P92" i="47" a="1"/>
  <c r="P111" i="47" a="1"/>
  <c r="W25" i="49" a="1"/>
  <c r="M69" i="47" a="1"/>
  <c r="O57" i="47" a="1"/>
  <c r="P70" i="47" a="1"/>
  <c r="N57" i="47" a="1"/>
  <c r="N9" i="47" a="1"/>
  <c r="R23" i="49" a="1"/>
  <c r="O77" i="47" a="1"/>
  <c r="M32" i="47" a="1"/>
  <c r="M53" i="47" a="1"/>
  <c r="U19" i="49" a="1"/>
  <c r="X21" i="49" a="1"/>
  <c r="S6" i="49" a="1"/>
  <c r="P80" i="47" a="1"/>
  <c r="M3" i="47" a="1"/>
  <c r="P77" i="47" a="1"/>
  <c r="N11" i="47" a="1"/>
  <c r="P32" i="47" a="1"/>
  <c r="L52" i="47" a="1"/>
  <c r="L55" i="47" a="1"/>
  <c r="M2" i="47" a="1"/>
  <c r="L36" i="47" a="1"/>
  <c r="Y4" i="49" a="1"/>
  <c r="P61" i="47" a="1"/>
  <c r="P60" i="47" a="1"/>
  <c r="P33" i="47" a="1"/>
  <c r="P75" i="47" a="1"/>
  <c r="L50" i="47" a="1"/>
  <c r="P19" i="49" a="1"/>
  <c r="P12" i="47" a="1"/>
  <c r="L98" i="47" a="1"/>
  <c r="U5" i="49" a="1"/>
  <c r="M92" i="47" a="1"/>
  <c r="P34" i="47" a="1"/>
  <c r="M76" i="47" a="1"/>
  <c r="W19" i="49" a="1"/>
  <c r="N63" i="47" a="1"/>
  <c r="O32" i="47" a="1"/>
  <c r="L16" i="47" a="1"/>
  <c r="L70" i="47" a="1"/>
  <c r="Q4" i="49" a="1"/>
  <c r="R12" i="49" a="1"/>
  <c r="S11" i="49" a="1"/>
  <c r="V12" i="49" a="1"/>
  <c r="Q7" i="49" a="1"/>
  <c r="L84" i="47" a="1"/>
  <c r="T7" i="49" a="1"/>
  <c r="M10" i="47" a="1"/>
  <c r="M23" i="47" a="1"/>
  <c r="O8" i="49" a="1"/>
  <c r="V13" i="49" a="1"/>
  <c r="O2" i="47" a="1"/>
  <c r="L97" i="47" a="1"/>
  <c r="O82" i="47" a="1"/>
  <c r="P39" i="47" a="1"/>
  <c r="N24" i="47" a="1"/>
  <c r="Q24" i="49" a="1"/>
  <c r="O9" i="47" a="1"/>
  <c r="M26" i="47" a="1"/>
  <c r="O89" i="47" a="1"/>
  <c r="Y22" i="49" a="1"/>
  <c r="L39" i="47" a="1"/>
  <c r="Y8" i="49" a="1"/>
  <c r="P87" i="47" a="1"/>
  <c r="N35" i="47" a="1"/>
  <c r="V16" i="49" a="1"/>
  <c r="N27" i="47" a="1"/>
  <c r="M87" i="47" a="1"/>
  <c r="M55" i="47" a="1"/>
  <c r="S18" i="49" a="1"/>
  <c r="P15" i="49" a="1"/>
  <c r="P102" i="47" a="1"/>
  <c r="M42" i="47" a="1"/>
  <c r="P96" i="47" a="1"/>
  <c r="Q12" i="49" a="1"/>
  <c r="P58" i="47" a="1"/>
  <c r="O36" i="47" a="1"/>
  <c r="O12" i="47" a="1"/>
  <c r="X11" i="49" a="1"/>
  <c r="L69" i="47" a="1"/>
  <c r="N61" i="47" a="1"/>
  <c r="V7" i="49" a="1"/>
  <c r="O70" i="47" a="1"/>
  <c r="P56" i="47" a="1"/>
  <c r="L5" i="47" a="1"/>
  <c r="P109" i="47" a="1"/>
  <c r="O15" i="47" a="1"/>
  <c r="N16" i="47" a="1"/>
  <c r="S16" i="49" a="1"/>
  <c r="P30" i="47" a="1"/>
  <c r="O90" i="47" a="1"/>
  <c r="O97" i="47" a="1"/>
  <c r="L20" i="47" a="1"/>
  <c r="O44" i="47" a="1"/>
  <c r="L91" i="47" a="1"/>
  <c r="L91" i="47" l="1"/>
  <c r="A91" i="48" s="1"/>
  <c r="O44" i="47"/>
  <c r="C44" i="48" s="1"/>
  <c r="L20" i="47"/>
  <c r="A20" i="48" s="1"/>
  <c r="O97" i="47"/>
  <c r="C97" i="48" s="1"/>
  <c r="O90" i="47"/>
  <c r="C90" i="48" s="1"/>
  <c r="P30" i="47"/>
  <c r="D30" i="48" s="1"/>
  <c r="S16" i="49"/>
  <c r="E28" i="44" s="1"/>
  <c r="N16" i="47"/>
  <c r="B16" i="48" s="1"/>
  <c r="O15" i="47"/>
  <c r="C15" i="48" s="1"/>
  <c r="P109" i="47"/>
  <c r="D109" i="48" s="1"/>
  <c r="L5" i="47"/>
  <c r="A5" i="48" s="1"/>
  <c r="P56" i="47"/>
  <c r="D56" i="48" s="1"/>
  <c r="O70" i="47"/>
  <c r="C70" i="48" s="1"/>
  <c r="V7" i="49"/>
  <c r="H19" i="44" s="1"/>
  <c r="N61" i="47"/>
  <c r="B61" i="48" s="1"/>
  <c r="L69" i="47"/>
  <c r="A69" i="48" s="1"/>
  <c r="X11" i="49"/>
  <c r="J23" i="44" s="1"/>
  <c r="O12" i="47"/>
  <c r="C12" i="48" s="1"/>
  <c r="O36" i="47"/>
  <c r="C36" i="48" s="1"/>
  <c r="P58" i="47"/>
  <c r="D58" i="48" s="1"/>
  <c r="Q12" i="49"/>
  <c r="C24" i="44" s="1"/>
  <c r="P96" i="47"/>
  <c r="D96" i="48" s="1"/>
  <c r="M42" i="47"/>
  <c r="P102" i="47"/>
  <c r="D102" i="48" s="1"/>
  <c r="P15" i="49"/>
  <c r="B27" i="44" s="1"/>
  <c r="S18" i="49"/>
  <c r="E30" i="44" s="1"/>
  <c r="M55" i="47"/>
  <c r="M87" i="47"/>
  <c r="N27" i="47"/>
  <c r="B27" i="48" s="1"/>
  <c r="V16" i="49"/>
  <c r="H28" i="44" s="1"/>
  <c r="N35" i="47"/>
  <c r="B35" i="48" s="1"/>
  <c r="P87" i="47"/>
  <c r="D87" i="48" s="1"/>
  <c r="Y8" i="49"/>
  <c r="K20" i="44" s="1"/>
  <c r="L39" i="47"/>
  <c r="A39" i="48" s="1"/>
  <c r="Y22" i="49"/>
  <c r="K34" i="44" s="1"/>
  <c r="O89" i="47"/>
  <c r="C89" i="48" s="1"/>
  <c r="M26" i="47"/>
  <c r="O9" i="47"/>
  <c r="C9" i="48" s="1"/>
  <c r="Q24" i="49"/>
  <c r="C36" i="44" s="1"/>
  <c r="N24" i="47"/>
  <c r="B24" i="48" s="1"/>
  <c r="P39" i="47"/>
  <c r="D39" i="48" s="1"/>
  <c r="O82" i="47"/>
  <c r="C82" i="48" s="1"/>
  <c r="L97" i="47"/>
  <c r="A97" i="48" s="1"/>
  <c r="O2" i="47"/>
  <c r="C2" i="48" s="1"/>
  <c r="V13" i="49"/>
  <c r="H25" i="44" s="1"/>
  <c r="O8" i="49"/>
  <c r="A20" i="44" s="1"/>
  <c r="M23" i="47"/>
  <c r="M10" i="47"/>
  <c r="T7" i="49"/>
  <c r="F19" i="44" s="1"/>
  <c r="L84" i="47"/>
  <c r="A84" i="48" s="1"/>
  <c r="Q7" i="49"/>
  <c r="C19" i="44" s="1"/>
  <c r="V12" i="49"/>
  <c r="H24" i="44" s="1"/>
  <c r="S11" i="49"/>
  <c r="E23" i="44" s="1"/>
  <c r="R12" i="49"/>
  <c r="D24" i="44" s="1"/>
  <c r="Q4" i="49"/>
  <c r="C16" i="44" s="1"/>
  <c r="L70" i="47"/>
  <c r="A70" i="48" s="1"/>
  <c r="L16" i="47"/>
  <c r="A16" i="48" s="1"/>
  <c r="O32" i="47"/>
  <c r="C32" i="48" s="1"/>
  <c r="N63" i="47"/>
  <c r="B63" i="48" s="1"/>
  <c r="W19" i="49"/>
  <c r="I31" i="44" s="1"/>
  <c r="M76" i="47"/>
  <c r="P34" i="47"/>
  <c r="D34" i="48" s="1"/>
  <c r="M92" i="47"/>
  <c r="U5" i="49"/>
  <c r="G17" i="44" s="1"/>
  <c r="L98" i="47"/>
  <c r="A98" i="48" s="1"/>
  <c r="P12" i="47"/>
  <c r="D12" i="48" s="1"/>
  <c r="P19" i="49"/>
  <c r="B31" i="44" s="1"/>
  <c r="L50" i="47"/>
  <c r="A50" i="48" s="1"/>
  <c r="P75" i="47"/>
  <c r="D75" i="48" s="1"/>
  <c r="P33" i="47"/>
  <c r="D33" i="48" s="1"/>
  <c r="P60" i="47"/>
  <c r="D60" i="48" s="1"/>
  <c r="P61" i="47"/>
  <c r="D61" i="48" s="1"/>
  <c r="Y4" i="49"/>
  <c r="K16" i="44" s="1"/>
  <c r="L36" i="47"/>
  <c r="A36" i="48" s="1"/>
  <c r="M2" i="47"/>
  <c r="L55" i="47"/>
  <c r="A55" i="48" s="1"/>
  <c r="L52" i="47"/>
  <c r="A52" i="48" s="1"/>
  <c r="P32" i="47"/>
  <c r="D32" i="48" s="1"/>
  <c r="N11" i="47"/>
  <c r="B11" i="48" s="1"/>
  <c r="P77" i="47"/>
  <c r="D77" i="48" s="1"/>
  <c r="M3" i="47"/>
  <c r="P80" i="47"/>
  <c r="D80" i="48" s="1"/>
  <c r="S6" i="49"/>
  <c r="E18" i="44" s="1"/>
  <c r="X21" i="49"/>
  <c r="J33" i="44" s="1"/>
  <c r="U19" i="49"/>
  <c r="G31" i="44" s="1"/>
  <c r="M53" i="47"/>
  <c r="M32" i="47"/>
  <c r="O77" i="47"/>
  <c r="C77" i="48" s="1"/>
  <c r="R23" i="49"/>
  <c r="D35" i="44" s="1"/>
  <c r="N9" i="47"/>
  <c r="B9" i="48" s="1"/>
  <c r="N57" i="47"/>
  <c r="B57" i="48" s="1"/>
  <c r="P70" i="47"/>
  <c r="D70" i="48" s="1"/>
  <c r="O57" i="47"/>
  <c r="C57" i="48" s="1"/>
  <c r="M69" i="47"/>
  <c r="W25" i="49"/>
  <c r="I37" i="44" s="1"/>
  <c r="P111" i="47"/>
  <c r="D111" i="48" s="1"/>
  <c r="P92" i="47"/>
  <c r="D92" i="48" s="1"/>
  <c r="N38" i="47"/>
  <c r="B38" i="48" s="1"/>
  <c r="N28" i="47"/>
  <c r="B28" i="48" s="1"/>
  <c r="R20" i="49"/>
  <c r="D32" i="44" s="1"/>
  <c r="U7" i="49"/>
  <c r="G19" i="44" s="1"/>
  <c r="R5" i="49"/>
  <c r="D17" i="44" s="1"/>
  <c r="M13" i="47"/>
  <c r="P84" i="47"/>
  <c r="D84" i="48" s="1"/>
  <c r="L41" i="47"/>
  <c r="A41" i="48" s="1"/>
  <c r="S2" i="49"/>
  <c r="E14" i="44" s="1"/>
  <c r="T5" i="49"/>
  <c r="F17" i="44" s="1"/>
  <c r="W9" i="49"/>
  <c r="I21" i="44" s="1"/>
  <c r="P76" i="47"/>
  <c r="D76" i="48" s="1"/>
  <c r="O42" i="47"/>
  <c r="C42" i="48" s="1"/>
  <c r="O25" i="49"/>
  <c r="A37" i="44" s="1"/>
  <c r="O88" i="47"/>
  <c r="C88" i="48" s="1"/>
  <c r="P72" i="47"/>
  <c r="D72" i="48" s="1"/>
  <c r="P55" i="47"/>
  <c r="D55" i="48" s="1"/>
  <c r="O18" i="47"/>
  <c r="C18" i="48" s="1"/>
  <c r="L14" i="47"/>
  <c r="A14" i="48" s="1"/>
  <c r="L72" i="47"/>
  <c r="A72" i="48" s="1"/>
  <c r="L9" i="47"/>
  <c r="A9" i="48" s="1"/>
  <c r="Y15" i="49"/>
  <c r="K27" i="44" s="1"/>
  <c r="P7" i="47"/>
  <c r="D7" i="48" s="1"/>
  <c r="L61" i="47"/>
  <c r="A61" i="48" s="1"/>
  <c r="O4" i="49"/>
  <c r="A16" i="44" s="1"/>
  <c r="O35" i="47"/>
  <c r="C35" i="48" s="1"/>
  <c r="N55" i="47"/>
  <c r="B55" i="48" s="1"/>
  <c r="M78" i="47"/>
  <c r="R11" i="49"/>
  <c r="D23" i="44" s="1"/>
  <c r="L57" i="47"/>
  <c r="A57" i="48" s="1"/>
  <c r="L21" i="47"/>
  <c r="A21" i="48" s="1"/>
  <c r="W21" i="49"/>
  <c r="I33" i="44" s="1"/>
  <c r="O81" i="47"/>
  <c r="C81" i="48" s="1"/>
  <c r="Q8" i="49"/>
  <c r="C20" i="44" s="1"/>
  <c r="P28" i="47"/>
  <c r="D28" i="48" s="1"/>
  <c r="N84" i="47"/>
  <c r="B84" i="48" s="1"/>
  <c r="L62" i="47"/>
  <c r="A62" i="48" s="1"/>
  <c r="P42" i="47"/>
  <c r="D42" i="48" s="1"/>
  <c r="Q9" i="49"/>
  <c r="C21" i="44" s="1"/>
  <c r="L24" i="47"/>
  <c r="A24" i="48" s="1"/>
  <c r="N47" i="47"/>
  <c r="B47" i="48" s="1"/>
  <c r="L60" i="47"/>
  <c r="A60" i="48" s="1"/>
  <c r="P100" i="47"/>
  <c r="D100" i="48" s="1"/>
  <c r="O25" i="47"/>
  <c r="C25" i="48" s="1"/>
  <c r="N3" i="47"/>
  <c r="B3" i="48" s="1"/>
  <c r="N58" i="47"/>
  <c r="B58" i="48" s="1"/>
  <c r="U14" i="49"/>
  <c r="G26" i="44" s="1"/>
  <c r="O60" i="47"/>
  <c r="C60" i="48" s="1"/>
  <c r="R25" i="49"/>
  <c r="D37" i="44" s="1"/>
  <c r="L4" i="47"/>
  <c r="A4" i="48" s="1"/>
  <c r="L27" i="47"/>
  <c r="A27" i="48" s="1"/>
  <c r="L88" i="47"/>
  <c r="A88" i="48" s="1"/>
  <c r="N74" i="47"/>
  <c r="B74" i="48" s="1"/>
  <c r="M97" i="47"/>
  <c r="L67" i="47"/>
  <c r="A67" i="48" s="1"/>
  <c r="P67" i="47"/>
  <c r="D67" i="48" s="1"/>
  <c r="L73" i="47"/>
  <c r="A73" i="48" s="1"/>
  <c r="P79" i="47"/>
  <c r="D79" i="48" s="1"/>
  <c r="L85" i="47"/>
  <c r="A85" i="48" s="1"/>
  <c r="P63" i="47"/>
  <c r="D63" i="48" s="1"/>
  <c r="M29" i="47"/>
  <c r="M79" i="47"/>
  <c r="N42" i="47"/>
  <c r="B42" i="48" s="1"/>
  <c r="N67" i="47"/>
  <c r="B67" i="48" s="1"/>
  <c r="R16" i="49"/>
  <c r="D28" i="44" s="1"/>
  <c r="O22" i="47"/>
  <c r="C22" i="48" s="1"/>
  <c r="O15" i="49"/>
  <c r="A27" i="44" s="1"/>
  <c r="O68" i="47"/>
  <c r="C68" i="48" s="1"/>
  <c r="P57" i="47"/>
  <c r="D57" i="48" s="1"/>
  <c r="O37" i="47"/>
  <c r="C37" i="48" s="1"/>
  <c r="M59" i="47"/>
  <c r="M66" i="47"/>
  <c r="T8" i="49"/>
  <c r="F20" i="44" s="1"/>
  <c r="U20" i="49"/>
  <c r="G32" i="44" s="1"/>
  <c r="P24" i="47"/>
  <c r="D24" i="48" s="1"/>
  <c r="V3" i="49"/>
  <c r="H15" i="44" s="1"/>
  <c r="P21" i="47"/>
  <c r="D21" i="48" s="1"/>
  <c r="P20" i="49"/>
  <c r="B32" i="44" s="1"/>
  <c r="M75" i="47"/>
  <c r="O74" i="47"/>
  <c r="C74" i="48" s="1"/>
  <c r="P93" i="47"/>
  <c r="D93" i="48" s="1"/>
  <c r="L48" i="47"/>
  <c r="A48" i="48" s="1"/>
  <c r="U16" i="49"/>
  <c r="G28" i="44" s="1"/>
  <c r="N32" i="47"/>
  <c r="B32" i="48" s="1"/>
  <c r="P73" i="47"/>
  <c r="D73" i="48" s="1"/>
  <c r="R17" i="49"/>
  <c r="D29" i="44" s="1"/>
  <c r="O58" i="47"/>
  <c r="C58" i="48" s="1"/>
  <c r="O34" i="47"/>
  <c r="C34" i="48" s="1"/>
  <c r="L44" i="47"/>
  <c r="A44" i="48" s="1"/>
  <c r="M36" i="47"/>
  <c r="O16" i="49"/>
  <c r="A28" i="44" s="1"/>
  <c r="M88" i="47"/>
  <c r="M48" i="47"/>
  <c r="O7" i="47"/>
  <c r="C7" i="48" s="1"/>
  <c r="X16" i="49"/>
  <c r="J28" i="44" s="1"/>
  <c r="S19" i="49"/>
  <c r="E31" i="44" s="1"/>
  <c r="L19" i="47"/>
  <c r="A19" i="48" s="1"/>
  <c r="O47" i="47"/>
  <c r="C47" i="48" s="1"/>
  <c r="N89" i="47"/>
  <c r="B89" i="48" s="1"/>
  <c r="T10" i="49"/>
  <c r="F22" i="44" s="1"/>
  <c r="O3" i="49"/>
  <c r="A15" i="44" s="1"/>
  <c r="P46" i="47"/>
  <c r="D46" i="48" s="1"/>
  <c r="P94" i="47"/>
  <c r="D94" i="48" s="1"/>
  <c r="O61" i="47"/>
  <c r="C61" i="48" s="1"/>
  <c r="Q21" i="49"/>
  <c r="C33" i="44" s="1"/>
  <c r="P16" i="47"/>
  <c r="D16" i="48" s="1"/>
  <c r="T13" i="49"/>
  <c r="F25" i="44" s="1"/>
  <c r="R4" i="49"/>
  <c r="D16" i="44" s="1"/>
  <c r="L76" i="47"/>
  <c r="A76" i="48" s="1"/>
  <c r="T14" i="49"/>
  <c r="F26" i="44" s="1"/>
  <c r="T11" i="49"/>
  <c r="F23" i="44" s="1"/>
  <c r="T22" i="49"/>
  <c r="F34" i="44" s="1"/>
  <c r="X6" i="49"/>
  <c r="J18" i="44" s="1"/>
  <c r="S25" i="49"/>
  <c r="E37" i="44" s="1"/>
  <c r="O21" i="49"/>
  <c r="A33" i="44" s="1"/>
  <c r="O79" i="47"/>
  <c r="C79" i="48" s="1"/>
  <c r="P95" i="47"/>
  <c r="D95" i="48" s="1"/>
  <c r="V19" i="49"/>
  <c r="H31" i="44" s="1"/>
  <c r="O65" i="47"/>
  <c r="C65" i="48" s="1"/>
  <c r="Q22" i="49"/>
  <c r="C34" i="44" s="1"/>
  <c r="N46" i="47"/>
  <c r="B46" i="48" s="1"/>
  <c r="M16" i="47"/>
  <c r="R10" i="49"/>
  <c r="D22" i="44" s="1"/>
  <c r="V23" i="49"/>
  <c r="H35" i="44" s="1"/>
  <c r="L40" i="47"/>
  <c r="A40" i="48" s="1"/>
  <c r="Q5" i="49"/>
  <c r="C17" i="44" s="1"/>
  <c r="P85" i="47"/>
  <c r="D85" i="48" s="1"/>
  <c r="P66" i="47"/>
  <c r="D66" i="48" s="1"/>
  <c r="N96" i="47"/>
  <c r="B96" i="48" s="1"/>
  <c r="N86" i="47"/>
  <c r="B86" i="48" s="1"/>
  <c r="W8" i="49"/>
  <c r="I20" i="44" s="1"/>
  <c r="P90" i="47"/>
  <c r="D90" i="48" s="1"/>
  <c r="L94" i="47"/>
  <c r="A94" i="48" s="1"/>
  <c r="M4" i="47"/>
  <c r="R8" i="49"/>
  <c r="D20" i="44" s="1"/>
  <c r="M37" i="47"/>
  <c r="R15" i="49"/>
  <c r="D27" i="44" s="1"/>
  <c r="M46" i="47"/>
  <c r="L2" i="47"/>
  <c r="A2" i="48" s="1"/>
  <c r="N60" i="47"/>
  <c r="B60" i="48" s="1"/>
  <c r="M68" i="47"/>
  <c r="P3" i="49"/>
  <c r="B15" i="44" s="1"/>
  <c r="P21" i="49"/>
  <c r="B33" i="44" s="1"/>
  <c r="P9" i="49"/>
  <c r="B21" i="44" s="1"/>
  <c r="P38" i="47"/>
  <c r="D38" i="48" s="1"/>
  <c r="P68" i="47"/>
  <c r="D68" i="48" s="1"/>
  <c r="O59" i="47"/>
  <c r="C59" i="48" s="1"/>
  <c r="M44" i="47"/>
  <c r="N45" i="47"/>
  <c r="B45" i="48" s="1"/>
  <c r="M9" i="47"/>
  <c r="P3" i="47"/>
  <c r="D3" i="48" s="1"/>
  <c r="M96" i="47"/>
  <c r="P103" i="47"/>
  <c r="D103" i="48" s="1"/>
  <c r="M73" i="47"/>
  <c r="M17" i="47"/>
  <c r="M33" i="47"/>
  <c r="P65" i="47"/>
  <c r="D65" i="48" s="1"/>
  <c r="Y23" i="49"/>
  <c r="K35" i="44" s="1"/>
  <c r="Q18" i="49"/>
  <c r="C30" i="44" s="1"/>
  <c r="P6" i="47"/>
  <c r="D6" i="48" s="1"/>
  <c r="N41" i="47"/>
  <c r="B41" i="48" s="1"/>
  <c r="P99" i="47"/>
  <c r="D99" i="48" s="1"/>
  <c r="N6" i="47"/>
  <c r="B6" i="48" s="1"/>
  <c r="N90" i="47"/>
  <c r="B90" i="48" s="1"/>
  <c r="X7" i="49"/>
  <c r="J19" i="44" s="1"/>
  <c r="P19" i="47"/>
  <c r="D19" i="48" s="1"/>
  <c r="O22" i="49"/>
  <c r="A34" i="44" s="1"/>
  <c r="L64" i="47"/>
  <c r="A64" i="48" s="1"/>
  <c r="Y7" i="49"/>
  <c r="K19" i="44" s="1"/>
  <c r="V18" i="49"/>
  <c r="H30" i="44" s="1"/>
  <c r="N93" i="47"/>
  <c r="B93" i="48" s="1"/>
  <c r="M19" i="47"/>
  <c r="W14" i="49"/>
  <c r="I26" i="44" s="1"/>
  <c r="P5" i="49"/>
  <c r="B17" i="44" s="1"/>
  <c r="Y21" i="49"/>
  <c r="K33" i="44" s="1"/>
  <c r="M50" i="47"/>
  <c r="X19" i="49"/>
  <c r="J31" i="44" s="1"/>
  <c r="M82" i="47"/>
  <c r="L25" i="47"/>
  <c r="A25" i="48" s="1"/>
  <c r="M72" i="47"/>
  <c r="M28" i="47"/>
  <c r="Y16" i="49"/>
  <c r="K28" i="44" s="1"/>
  <c r="P12" i="49"/>
  <c r="B24" i="44" s="1"/>
  <c r="Y2" i="49"/>
  <c r="K14" i="44" s="1"/>
  <c r="O43" i="47"/>
  <c r="C43" i="48" s="1"/>
  <c r="L53" i="47"/>
  <c r="A53" i="48" s="1"/>
  <c r="M70" i="47"/>
  <c r="R7" i="49"/>
  <c r="D19" i="44" s="1"/>
  <c r="N85" i="47"/>
  <c r="B85" i="48" s="1"/>
  <c r="Q17" i="49"/>
  <c r="C29" i="44" s="1"/>
  <c r="V10" i="49"/>
  <c r="H22" i="44" s="1"/>
  <c r="S15" i="49"/>
  <c r="E27" i="44" s="1"/>
  <c r="W15" i="49"/>
  <c r="I27" i="44" s="1"/>
  <c r="O46" i="47"/>
  <c r="C46" i="48" s="1"/>
  <c r="U15" i="49"/>
  <c r="G27" i="44" s="1"/>
  <c r="M45" i="47"/>
  <c r="L90" i="47"/>
  <c r="A90" i="48" s="1"/>
  <c r="P31" i="47"/>
  <c r="D31" i="48" s="1"/>
  <c r="O21" i="47"/>
  <c r="C21" i="48" s="1"/>
  <c r="Y12" i="49"/>
  <c r="K24" i="44" s="1"/>
  <c r="L71" i="47"/>
  <c r="A71" i="48" s="1"/>
  <c r="P23" i="47"/>
  <c r="D23" i="48" s="1"/>
  <c r="P106" i="47"/>
  <c r="D106" i="48" s="1"/>
  <c r="O17" i="49"/>
  <c r="A29" i="44" s="1"/>
  <c r="R6" i="49"/>
  <c r="D18" i="44" s="1"/>
  <c r="P86" i="47"/>
  <c r="D86" i="48" s="1"/>
  <c r="N79" i="47"/>
  <c r="B79" i="48" s="1"/>
  <c r="N82" i="47"/>
  <c r="B82" i="48" s="1"/>
  <c r="P54" i="47"/>
  <c r="D54" i="48" s="1"/>
  <c r="L11" i="47"/>
  <c r="A11" i="48" s="1"/>
  <c r="R9" i="49"/>
  <c r="D21" i="44" s="1"/>
  <c r="L89" i="47"/>
  <c r="A89" i="48" s="1"/>
  <c r="M39" i="47"/>
  <c r="U25" i="49"/>
  <c r="G37" i="44" s="1"/>
  <c r="T20" i="49"/>
  <c r="F32" i="44" s="1"/>
  <c r="M65" i="47"/>
  <c r="T19" i="49"/>
  <c r="F31" i="44" s="1"/>
  <c r="Y19" i="49"/>
  <c r="K31" i="44" s="1"/>
  <c r="X23" i="49"/>
  <c r="J35" i="44" s="1"/>
  <c r="P43" i="47"/>
  <c r="D43" i="48" s="1"/>
  <c r="O73" i="47"/>
  <c r="C73" i="48" s="1"/>
  <c r="P17" i="49"/>
  <c r="B29" i="44" s="1"/>
  <c r="V20" i="49"/>
  <c r="H32" i="44" s="1"/>
  <c r="O53" i="47"/>
  <c r="C53" i="48" s="1"/>
  <c r="L15" i="47"/>
  <c r="A15" i="48" s="1"/>
  <c r="N53" i="47"/>
  <c r="B53" i="48" s="1"/>
  <c r="P8" i="47"/>
  <c r="D8" i="48" s="1"/>
  <c r="P105" i="47"/>
  <c r="D105" i="48" s="1"/>
  <c r="P6" i="49"/>
  <c r="B18" i="44" s="1"/>
  <c r="M22" i="47"/>
  <c r="P18" i="49"/>
  <c r="B30" i="44" s="1"/>
  <c r="V2" i="49"/>
  <c r="H14" i="44" s="1"/>
  <c r="L29" i="47"/>
  <c r="A29" i="48" s="1"/>
  <c r="U8" i="49"/>
  <c r="G20" i="44" s="1"/>
  <c r="O30" i="47"/>
  <c r="C30" i="48" s="1"/>
  <c r="L92" i="47"/>
  <c r="A92" i="48" s="1"/>
  <c r="O51" i="47"/>
  <c r="C51" i="48" s="1"/>
  <c r="O48" i="47"/>
  <c r="C48" i="48" s="1"/>
  <c r="P69" i="47"/>
  <c r="D69" i="48" s="1"/>
  <c r="O7" i="49"/>
  <c r="A19" i="44" s="1"/>
  <c r="N37" i="47"/>
  <c r="B37" i="48" s="1"/>
  <c r="S20" i="49"/>
  <c r="E32" i="44" s="1"/>
  <c r="L58" i="47"/>
  <c r="A58" i="48" s="1"/>
  <c r="M85" i="47"/>
  <c r="L96" i="47"/>
  <c r="A96" i="48" s="1"/>
  <c r="T16" i="49"/>
  <c r="F28" i="44" s="1"/>
  <c r="U3" i="49"/>
  <c r="G15" i="44" s="1"/>
  <c r="Q6" i="49"/>
  <c r="C18" i="44" s="1"/>
  <c r="L8" i="47"/>
  <c r="A8" i="48" s="1"/>
  <c r="O24" i="49"/>
  <c r="A36" i="44" s="1"/>
  <c r="M20" i="47"/>
  <c r="P91" i="47"/>
  <c r="D91" i="48" s="1"/>
  <c r="S3" i="49"/>
  <c r="E15" i="44" s="1"/>
  <c r="R3" i="49"/>
  <c r="D15" i="44" s="1"/>
  <c r="W10" i="49"/>
  <c r="I22" i="44" s="1"/>
  <c r="N98" i="47"/>
  <c r="B98" i="48" s="1"/>
  <c r="W3" i="49"/>
  <c r="I15" i="44" s="1"/>
  <c r="U18" i="49"/>
  <c r="G30" i="44" s="1"/>
  <c r="N59" i="47"/>
  <c r="B59" i="48" s="1"/>
  <c r="L95" i="47"/>
  <c r="A95" i="48" s="1"/>
  <c r="L49" i="47"/>
  <c r="A49" i="48" s="1"/>
  <c r="X3" i="49"/>
  <c r="J15" i="44" s="1"/>
  <c r="M61" i="47"/>
  <c r="M52" i="47"/>
  <c r="V14" i="49"/>
  <c r="H26" i="44" s="1"/>
  <c r="O41" i="47"/>
  <c r="C41" i="48" s="1"/>
  <c r="S8" i="49"/>
  <c r="E20" i="44" s="1"/>
  <c r="O13" i="49"/>
  <c r="A25" i="44" s="1"/>
  <c r="P47" i="47"/>
  <c r="D47" i="48" s="1"/>
  <c r="P18" i="47"/>
  <c r="D18" i="48" s="1"/>
  <c r="M95" i="47"/>
  <c r="P11" i="47"/>
  <c r="D11" i="48" s="1"/>
  <c r="S24" i="49"/>
  <c r="E36" i="44" s="1"/>
  <c r="L35" i="47"/>
  <c r="A35" i="48" s="1"/>
  <c r="O85" i="47"/>
  <c r="C85" i="48" s="1"/>
  <c r="M93" i="47"/>
  <c r="O4" i="47"/>
  <c r="C4" i="48" s="1"/>
  <c r="T17" i="49"/>
  <c r="F29" i="44" s="1"/>
  <c r="M11" i="47"/>
  <c r="L74" i="47"/>
  <c r="A74" i="48" s="1"/>
  <c r="M25" i="47"/>
  <c r="W23" i="49"/>
  <c r="I35" i="44" s="1"/>
  <c r="N2" i="47"/>
  <c r="B2" i="48" s="1"/>
  <c r="Y13" i="49"/>
  <c r="K25" i="44" s="1"/>
  <c r="O86" i="47"/>
  <c r="C86" i="48" s="1"/>
  <c r="Y11" i="49"/>
  <c r="K23" i="44" s="1"/>
  <c r="V25" i="49"/>
  <c r="H37" i="44" s="1"/>
  <c r="N80" i="47"/>
  <c r="B80" i="48" s="1"/>
  <c r="N25" i="47"/>
  <c r="B25" i="48" s="1"/>
  <c r="X20" i="49"/>
  <c r="J32" i="44" s="1"/>
  <c r="O33" i="47"/>
  <c r="C33" i="48" s="1"/>
  <c r="L38" i="47"/>
  <c r="A38" i="48" s="1"/>
  <c r="P10" i="49"/>
  <c r="B22" i="44" s="1"/>
  <c r="T24" i="49"/>
  <c r="F36" i="44" s="1"/>
  <c r="X15" i="49"/>
  <c r="J27" i="44" s="1"/>
  <c r="S5" i="49"/>
  <c r="E17" i="44" s="1"/>
  <c r="N5" i="47"/>
  <c r="B5" i="48" s="1"/>
  <c r="O11" i="49"/>
  <c r="A23" i="44" s="1"/>
  <c r="W17" i="49"/>
  <c r="I29" i="44" s="1"/>
  <c r="O26" i="47"/>
  <c r="C26" i="48" s="1"/>
  <c r="M41" i="47"/>
  <c r="L31" i="47"/>
  <c r="A31" i="48" s="1"/>
  <c r="P98" i="47"/>
  <c r="D98" i="48" s="1"/>
  <c r="P53" i="47"/>
  <c r="D53" i="48" s="1"/>
  <c r="P78" i="47"/>
  <c r="D78" i="48" s="1"/>
  <c r="N13" i="47"/>
  <c r="B13" i="48" s="1"/>
  <c r="N64" i="47"/>
  <c r="B64" i="48" s="1"/>
  <c r="X4" i="49"/>
  <c r="J16" i="44" s="1"/>
  <c r="P36" i="47"/>
  <c r="D36" i="48" s="1"/>
  <c r="L13" i="47"/>
  <c r="A13" i="48" s="1"/>
  <c r="T12" i="49"/>
  <c r="F24" i="44" s="1"/>
  <c r="O19" i="47"/>
  <c r="C19" i="48" s="1"/>
  <c r="S22" i="49"/>
  <c r="E34" i="44" s="1"/>
  <c r="Y3" i="49"/>
  <c r="K15" i="44" s="1"/>
  <c r="N88" i="47"/>
  <c r="B88" i="48" s="1"/>
  <c r="P16" i="49"/>
  <c r="B28" i="44" s="1"/>
  <c r="T23" i="49"/>
  <c r="F35" i="44" s="1"/>
  <c r="O10" i="49"/>
  <c r="A22" i="44" s="1"/>
  <c r="Q20" i="49"/>
  <c r="C32" i="44" s="1"/>
  <c r="T9" i="49"/>
  <c r="F21" i="44" s="1"/>
  <c r="N73" i="47"/>
  <c r="B73" i="48" s="1"/>
  <c r="P64" i="47"/>
  <c r="D64" i="48" s="1"/>
  <c r="M83" i="47"/>
  <c r="P23" i="49"/>
  <c r="B35" i="44" s="1"/>
  <c r="R21" i="49"/>
  <c r="D33" i="44" s="1"/>
  <c r="M18" i="47"/>
  <c r="M5" i="47"/>
  <c r="O18" i="49"/>
  <c r="A30" i="44" s="1"/>
  <c r="O94" i="47"/>
  <c r="C94" i="48" s="1"/>
  <c r="P14" i="49"/>
  <c r="B26" i="44" s="1"/>
  <c r="O49" i="47"/>
  <c r="C49" i="48" s="1"/>
  <c r="S14" i="49"/>
  <c r="E26" i="44" s="1"/>
  <c r="M49" i="47"/>
  <c r="T4" i="49"/>
  <c r="F16" i="44" s="1"/>
  <c r="O8" i="47"/>
  <c r="C8" i="48" s="1"/>
  <c r="M34" i="47"/>
  <c r="P107" i="47"/>
  <c r="D107" i="48" s="1"/>
  <c r="N94" i="47"/>
  <c r="B94" i="48" s="1"/>
  <c r="M86" i="47"/>
  <c r="M74" i="47"/>
  <c r="M77" i="47"/>
  <c r="W6" i="49"/>
  <c r="I18" i="44" s="1"/>
  <c r="V9" i="49"/>
  <c r="H21" i="44" s="1"/>
  <c r="Y17" i="49"/>
  <c r="K29" i="44" s="1"/>
  <c r="P48" i="47"/>
  <c r="D48" i="48" s="1"/>
  <c r="O6" i="49"/>
  <c r="A18" i="44" s="1"/>
  <c r="R18" i="49"/>
  <c r="D30" i="44" s="1"/>
  <c r="N48" i="47"/>
  <c r="B48" i="48" s="1"/>
  <c r="V4" i="49"/>
  <c r="H16" i="44" s="1"/>
  <c r="P71" i="47"/>
  <c r="D71" i="48" s="1"/>
  <c r="R2" i="49"/>
  <c r="D14" i="44" s="1"/>
  <c r="Y18" i="49"/>
  <c r="K30" i="44" s="1"/>
  <c r="M38" i="47"/>
  <c r="P45" i="47"/>
  <c r="D45" i="48" s="1"/>
  <c r="N95" i="47"/>
  <c r="B95" i="48" s="1"/>
  <c r="P25" i="47"/>
  <c r="D25" i="48" s="1"/>
  <c r="L47" i="47"/>
  <c r="A47" i="48" s="1"/>
  <c r="R13" i="49"/>
  <c r="D25" i="44" s="1"/>
  <c r="P13" i="47"/>
  <c r="D13" i="48" s="1"/>
  <c r="P2" i="49"/>
  <c r="B14" i="44" s="1"/>
  <c r="S13" i="49"/>
  <c r="E25" i="44" s="1"/>
  <c r="R14" i="49"/>
  <c r="D26" i="44" s="1"/>
  <c r="V15" i="49"/>
  <c r="H27" i="44" s="1"/>
  <c r="N97" i="47"/>
  <c r="B97" i="48" s="1"/>
  <c r="N66" i="47"/>
  <c r="B66" i="48" s="1"/>
  <c r="P7" i="49"/>
  <c r="B19" i="44" s="1"/>
  <c r="N23" i="47"/>
  <c r="B23" i="48" s="1"/>
  <c r="L45" i="47"/>
  <c r="A45" i="48" s="1"/>
  <c r="O2" i="49"/>
  <c r="A14" i="44" s="1"/>
  <c r="M11" i="44" s="1" a="1"/>
  <c r="M11" i="44" s="1"/>
  <c r="N10" i="47"/>
  <c r="B10" i="48" s="1"/>
  <c r="O91" i="47"/>
  <c r="C91" i="48" s="1"/>
  <c r="P89" i="47"/>
  <c r="D89" i="48" s="1"/>
  <c r="U4" i="49"/>
  <c r="G16" i="44" s="1"/>
  <c r="W7" i="49"/>
  <c r="I19" i="44" s="1"/>
  <c r="P52" i="47"/>
  <c r="D52" i="48" s="1"/>
  <c r="N22" i="47"/>
  <c r="B22" i="48" s="1"/>
  <c r="P97" i="47"/>
  <c r="D97" i="48" s="1"/>
  <c r="L34" i="47"/>
  <c r="A34" i="48" s="1"/>
  <c r="L83" i="47"/>
  <c r="A83" i="48" s="1"/>
  <c r="Y6" i="49"/>
  <c r="K18" i="44" s="1"/>
  <c r="M15" i="47"/>
  <c r="N31" i="47"/>
  <c r="B31" i="48" s="1"/>
  <c r="O38" i="47"/>
  <c r="C38" i="48" s="1"/>
  <c r="Q14" i="49"/>
  <c r="C26" i="44" s="1"/>
  <c r="Q2" i="49"/>
  <c r="C14" i="44" s="1"/>
  <c r="L80" i="47"/>
  <c r="A80" i="48" s="1"/>
  <c r="U6" i="49"/>
  <c r="G18" i="44" s="1"/>
  <c r="O52" i="47"/>
  <c r="C52" i="48" s="1"/>
  <c r="P104" i="47"/>
  <c r="D104" i="48" s="1"/>
  <c r="L63" i="47"/>
  <c r="A63" i="48" s="1"/>
  <c r="Q10" i="49"/>
  <c r="C22" i="44" s="1"/>
  <c r="M80" i="47"/>
  <c r="O96" i="47"/>
  <c r="C96" i="48" s="1"/>
  <c r="P9" i="47"/>
  <c r="D9" i="48" s="1"/>
  <c r="N34" i="47"/>
  <c r="B34" i="48" s="1"/>
  <c r="S12" i="49"/>
  <c r="E24" i="44" s="1"/>
  <c r="O13" i="47"/>
  <c r="C13" i="48" s="1"/>
  <c r="P81" i="47"/>
  <c r="D81" i="48" s="1"/>
  <c r="Q16" i="49"/>
  <c r="C28" i="44" s="1"/>
  <c r="M90" i="47"/>
  <c r="O10" i="47"/>
  <c r="C10" i="48" s="1"/>
  <c r="N49" i="47"/>
  <c r="B49" i="48" s="1"/>
  <c r="L78" i="47"/>
  <c r="A78" i="48" s="1"/>
  <c r="O78" i="47"/>
  <c r="C78" i="48" s="1"/>
  <c r="X14" i="49"/>
  <c r="J26" i="44" s="1"/>
  <c r="L33" i="47"/>
  <c r="A33" i="48" s="1"/>
  <c r="Q25" i="49"/>
  <c r="C37" i="44" s="1"/>
  <c r="Y5" i="49"/>
  <c r="K17" i="44" s="1"/>
  <c r="V11" i="49"/>
  <c r="H23" i="44" s="1"/>
  <c r="M35" i="47"/>
  <c r="U24" i="49"/>
  <c r="G36" i="44" s="1"/>
  <c r="O14" i="47"/>
  <c r="C14" i="48" s="1"/>
  <c r="Q19" i="49"/>
  <c r="C31" i="44" s="1"/>
  <c r="N21" i="47"/>
  <c r="B21" i="48" s="1"/>
  <c r="T2" i="49"/>
  <c r="F14" i="44" s="1"/>
  <c r="O71" i="47"/>
  <c r="C71" i="48" s="1"/>
  <c r="P82" i="47"/>
  <c r="D82" i="48" s="1"/>
  <c r="L32" i="47"/>
  <c r="A32" i="48" s="1"/>
  <c r="Y14" i="49"/>
  <c r="K26" i="44" s="1"/>
  <c r="N62" i="47"/>
  <c r="B62" i="48" s="1"/>
  <c r="M43" i="47"/>
  <c r="V6" i="49"/>
  <c r="H18" i="44" s="1"/>
  <c r="R22" i="49"/>
  <c r="D34" i="44" s="1"/>
  <c r="N77" i="47"/>
  <c r="B77" i="48" s="1"/>
  <c r="O83" i="47"/>
  <c r="C83" i="48" s="1"/>
  <c r="S10" i="49"/>
  <c r="E22" i="44" s="1"/>
  <c r="P15" i="47"/>
  <c r="D15" i="48" s="1"/>
  <c r="M8" i="47"/>
  <c r="Q23" i="49"/>
  <c r="C35" i="44" s="1"/>
  <c r="O93" i="47"/>
  <c r="C93" i="48" s="1"/>
  <c r="O75" i="47"/>
  <c r="C75" i="48" s="1"/>
  <c r="L23" i="47"/>
  <c r="A23" i="48" s="1"/>
  <c r="P17" i="47"/>
  <c r="D17" i="48" s="1"/>
  <c r="L51" i="47"/>
  <c r="A51" i="48" s="1"/>
  <c r="P50" i="47"/>
  <c r="D50" i="48" s="1"/>
  <c r="M24" i="47"/>
  <c r="L86" i="47"/>
  <c r="A86" i="48" s="1"/>
  <c r="L22" i="47"/>
  <c r="A22" i="48" s="1"/>
  <c r="U17" i="49"/>
  <c r="G29" i="44" s="1"/>
  <c r="P20" i="47"/>
  <c r="D20" i="48" s="1"/>
  <c r="O92" i="47"/>
  <c r="C92" i="48" s="1"/>
  <c r="M56" i="47"/>
  <c r="X2" i="49"/>
  <c r="J14" i="44" s="1"/>
  <c r="U9" i="49"/>
  <c r="G21" i="44" s="1"/>
  <c r="P51" i="47"/>
  <c r="D51" i="48" s="1"/>
  <c r="N19" i="47"/>
  <c r="B19" i="48" s="1"/>
  <c r="N87" i="47"/>
  <c r="B87" i="48" s="1"/>
  <c r="X12" i="49"/>
  <c r="J24" i="44" s="1"/>
  <c r="O29" i="47"/>
  <c r="C29" i="48" s="1"/>
  <c r="X22" i="49"/>
  <c r="J34" i="44" s="1"/>
  <c r="M14" i="47"/>
  <c r="S23" i="49"/>
  <c r="E35" i="44" s="1"/>
  <c r="L87" i="47"/>
  <c r="A87" i="48" s="1"/>
  <c r="N33" i="47"/>
  <c r="B33" i="48" s="1"/>
  <c r="P88" i="47"/>
  <c r="D88" i="48" s="1"/>
  <c r="O5" i="47"/>
  <c r="C5" i="48" s="1"/>
  <c r="V21" i="49"/>
  <c r="H33" i="44" s="1"/>
  <c r="M62" i="47"/>
  <c r="N26" i="47"/>
  <c r="B26" i="48" s="1"/>
  <c r="P49" i="47"/>
  <c r="D49" i="48" s="1"/>
  <c r="P74" i="47"/>
  <c r="D74" i="48" s="1"/>
  <c r="P13" i="49"/>
  <c r="B25" i="44" s="1"/>
  <c r="X25" i="49"/>
  <c r="J37" i="44" s="1"/>
  <c r="L68" i="47"/>
  <c r="A68" i="48" s="1"/>
  <c r="O6" i="47"/>
  <c r="C6" i="48" s="1"/>
  <c r="L37" i="47"/>
  <c r="A37" i="48" s="1"/>
  <c r="O9" i="49"/>
  <c r="A21" i="44" s="1"/>
  <c r="N78" i="47"/>
  <c r="B78" i="48" s="1"/>
  <c r="T18" i="49"/>
  <c r="F30" i="44" s="1"/>
  <c r="W4" i="49"/>
  <c r="I16" i="44" s="1"/>
  <c r="P8" i="49"/>
  <c r="B20" i="44" s="1"/>
  <c r="X17" i="49"/>
  <c r="J29" i="44" s="1"/>
  <c r="O66" i="47"/>
  <c r="C66" i="48" s="1"/>
  <c r="P10" i="47"/>
  <c r="D10" i="48" s="1"/>
  <c r="N51" i="47"/>
  <c r="B51" i="48" s="1"/>
  <c r="N20" i="47"/>
  <c r="B20" i="48" s="1"/>
  <c r="M94" i="47"/>
  <c r="N7" i="47"/>
  <c r="B7" i="48" s="1"/>
  <c r="P37" i="47"/>
  <c r="D37" i="48" s="1"/>
  <c r="L42" i="47"/>
  <c r="A42" i="48" s="1"/>
  <c r="Q11" i="49"/>
  <c r="C23" i="44" s="1"/>
  <c r="P41" i="47"/>
  <c r="D41" i="48" s="1"/>
  <c r="M84" i="47"/>
  <c r="W2" i="49"/>
  <c r="I14" i="44" s="1"/>
  <c r="P4" i="47"/>
  <c r="D4" i="48" s="1"/>
  <c r="N54" i="47"/>
  <c r="B54" i="48" s="1"/>
  <c r="U21" i="49"/>
  <c r="G33" i="44" s="1"/>
  <c r="O50" i="47"/>
  <c r="C50" i="48" s="1"/>
  <c r="O69" i="47"/>
  <c r="C69" i="48" s="1"/>
  <c r="Y24" i="49"/>
  <c r="K36" i="44" s="1"/>
  <c r="M21" i="47"/>
  <c r="X13" i="49"/>
  <c r="J25" i="44" s="1"/>
  <c r="L65" i="47"/>
  <c r="A65" i="48" s="1"/>
  <c r="O23" i="47"/>
  <c r="C23" i="48" s="1"/>
  <c r="L28" i="47"/>
  <c r="A28" i="48" s="1"/>
  <c r="S17" i="49"/>
  <c r="E29" i="44" s="1"/>
  <c r="O55" i="47"/>
  <c r="C55" i="48" s="1"/>
  <c r="V17" i="49"/>
  <c r="H29" i="44" s="1"/>
  <c r="N72" i="47"/>
  <c r="B72" i="48" s="1"/>
  <c r="M63" i="47"/>
  <c r="L75" i="47"/>
  <c r="A75" i="48" s="1"/>
  <c r="N71" i="47"/>
  <c r="B71" i="48" s="1"/>
  <c r="N40" i="47"/>
  <c r="B40" i="48" s="1"/>
  <c r="N50" i="47"/>
  <c r="B50" i="48" s="1"/>
  <c r="L79" i="47"/>
  <c r="A79" i="48" s="1"/>
  <c r="W22" i="49"/>
  <c r="I34" i="44" s="1"/>
  <c r="X9" i="49"/>
  <c r="J21" i="44" s="1"/>
  <c r="M57" i="47"/>
  <c r="P22" i="49"/>
  <c r="B34" i="44" s="1"/>
  <c r="N14" i="47"/>
  <c r="B14" i="48" s="1"/>
  <c r="L82" i="47"/>
  <c r="A82" i="48" s="1"/>
  <c r="N18" i="47"/>
  <c r="B18" i="48" s="1"/>
  <c r="N4" i="47"/>
  <c r="B4" i="48" s="1"/>
  <c r="L12" i="47"/>
  <c r="A12" i="48" s="1"/>
  <c r="X5" i="49"/>
  <c r="J17" i="44" s="1"/>
  <c r="U13" i="49"/>
  <c r="G25" i="44" s="1"/>
  <c r="P83" i="47"/>
  <c r="D83" i="48" s="1"/>
  <c r="P14" i="47"/>
  <c r="D14" i="48" s="1"/>
  <c r="N8" i="47"/>
  <c r="B8" i="48" s="1"/>
  <c r="M89" i="47"/>
  <c r="O16" i="47"/>
  <c r="C16" i="48" s="1"/>
  <c r="M81" i="47"/>
  <c r="O27" i="47"/>
  <c r="C27" i="48" s="1"/>
  <c r="L6" i="47"/>
  <c r="A6" i="48" s="1"/>
  <c r="P25" i="49"/>
  <c r="B37" i="44" s="1"/>
  <c r="O64" i="47"/>
  <c r="C64" i="48" s="1"/>
  <c r="X18" i="49"/>
  <c r="J30" i="44" s="1"/>
  <c r="S21" i="49"/>
  <c r="E33" i="44" s="1"/>
  <c r="V5" i="49"/>
  <c r="H17" i="44" s="1"/>
  <c r="R19" i="49"/>
  <c r="D31" i="44" s="1"/>
  <c r="O17" i="47"/>
  <c r="C17" i="48" s="1"/>
  <c r="S7" i="49"/>
  <c r="E19" i="44" s="1"/>
  <c r="L26" i="47"/>
  <c r="A26" i="48" s="1"/>
  <c r="O3" i="47"/>
  <c r="C3" i="48" s="1"/>
  <c r="N52" i="47"/>
  <c r="B52" i="48" s="1"/>
  <c r="N12" i="47"/>
  <c r="B12" i="48" s="1"/>
  <c r="N36" i="47"/>
  <c r="B36" i="48" s="1"/>
  <c r="Y10" i="49"/>
  <c r="K22" i="44" s="1"/>
  <c r="U12" i="49"/>
  <c r="G24" i="44" s="1"/>
  <c r="O20" i="47"/>
  <c r="C20" i="48" s="1"/>
  <c r="L7" i="47"/>
  <c r="A7" i="48" s="1"/>
  <c r="M40" i="47"/>
  <c r="L3" i="47"/>
  <c r="A3" i="48" s="1"/>
  <c r="N29" i="47"/>
  <c r="B29" i="48" s="1"/>
  <c r="W16" i="49"/>
  <c r="I28" i="44" s="1"/>
  <c r="N68" i="47"/>
  <c r="B68" i="48" s="1"/>
  <c r="O28" i="47"/>
  <c r="C28" i="48" s="1"/>
  <c r="O23" i="49"/>
  <c r="A35" i="44" s="1"/>
  <c r="P5" i="47"/>
  <c r="D5" i="48" s="1"/>
  <c r="L10" i="47"/>
  <c r="A10" i="48" s="1"/>
  <c r="M64" i="47"/>
  <c r="O5" i="49"/>
  <c r="A17" i="44" s="1"/>
  <c r="U2" i="49"/>
  <c r="G14" i="44" s="1"/>
  <c r="P59" i="47"/>
  <c r="D59" i="48" s="1"/>
  <c r="O98" i="47"/>
  <c r="C98" i="48" s="1"/>
  <c r="N69" i="47"/>
  <c r="B69" i="48" s="1"/>
  <c r="V24" i="49"/>
  <c r="H36" i="44" s="1"/>
  <c r="L17" i="47"/>
  <c r="A17" i="48" s="1"/>
  <c r="Q3" i="49"/>
  <c r="C15" i="44" s="1"/>
  <c r="L93" i="47"/>
  <c r="A93" i="48" s="1"/>
  <c r="O87" i="47"/>
  <c r="C87" i="48" s="1"/>
  <c r="X24" i="49"/>
  <c r="J36" i="44" s="1"/>
  <c r="O72" i="47"/>
  <c r="C72" i="48" s="1"/>
  <c r="S9" i="49"/>
  <c r="E21" i="44" s="1"/>
  <c r="T21" i="49"/>
  <c r="F33" i="44" s="1"/>
  <c r="P11" i="49"/>
  <c r="B23" i="44" s="1"/>
  <c r="S4" i="49"/>
  <c r="E16" i="44" s="1"/>
  <c r="U22" i="49"/>
  <c r="G34" i="44" s="1"/>
  <c r="W11" i="49"/>
  <c r="I23" i="44" s="1"/>
  <c r="Q13" i="49"/>
  <c r="C25" i="44" s="1"/>
  <c r="M54" i="47"/>
  <c r="L43" i="47"/>
  <c r="A43" i="48" s="1"/>
  <c r="N65" i="47"/>
  <c r="B65" i="48" s="1"/>
  <c r="M98" i="47"/>
  <c r="U23" i="49"/>
  <c r="G35" i="44" s="1"/>
  <c r="P4" i="49"/>
  <c r="B16" i="44" s="1"/>
  <c r="M27" i="47"/>
  <c r="T25" i="49"/>
  <c r="F37" i="44" s="1"/>
  <c r="N70" i="47"/>
  <c r="B70" i="48" s="1"/>
  <c r="L59" i="47"/>
  <c r="A59" i="48" s="1"/>
  <c r="O67" i="47"/>
  <c r="C67" i="48" s="1"/>
  <c r="M91" i="47"/>
  <c r="N15" i="47"/>
  <c r="B15" i="48" s="1"/>
  <c r="W13" i="49"/>
  <c r="I25" i="44" s="1"/>
  <c r="W5" i="49"/>
  <c r="I17" i="44" s="1"/>
  <c r="W12" i="49"/>
  <c r="I24" i="44" s="1"/>
  <c r="L56" i="47"/>
  <c r="A56" i="48" s="1"/>
  <c r="P2" i="47"/>
  <c r="D2" i="48" s="1"/>
  <c r="P26" i="47"/>
  <c r="D26" i="48" s="1"/>
  <c r="N44" i="47"/>
  <c r="B44" i="48" s="1"/>
  <c r="P29" i="47"/>
  <c r="D29" i="48" s="1"/>
  <c r="M30" i="47"/>
  <c r="V8" i="49"/>
  <c r="H20" i="44" s="1"/>
  <c r="T6" i="49"/>
  <c r="F18" i="44" s="1"/>
  <c r="W24" i="49"/>
  <c r="I36" i="44" s="1"/>
  <c r="W18" i="49"/>
  <c r="I30" i="44" s="1"/>
  <c r="O14" i="49"/>
  <c r="A26" i="44" s="1"/>
  <c r="O45" i="47"/>
  <c r="C45" i="48" s="1"/>
  <c r="M58" i="47"/>
  <c r="P35" i="47"/>
  <c r="D35" i="48" s="1"/>
  <c r="M67" i="47"/>
  <c r="M7" i="47"/>
  <c r="P40" i="47"/>
  <c r="D40" i="48" s="1"/>
  <c r="O63" i="47"/>
  <c r="C63" i="48" s="1"/>
  <c r="L30" i="47"/>
  <c r="A30" i="48" s="1"/>
  <c r="R24" i="49"/>
  <c r="D36" i="44" s="1"/>
  <c r="N83" i="47"/>
  <c r="B83" i="48" s="1"/>
  <c r="O54" i="47"/>
  <c r="C54" i="48" s="1"/>
  <c r="U11" i="49"/>
  <c r="G23" i="44" s="1"/>
  <c r="O80" i="47"/>
  <c r="C80" i="48" s="1"/>
  <c r="O12" i="49"/>
  <c r="A24" i="44" s="1"/>
  <c r="P101" i="47"/>
  <c r="D101" i="48" s="1"/>
  <c r="O31" i="47"/>
  <c r="C31" i="48" s="1"/>
  <c r="L54" i="47"/>
  <c r="A54" i="48" s="1"/>
  <c r="P108" i="47"/>
  <c r="D108" i="48" s="1"/>
  <c r="L77" i="47"/>
  <c r="A77" i="48" s="1"/>
  <c r="O40" i="47"/>
  <c r="C40" i="48" s="1"/>
  <c r="M6" i="47"/>
  <c r="Y20" i="49"/>
  <c r="K32" i="44" s="1"/>
  <c r="M71" i="47"/>
  <c r="M31" i="47"/>
  <c r="N91" i="47"/>
  <c r="B91" i="48" s="1"/>
  <c r="P62" i="47"/>
  <c r="D62" i="48" s="1"/>
  <c r="L18" i="47"/>
  <c r="A18" i="48" s="1"/>
  <c r="P22" i="47"/>
  <c r="D22" i="48" s="1"/>
  <c r="P44" i="47"/>
  <c r="D44" i="48" s="1"/>
  <c r="O11" i="47"/>
  <c r="C11" i="48" s="1"/>
  <c r="O84" i="47"/>
  <c r="C84" i="48" s="1"/>
  <c r="U10" i="49"/>
  <c r="G22" i="44" s="1"/>
  <c r="P24" i="49"/>
  <c r="B36" i="44" s="1"/>
  <c r="O19" i="49"/>
  <c r="A31" i="44" s="1"/>
  <c r="N30" i="47"/>
  <c r="B30" i="48" s="1"/>
  <c r="N56" i="47"/>
  <c r="B56" i="48" s="1"/>
  <c r="M47" i="47"/>
  <c r="N75" i="47"/>
  <c r="B75" i="48" s="1"/>
  <c r="V22" i="49"/>
  <c r="H34" i="44" s="1"/>
  <c r="N92" i="47"/>
  <c r="B92" i="48" s="1"/>
  <c r="T3" i="49"/>
  <c r="F15" i="44" s="1"/>
  <c r="O20" i="49"/>
  <c r="A32" i="44" s="1"/>
  <c r="M60" i="47"/>
  <c r="M51" i="47"/>
  <c r="Y9" i="49"/>
  <c r="K21" i="44" s="1"/>
  <c r="P110" i="47"/>
  <c r="D110" i="48" s="1"/>
  <c r="W20" i="49"/>
  <c r="I32" i="44" s="1"/>
  <c r="P27" i="47"/>
  <c r="D27" i="48" s="1"/>
  <c r="T15" i="49"/>
  <c r="F27" i="44" s="1"/>
  <c r="L81" i="47"/>
  <c r="A81" i="48" s="1"/>
  <c r="L66" i="47"/>
  <c r="A66" i="48" s="1"/>
  <c r="X8" i="49"/>
  <c r="J20" i="44" s="1"/>
  <c r="N17" i="47"/>
  <c r="B17" i="48" s="1"/>
  <c r="M12" i="47"/>
  <c r="N76" i="47"/>
  <c r="B76" i="48" s="1"/>
  <c r="X10" i="49"/>
  <c r="J22" i="44" s="1"/>
  <c r="N43" i="47"/>
  <c r="B43" i="48" s="1"/>
  <c r="O62" i="47"/>
  <c r="C62" i="48" s="1"/>
  <c r="O95" i="47"/>
  <c r="C95" i="48" s="1"/>
  <c r="N39" i="47"/>
  <c r="B39" i="48" s="1"/>
  <c r="O39" i="47"/>
  <c r="C39" i="48" s="1"/>
  <c r="O76" i="47"/>
  <c r="C76" i="48" s="1"/>
  <c r="Q15" i="49"/>
  <c r="C27" i="44" s="1"/>
  <c r="L46" i="47"/>
  <c r="A46" i="48" s="1"/>
  <c r="Y25" i="49"/>
  <c r="K37" i="44" s="1"/>
  <c r="N81" i="47"/>
  <c r="B81" i="48" s="1"/>
  <c r="D13" i="44" l="1"/>
  <c r="H13" i="44"/>
  <c r="I12" i="44"/>
  <c r="F12" i="44"/>
  <c r="J12" i="44"/>
  <c r="G13" i="44"/>
  <c r="B10" i="44"/>
  <c r="C12" i="44"/>
  <c r="K13" i="44"/>
  <c r="B11" i="44"/>
  <c r="E13" i="44"/>
  <c r="J13" i="44"/>
  <c r="A12" i="44"/>
  <c r="B1" i="44" s="1"/>
  <c r="F13" i="44"/>
  <c r="C13" i="44"/>
  <c r="B12" i="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Roxana Rentea</author>
    <author>OnkoZert - Florina Dudu</author>
  </authors>
  <commentList>
    <comment ref="C6" authorId="0" shapeId="0" xr:uid="{00000000-0006-0000-0000-000001000000}">
      <text>
        <r>
          <rPr>
            <sz val="9"/>
            <color indexed="81"/>
            <rFont val="Arial"/>
            <family val="2"/>
          </rPr>
          <t>Please select reg. no.
The system of Reg. numbers was fundamentally revised for the 2025 audit year, although the 3-digit number for the unique identification of each centre has remained unchanged. The current Reg. numbers of the respective centres can be viewed at www.oncomap.de.</t>
        </r>
      </text>
    </comment>
    <comment ref="C12" authorId="0" shapeId="0" xr:uid="{4ABA0D5B-2EC7-4AA1-BF41-80FC43326484}">
      <text>
        <r>
          <rPr>
            <sz val="9"/>
            <color indexed="81"/>
            <rFont val="Arial"/>
            <family val="2"/>
          </rPr>
          <t>Institute code for settlement with the social insurance institutions (9-digit number sequence: 26XXXXXXX).
Processing is only required for centers located in Germany.</t>
        </r>
      </text>
    </comment>
    <comment ref="K12" authorId="0" shapeId="0" xr:uid="{00000000-0006-0000-0000-000004000000}">
      <text>
        <r>
          <rPr>
            <sz val="9"/>
            <color indexed="81"/>
            <rFont val="Arial"/>
            <family val="2"/>
          </rPr>
          <t>dd.mm.yyyy</t>
        </r>
      </text>
    </comment>
    <comment ref="C14" authorId="0" shapeId="0" xr:uid="{CB1E0563-47EA-40FA-B656-C6D4E52BA529}">
      <text>
        <r>
          <rPr>
            <sz val="9"/>
            <color indexed="81"/>
            <rFont val="Arial"/>
            <family val="2"/>
          </rPr>
          <t>Identifier assigned by the Institute for the Hospital Remuneration System (InEK) (9-digit number sequence: 77XXXXXXX).
Processing is only required for centers located in Germany.</t>
        </r>
      </text>
    </comment>
    <comment ref="K14" authorId="0" shapeId="0" xr:uid="{00000000-0006-0000-0000-000005000000}">
      <text>
        <r>
          <rPr>
            <sz val="9"/>
            <color indexed="81"/>
            <rFont val="Arial"/>
            <family val="2"/>
          </rPr>
          <t>Selection by reg. no.</t>
        </r>
      </text>
    </comment>
    <comment ref="C16" authorId="0" shapeId="0" xr:uid="{00000000-0006-0000-0000-000003000000}">
      <text>
        <r>
          <rPr>
            <sz val="9"/>
            <color indexed="81"/>
            <rFont val="Arial"/>
            <family val="2"/>
          </rPr>
          <t>Name, first name</t>
        </r>
      </text>
    </comment>
    <comment ref="G24" authorId="0" shapeId="0" xr:uid="{00000000-0006-0000-0000-000006000000}">
      <text>
        <r>
          <rPr>
            <sz val="9"/>
            <color indexed="81"/>
            <rFont val="Arial"/>
            <family val="2"/>
          </rPr>
          <t>For the automatic generation of the Indicator Sheet and the matrix outcome quality, an evaluation tool (XML-OncoBox) is available which can be integrated into different tumour documentation systems. Further information on the XML-OncoBox available on www.xml-oncobox.de</t>
        </r>
      </text>
    </comment>
    <comment ref="A27" authorId="0" shapeId="0" xr:uid="{00000000-0006-0000-0000-000007000000}">
      <text>
        <r>
          <rPr>
            <sz val="9"/>
            <color indexed="81"/>
            <rFont val="Arial"/>
            <family val="2"/>
          </rPr>
          <t>IS = Indicator Sheet
IN = Indicator</t>
        </r>
      </text>
    </comment>
    <comment ref="L30" authorId="0" shapeId="0" xr:uid="{00000000-0006-0000-0000-000008000000}">
      <text>
        <r>
          <rPr>
            <sz val="9"/>
            <color indexed="81"/>
            <rFont val="Arial"/>
            <family val="2"/>
          </rPr>
          <t>IN number: 13a
Denominator IN: 2, 11
See also processing remark 7</t>
        </r>
      </text>
    </comment>
    <comment ref="A31" authorId="1" shapeId="0" xr:uid="{46C905F6-0DC1-464B-8503-DCB0BEF788E2}">
      <text>
        <r>
          <rPr>
            <sz val="9"/>
            <color indexed="81"/>
            <rFont val="Arial"/>
            <family val="2"/>
          </rPr>
          <t>Subset of total primary cases
Row Z31 + Z33 ≠ Z30 because Z30 also contains non-operated PFs</t>
        </r>
        <r>
          <rPr>
            <sz val="9"/>
            <color indexed="81"/>
            <rFont val="Tahoma"/>
            <family val="2"/>
          </rPr>
          <t xml:space="preserve">
</t>
        </r>
      </text>
    </comment>
    <comment ref="L33" authorId="0" shapeId="0" xr:uid="{00000000-0006-0000-0000-000009000000}">
      <text>
        <r>
          <rPr>
            <sz val="9"/>
            <color indexed="81"/>
            <rFont val="Arial"/>
            <family val="2"/>
          </rPr>
          <t>Denominator IN: 1, 12, 16, 19</t>
        </r>
      </text>
    </comment>
    <comment ref="E34" authorId="0" shapeId="0" xr:uid="{00000000-0006-0000-0000-00000A000000}">
      <text>
        <r>
          <rPr>
            <sz val="9"/>
            <color indexed="81"/>
            <rFont val="Arial"/>
            <family val="2"/>
          </rPr>
          <t>Part of denominator IN: 4</t>
        </r>
      </text>
    </comment>
    <comment ref="F34" authorId="0" shapeId="0" xr:uid="{00000000-0006-0000-0000-00000B000000}">
      <text>
        <r>
          <rPr>
            <sz val="9"/>
            <color indexed="81"/>
            <rFont val="Arial"/>
            <family val="2"/>
          </rPr>
          <t>Part of denominator IN: 4</t>
        </r>
      </text>
    </comment>
    <comment ref="G34" authorId="0" shapeId="0" xr:uid="{00000000-0006-0000-0000-00000C000000}">
      <text>
        <r>
          <rPr>
            <sz val="9"/>
            <color indexed="81"/>
            <rFont val="Arial"/>
            <family val="2"/>
          </rPr>
          <t>Part of denominator IN: 4</t>
        </r>
      </text>
    </comment>
    <comment ref="H34" authorId="0" shapeId="0" xr:uid="{00000000-0006-0000-0000-00000D000000}">
      <text>
        <r>
          <rPr>
            <sz val="9"/>
            <color indexed="81"/>
            <rFont val="Arial"/>
            <family val="2"/>
          </rPr>
          <t>Part of denominator IN: 4</t>
        </r>
      </text>
    </comment>
    <comment ref="I34" authorId="0" shapeId="0" xr:uid="{00000000-0006-0000-0000-00000E000000}">
      <text>
        <r>
          <rPr>
            <sz val="9"/>
            <color indexed="81"/>
            <rFont val="Arial"/>
            <family val="2"/>
          </rPr>
          <t>Part of denominator IN: 4</t>
        </r>
      </text>
    </comment>
    <comment ref="L35" authorId="0" shapeId="0" xr:uid="{00000000-0006-0000-0000-00000F000000}">
      <text>
        <r>
          <rPr>
            <sz val="9"/>
            <color indexed="81"/>
            <rFont val="Arial"/>
            <family val="2"/>
          </rPr>
          <t>Numerator IN: 16</t>
        </r>
      </text>
    </comment>
    <comment ref="L41" authorId="0" shapeId="0" xr:uid="{00000000-0006-0000-0000-000010000000}">
      <text>
        <r>
          <rPr>
            <sz val="9"/>
            <color indexed="8"/>
            <rFont val="Arial"/>
            <family val="2"/>
          </rPr>
          <t>See processing remark 7</t>
        </r>
      </text>
    </comment>
    <comment ref="J44" authorId="2" shapeId="0" xr:uid="{53D3993D-103F-4D65-9864-F263C1CD8689}">
      <text>
        <r>
          <rPr>
            <sz val="9"/>
            <color indexed="81"/>
            <rFont val="Arial"/>
            <family val="2"/>
          </rPr>
          <t>IN number: 13b
Denominator IN: 3</t>
        </r>
      </text>
    </comment>
    <comment ref="J46" authorId="2" shapeId="0" xr:uid="{6B2052B1-997B-4899-8A4D-4983D3060634}">
      <text>
        <r>
          <rPr>
            <sz val="9"/>
            <color indexed="81"/>
            <rFont val="Arial"/>
            <family val="2"/>
          </rPr>
          <t>Denominator IN: 9, 10, 20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8D633CDB-C743-40D4-8D48-1B33B4E9C2FF}">
      <text>
        <r>
          <rPr>
            <sz val="9"/>
            <color indexed="81"/>
            <rFont val="Arial"/>
            <family val="2"/>
          </rPr>
          <t>Numerator IN: 12</t>
        </r>
      </text>
    </comment>
    <comment ref="A9" authorId="0" shapeId="0" xr:uid="{38CD712C-3D2B-4F66-8C5B-1FEE53E572EF}">
      <text>
        <r>
          <rPr>
            <sz val="9"/>
            <color indexed="81"/>
            <rFont val="Arial"/>
            <family val="2"/>
          </rPr>
          <t>Responsible co-operation partner: 
- Internal: Study unit/department responsible for the supervision of the study (e.g. Department of Radio-oncology; Haematology/Oncology Group Practice Dr Example; ...). Name of co-operation partner identical to www.oncomap.de, if listed.
- External: Centre (name as listed at www.oncomap.de) or clinic.</t>
        </r>
      </text>
    </comment>
    <comment ref="D10" authorId="0" shapeId="0" xr:uid="{386C5141-0BF1-495F-A78C-596A950C2C19}">
      <text>
        <r>
          <rPr>
            <sz val="9"/>
            <color indexed="81"/>
            <rFont val="Arial"/>
            <family val="2"/>
          </rPr>
          <t>Optional, see section 1.7.5.a</t>
        </r>
      </text>
    </comment>
    <comment ref="E10" authorId="0" shapeId="0" xr:uid="{2DA102B7-EC6F-4163-AEF8-06AFCE3F5130}">
      <text>
        <r>
          <rPr>
            <sz val="9"/>
            <color indexed="81"/>
            <rFont val="Arial"/>
            <family val="2"/>
          </rPr>
          <t>Optional, see section 1.7.5.a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Florina Dudu</author>
  </authors>
  <commentList>
    <comment ref="B6" authorId="0" shapeId="0" xr:uid="{BA7ED7EF-6665-41FB-A4EE-8098056EC80E}">
      <text>
        <r>
          <rPr>
            <sz val="9"/>
            <color indexed="81"/>
            <rFont val="Arial"/>
            <family val="2"/>
          </rPr>
          <t>Requirement for senior breast surgeon (as described in CR 5.2.5): positive qualification assessment by OnkoZert</t>
        </r>
      </text>
    </comment>
    <comment ref="C6" authorId="0" shapeId="0" xr:uid="{FD0D91C1-FD4B-406C-9937-7ECF7DB22D2B}">
      <text>
        <r>
          <rPr>
            <sz val="9"/>
            <color indexed="81"/>
            <rFont val="Arial"/>
            <family val="2"/>
          </rPr>
          <t>Relevant for multi-site centres or in the event that a surgeon is regularly active as a surgeon at several clinical sites/ centre (surgical expertise must be differentiated per clincial site/ centre)</t>
        </r>
      </text>
    </comment>
    <comment ref="D6" authorId="0" shapeId="0" xr:uid="{38193384-31B5-490D-9534-1CC067C8B630}">
      <text>
        <r>
          <rPr>
            <sz val="9"/>
            <color indexed="81"/>
            <rFont val="Arial"/>
            <family val="2"/>
          </rPr>
          <t>Period usually the previous calendar year (= indicator year); deviations e.g. in case of staff turnover, appointment of surgeons during the year; in case of unclear fulfilment, 1 surgeon can also be listed twice for 2 periods (e.g. last calendar year and current year until date of submission CR)</t>
        </r>
      </text>
    </comment>
    <comment ref="E6" authorId="0" shapeId="0" xr:uid="{3A758990-5DD5-4E1A-B423-3C6B295A0A89}">
      <text>
        <r>
          <rPr>
            <sz val="9"/>
            <color indexed="81"/>
            <rFont val="Arial"/>
            <family val="2"/>
          </rPr>
          <t>In the case of senior surgeons, there is no requirement for annual expertise, although the requirements for renewing the certificate after 5 years in accordance with CR 5.2.5 must be observed. Irrespective of this, the operational expertise of the last calendar year must be stated for reasons of traceability for the auditors or certificate issuing committee</t>
        </r>
      </text>
    </comment>
    <comment ref="E24" authorId="0" shapeId="0" xr:uid="{2EAB6B45-41D3-40F5-B3DB-9055BEBD5D2A}">
      <text>
        <r>
          <rPr>
            <sz val="9"/>
            <color indexed="81"/>
            <rFont val="Arial"/>
            <family val="2"/>
          </rPr>
          <t>Total ‘’Surgery primary cases‘’ basic data may differ from the total number of surgeries per surgeon.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 xml:space="preserve">OnkoZert </author>
    <author>OnkoZert - Florina Dudu</author>
    <author>Florina</author>
  </authors>
  <commentList>
    <comment ref="C5" authorId="0" shapeId="0" xr:uid="{00000000-0006-0000-0500-000001000000}">
      <text>
        <r>
          <rPr>
            <sz val="9"/>
            <color indexed="81"/>
            <rFont val="Arial"/>
            <family val="2"/>
          </rPr>
          <t>Carry-over from spreadsheet Basic data</t>
        </r>
      </text>
    </comment>
    <comment ref="E5" authorId="0" shapeId="0" xr:uid="{00000000-0006-0000-0500-000002000000}">
      <text>
        <r>
          <rPr>
            <sz val="9"/>
            <color indexed="81"/>
            <rFont val="Arial"/>
            <family val="2"/>
          </rPr>
          <t>Carry-over from spreadsheet Basic data</t>
        </r>
      </text>
    </comment>
    <comment ref="A7" authorId="0" shapeId="0" xr:uid="{00000000-0006-0000-0500-000003000000}">
      <text>
        <r>
          <rPr>
            <sz val="9"/>
            <color indexed="81"/>
            <rFont val="Arial"/>
            <family val="2"/>
          </rPr>
          <t>IN = Indicator</t>
        </r>
      </text>
    </comment>
    <comment ref="B7" authorId="0" shapeId="0" xr:uid="{00000000-0006-0000-0500-000004000000}">
      <text>
        <r>
          <rPr>
            <sz val="9"/>
            <color indexed="81"/>
            <rFont val="Arial"/>
            <family val="2"/>
          </rPr>
          <t>CR = Catalogue of Requirements
GL QI = Guideline derived quality indicator</t>
        </r>
      </text>
    </comment>
    <comment ref="N7" authorId="1" shapeId="0" xr:uid="{00000000-0006-0000-0500-000005000000}">
      <text>
        <r>
          <rPr>
            <sz val="9"/>
            <color indexed="81"/>
            <rFont val="Arial"/>
            <family val="2"/>
          </rPr>
          <t>Please fill out the denominator before the numerator.
Please first fully complete the spreadsheet Basic Data and then fill in the  fields current values.</t>
        </r>
      </text>
    </comment>
    <comment ref="Q8" authorId="0" shapeId="0" xr:uid="{00000000-0006-0000-0500-000006000000}">
      <text>
        <r>
          <rPr>
            <sz val="9"/>
            <color indexed="81"/>
            <rFont val="Arial"/>
            <family val="2"/>
          </rPr>
          <t xml:space="preserve">When data field is grey, please provide explanation for the obtained results (for this IN) </t>
        </r>
      </text>
    </comment>
    <comment ref="O10" authorId="0" shapeId="0" xr:uid="{00000000-0006-0000-0500-000007000000}">
      <text>
        <r>
          <rPr>
            <sz val="9"/>
            <color indexed="81"/>
            <rFont val="Arial"/>
            <family val="2"/>
          </rPr>
          <t>Carry over from spreadsheet Basic Data Operated
Primary Cases Cell L33</t>
        </r>
      </text>
    </comment>
    <comment ref="O13" authorId="0" shapeId="0" xr:uid="{00000000-0006-0000-0500-000008000000}">
      <text>
        <r>
          <rPr>
            <sz val="9"/>
            <color indexed="81"/>
            <rFont val="Arial"/>
            <family val="2"/>
          </rPr>
          <t>Carry over from spreadsheet Basic Data Primary Cases Cell L30</t>
        </r>
      </text>
    </comment>
    <comment ref="C15" authorId="2" shapeId="0" xr:uid="{C332D20F-6CAD-43A5-8DBC-E73DC9AE5605}">
      <text>
        <r>
          <rPr>
            <sz val="9"/>
            <color indexed="81"/>
            <rFont val="Arial"/>
            <family val="2"/>
          </rPr>
          <t>For further explanations see FAQ</t>
        </r>
      </text>
    </comment>
    <comment ref="O16" authorId="2" shapeId="0" xr:uid="{5A5758EB-0C98-4AA5-AB5C-F715C951AFC9}">
      <text>
        <r>
          <rPr>
            <sz val="9"/>
            <color indexed="81"/>
            <rFont val="Arial"/>
            <family val="2"/>
          </rPr>
          <t>Carry over from spreadsheet Basic Data Primary Cases Cell J44</t>
        </r>
      </text>
    </comment>
    <comment ref="O19" authorId="2" shapeId="0" xr:uid="{00000000-0006-0000-0500-000009000000}">
      <text>
        <r>
          <rPr>
            <sz val="9"/>
            <color indexed="81"/>
            <rFont val="Arial"/>
            <family val="2"/>
          </rPr>
          <t>Carry over from spreadsheet Basic Data Primary Cases with BCS Cell E34 to I34</t>
        </r>
      </text>
    </comment>
    <comment ref="C27" authorId="2" shapeId="0" xr:uid="{E10BFA49-C88C-469A-BB1A-BBBEDC12AD4E}">
      <text>
        <r>
          <rPr>
            <sz val="9"/>
            <color indexed="81"/>
            <rFont val="Arial"/>
            <family val="2"/>
          </rPr>
          <t>For further explanations see FAQ</t>
        </r>
      </text>
    </comment>
    <comment ref="C30" authorId="2" shapeId="0" xr:uid="{76F1B01A-82F2-47EA-BAF5-C6B511638D7B}">
      <text>
        <r>
          <rPr>
            <sz val="9"/>
            <color indexed="81"/>
            <rFont val="Arial"/>
            <family val="2"/>
          </rPr>
          <t>For further explanations see FAQ</t>
        </r>
      </text>
    </comment>
    <comment ref="C33" authorId="2" shapeId="0" xr:uid="{00000000-0006-0000-0500-00000A000000}">
      <text>
        <r>
          <rPr>
            <sz val="9"/>
            <color indexed="81"/>
            <rFont val="Arial"/>
            <family val="2"/>
          </rPr>
          <t>Screening instruments can be found in the S3 guideline Psycho-oncological diagnosis, counselling and treatment of adult cancer patients.</t>
        </r>
      </text>
    </comment>
    <comment ref="F33" authorId="2" shapeId="0" xr:uid="{00000000-0006-0000-0500-00000B000000}">
      <text>
        <r>
          <rPr>
            <sz val="9"/>
            <color indexed="81"/>
            <rFont val="Arial"/>
            <family val="2"/>
          </rPr>
          <t>Distress-screening includes the use of a valid distress instrument (analogous to the S3 guideline on psycho-oncological diagnosis, counselling and treatment of adult cancer patient).</t>
        </r>
      </text>
    </comment>
    <comment ref="O34" authorId="0" shapeId="0" xr:uid="{00000000-0006-0000-0500-00000C000000}">
      <text>
        <r>
          <rPr>
            <sz val="9"/>
            <color indexed="81"/>
            <rFont val="Arial"/>
            <family val="2"/>
          </rPr>
          <t>Carry over from spreadsheet Basic Data Cell J46</t>
        </r>
      </text>
    </comment>
    <comment ref="O37" authorId="0" shapeId="0" xr:uid="{00000000-0006-0000-0500-00000D000000}">
      <text>
        <r>
          <rPr>
            <sz val="9"/>
            <color indexed="81"/>
            <rFont val="Arial"/>
            <family val="2"/>
          </rPr>
          <t>Carry over from spreadsheet Basic Data Cell J46</t>
        </r>
      </text>
    </comment>
    <comment ref="O39" authorId="0" shapeId="0" xr:uid="{00000000-0006-0000-0500-00000E000000}">
      <text>
        <r>
          <rPr>
            <sz val="9"/>
            <color indexed="81"/>
            <rFont val="Arial"/>
            <family val="2"/>
          </rPr>
          <t>Numerator is no subset of the denominator.
Carry over from spreadsheet Studies Cell E5</t>
        </r>
      </text>
    </comment>
    <comment ref="O40" authorId="0" shapeId="0" xr:uid="{00000000-0006-0000-0500-00000F000000}">
      <text>
        <r>
          <rPr>
            <sz val="9"/>
            <color indexed="81"/>
            <rFont val="Arial"/>
            <family val="2"/>
          </rPr>
          <t>Carry over from spreadsheet Basic Data Primary Cases Cell L30</t>
        </r>
      </text>
    </comment>
    <comment ref="O43" authorId="0" shapeId="0" xr:uid="{00000000-0006-0000-0500-000010000000}">
      <text>
        <r>
          <rPr>
            <sz val="9"/>
            <color indexed="81"/>
            <rFont val="Arial"/>
            <family val="2"/>
          </rPr>
          <t>Carry over from spreadsheet Basic Data Operated Primary Cases Cell L33</t>
        </r>
      </text>
    </comment>
    <comment ref="O45" authorId="0" shapeId="0" xr:uid="{00000000-0006-0000-0500-000011000000}">
      <text>
        <r>
          <rPr>
            <sz val="9"/>
            <color indexed="81"/>
            <rFont val="Arial"/>
            <family val="2"/>
          </rPr>
          <t>Carry over from spreadsheet Basic Data Primary Cases Cell L30</t>
        </r>
      </text>
    </comment>
    <comment ref="O48" authorId="3" shapeId="0" xr:uid="{00000000-0006-0000-0500-000012000000}">
      <text>
        <r>
          <rPr>
            <sz val="9"/>
            <color indexed="81"/>
            <rFont val="Arial"/>
            <family val="2"/>
          </rPr>
          <t>Carry over from spreadsheet Basic Data  Cell J44</t>
        </r>
      </text>
    </comment>
    <comment ref="O57" authorId="0" shapeId="0" xr:uid="{00000000-0006-0000-0500-000013000000}">
      <text>
        <r>
          <rPr>
            <sz val="9"/>
            <color indexed="81"/>
            <rFont val="Arial"/>
            <family val="2"/>
          </rPr>
          <t>Carry over from spreadsheet Basic Data Masectomies Cell L35</t>
        </r>
      </text>
    </comment>
    <comment ref="O58" authorId="0" shapeId="0" xr:uid="{00000000-0006-0000-0500-000014000000}">
      <text>
        <r>
          <rPr>
            <sz val="9"/>
            <color indexed="81"/>
            <rFont val="Arial"/>
            <family val="2"/>
          </rPr>
          <t>Carry over from spreadsheet Basic Data Operated Primary Cases Cell L33</t>
        </r>
      </text>
    </comment>
    <comment ref="C60" authorId="2" shapeId="0" xr:uid="{2C50DA41-17DE-44C4-AD4B-A1890F9216C9}">
      <text>
        <r>
          <rPr>
            <sz val="9"/>
            <color indexed="81"/>
            <rFont val="Arial"/>
            <family val="2"/>
          </rPr>
          <t>Weitere Erläuterungen siehe FAQ</t>
        </r>
      </text>
    </comment>
    <comment ref="O64" authorId="0" shapeId="0" xr:uid="{00000000-0006-0000-0500-000015000000}">
      <text>
        <r>
          <rPr>
            <sz val="9"/>
            <color indexed="81"/>
            <rFont val="Arial"/>
            <family val="2"/>
          </rPr>
          <t>Not limited to Primary Cases</t>
        </r>
      </text>
    </comment>
    <comment ref="O67" authorId="0" shapeId="0" xr:uid="{00000000-0006-0000-0500-000016000000}">
      <text>
        <r>
          <rPr>
            <sz val="9"/>
            <color indexed="81"/>
            <rFont val="Arial"/>
            <family val="2"/>
          </rPr>
          <t>Carry over from spreadsheet Basic Data Operated Primary Cases Cell L33</t>
        </r>
      </text>
    </comment>
    <comment ref="O70" authorId="2" shapeId="0" xr:uid="{B7F51907-A8B4-412E-913B-D2BBC59F9B8F}">
      <text>
        <r>
          <rPr>
            <sz val="9"/>
            <color indexed="81"/>
            <rFont val="Arial"/>
            <family val="2"/>
          </rPr>
          <t>Carry over from spreadsheet Basic Data  Cell J46</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800-000001000000}">
      <text>
        <r>
          <rPr>
            <sz val="9"/>
            <color indexed="81"/>
            <rFont val="Arial"/>
            <family val="2"/>
          </rPr>
          <t>Übertrag erfolgt aus Tabellenblatt Basisdaten</t>
        </r>
      </text>
    </comment>
    <comment ref="C8" authorId="0" shapeId="0" xr:uid="{00000000-0006-0000-0800-000002000000}">
      <text>
        <r>
          <rPr>
            <sz val="9"/>
            <color indexed="81"/>
            <rFont val="Arial"/>
            <family val="2"/>
          </rPr>
          <t>Übertrag erfolgt aus Tabellenblatt Basisdaten</t>
        </r>
      </text>
    </comment>
    <comment ref="J8" authorId="0" shapeId="0" xr:uid="{00000000-0006-0000-0800-000003000000}">
      <text>
        <r>
          <rPr>
            <sz val="9"/>
            <color indexed="81"/>
            <rFont val="Arial"/>
            <family val="2"/>
          </rPr>
          <t>Übertrag erfolgt aus Tabellenblatt Basisdaten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5" authorId="0" shapeId="0" xr:uid="{00000000-0006-0000-0A00-000001000000}">
      <text>
        <r>
          <rPr>
            <sz val="9"/>
            <color indexed="81"/>
            <rFont val="Arial"/>
            <family val="2"/>
          </rPr>
          <t>Übertrag erfolgt aus Tabellenblatt Basisdaten</t>
        </r>
      </text>
    </comment>
    <comment ref="C7" authorId="0" shapeId="0" xr:uid="{00000000-0006-0000-0A00-000002000000}">
      <text>
        <r>
          <rPr>
            <sz val="9"/>
            <color indexed="81"/>
            <rFont val="Arial"/>
            <family val="2"/>
          </rPr>
          <t>Übertrag erfolgt aus Tabellenblatt Basisdaten</t>
        </r>
      </text>
    </comment>
    <comment ref="O7" authorId="0" shapeId="0" xr:uid="{00000000-0006-0000-0A00-000003000000}">
      <text>
        <r>
          <rPr>
            <sz val="9"/>
            <color indexed="81"/>
            <rFont val="Arial"/>
            <family val="2"/>
          </rPr>
          <t>Übertrag erfolgt aus Tabellenblatt Basisdaten</t>
        </r>
      </text>
    </comment>
    <comment ref="R33" authorId="0" shapeId="0" xr:uid="{00000000-0006-0000-0A00-000004000000}">
      <text>
        <r>
          <rPr>
            <b/>
            <sz val="9"/>
            <color indexed="81"/>
            <rFont val="Arial"/>
            <family val="2"/>
          </rPr>
          <t>Voraussetzung REDZYK mind. 70,0%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B6" authorId="0" shapeId="0" xr:uid="{00000000-0006-0000-0E00-000001000000}">
      <text>
        <r>
          <rPr>
            <sz val="9"/>
            <color indexed="81"/>
            <rFont val="Arial"/>
            <family val="2"/>
          </rPr>
          <t>Übertrag erfolgt aus Tabellenblatt Basisdaten</t>
        </r>
      </text>
    </comment>
    <comment ref="B8" authorId="0" shapeId="0" xr:uid="{00000000-0006-0000-0E00-000002000000}">
      <text>
        <r>
          <rPr>
            <sz val="9"/>
            <color indexed="81"/>
            <rFont val="Arial"/>
            <family val="2"/>
          </rPr>
          <t>Übertrag erfolgt aus Tabellenblatt Basisdaten</t>
        </r>
      </text>
    </comment>
    <comment ref="F8" authorId="0" shapeId="0" xr:uid="{00000000-0006-0000-0E00-000003000000}">
      <text>
        <r>
          <rPr>
            <sz val="9"/>
            <color indexed="81"/>
            <rFont val="Arial"/>
            <family val="2"/>
          </rPr>
          <t>Übertrag erfolgt aus Tabellenblatt Basisdaten</t>
        </r>
      </text>
    </comment>
    <comment ref="B15" authorId="0" shapeId="0" xr:uid="{00000000-0006-0000-0E00-000004000000}">
      <text>
        <r>
          <rPr>
            <sz val="9"/>
            <color indexed="81"/>
            <rFont val="Arial"/>
            <family val="2"/>
          </rPr>
          <t>Weitere Erläuterungen siehe Tabellenblatt "Matrix - Tabelle Plausibilitätsabfragen"</t>
        </r>
      </text>
    </comment>
  </commentList>
</comments>
</file>

<file path=xl/sharedStrings.xml><?xml version="1.0" encoding="utf-8"?>
<sst xmlns="http://schemas.openxmlformats.org/spreadsheetml/2006/main" count="1173" uniqueCount="853">
  <si>
    <t>Zähler / Anzahl</t>
  </si>
  <si>
    <t>Begründung / Ursache</t>
  </si>
  <si>
    <t>Follow-Up Quote in %
= (O + P)  / N</t>
  </si>
  <si>
    <t>Spalte / Zelle</t>
  </si>
  <si>
    <t>Erläuterung hinsichtlich Datendefizit
Begründung / Ursachenanalyse / Aktionen</t>
  </si>
  <si>
    <t>c37.CancerCenter</t>
  </si>
  <si>
    <t>Tudok (Tumorzentrum Regensburg)</t>
  </si>
  <si>
    <t>Plausi unklar</t>
  </si>
  <si>
    <t>Eingeleitete / geplante Aktionen</t>
  </si>
  <si>
    <t>Allgemeine Feststellungen</t>
  </si>
  <si>
    <t>Allgemeine Hinweise</t>
  </si>
  <si>
    <t>Allgemeine Abweichungen</t>
  </si>
  <si>
    <t>Bewertung Ausschuss</t>
  </si>
  <si>
    <t>Anmerkung OnkoZert</t>
  </si>
  <si>
    <t>Feststellung</t>
  </si>
  <si>
    <t>Hinweis</t>
  </si>
  <si>
    <t>Abweichung</t>
  </si>
  <si>
    <t>ID_intern</t>
  </si>
  <si>
    <t>ID:c</t>
  </si>
  <si>
    <t>ID: f</t>
  </si>
  <si>
    <t>Plausibilität unklar; durchschnittliche Follow-Up Quote &gt; 95%; ID: g</t>
  </si>
  <si>
    <t>ID: a</t>
  </si>
  <si>
    <t>Sollvorgabe nicht erfüllt; durchschnittliche Follow-Up Quote &lt; 70%; ID: e</t>
  </si>
  <si>
    <t>ID: h</t>
  </si>
  <si>
    <t>Erläuterung hinsichtlich Datendefizit</t>
  </si>
  <si>
    <t>Datenverifizierung_ID</t>
  </si>
  <si>
    <t>OncoBox</t>
  </si>
  <si>
    <t>Für Übertragung in Datendefizite_KB:</t>
  </si>
  <si>
    <t>Alle KN leer:</t>
  </si>
  <si>
    <t>QuaDoSta</t>
  </si>
  <si>
    <t>N+</t>
  </si>
  <si>
    <t>M1</t>
  </si>
  <si>
    <t xml:space="preserve">(N0, M0) </t>
  </si>
  <si>
    <t>(N0, M0)</t>
  </si>
  <si>
    <t xml:space="preserve"> </t>
  </si>
  <si>
    <t>K</t>
  </si>
  <si>
    <t xml:space="preserve">N+ (jedes T inkl. Tx,  M0) </t>
  </si>
  <si>
    <t xml:space="preserve">M1 (jedes N, jedes T inkl. Tis / Tx) </t>
  </si>
  <si>
    <t>nicht zuzuordnen</t>
  </si>
  <si>
    <t>M</t>
  </si>
  <si>
    <t>keine Rückmeldung  (=N-O-P)</t>
  </si>
  <si>
    <t>AC</t>
  </si>
  <si>
    <t xml:space="preserve">Tis  (= DCIS)  (N0, M0)  </t>
  </si>
  <si>
    <t xml:space="preserve">T1  (N0, M0)  </t>
  </si>
  <si>
    <t xml:space="preserve">T2  (N0, M0)  </t>
  </si>
  <si>
    <r>
      <t>T3</t>
    </r>
    <r>
      <rPr>
        <vertAlign val="superscript"/>
        <sz val="8"/>
        <rFont val="Arial"/>
        <family val="2"/>
      </rPr>
      <t xml:space="preserve">  </t>
    </r>
    <r>
      <rPr>
        <sz val="8"/>
        <rFont val="Arial"/>
        <family val="2"/>
      </rPr>
      <t xml:space="preserve">(N0, M0)  </t>
    </r>
  </si>
  <si>
    <r>
      <t xml:space="preserve">T4 </t>
    </r>
    <r>
      <rPr>
        <vertAlign val="superscript"/>
        <sz val="8"/>
        <rFont val="Arial"/>
        <family val="2"/>
      </rPr>
      <t xml:space="preserve"> </t>
    </r>
    <r>
      <rPr>
        <sz val="8"/>
        <rFont val="Arial"/>
        <family val="2"/>
      </rPr>
      <t xml:space="preserve">(N0, M0)  </t>
    </r>
  </si>
  <si>
    <t>davon posttherapeutisch 
nicht tumorfrei</t>
  </si>
  <si>
    <t>Mehrfachnennung 
möglich</t>
  </si>
  <si>
    <t xml:space="preserve">kein Ereignis pro Fall eingetreten 
( =(O + P) - U - Z - AE ) </t>
  </si>
  <si>
    <t>Werte Spalte T "kein Ereignis pro Fall eingetreten" dürfen keine negativen Werte annehmen</t>
  </si>
  <si>
    <t>1) Definition identisch Basisdaten (Übertragung letztes Kalenderjahr automatisch aus Tabelle Basisdaten)</t>
  </si>
  <si>
    <t>V, W, X, Y</t>
  </si>
  <si>
    <t>Die einzelnen Werte in den Spalten V, W, X, und Y dürfen den Wert in Spalte U nicht übersteigen</t>
  </si>
  <si>
    <t>AA, AB, AC, AD</t>
  </si>
  <si>
    <t>Die einzelnen Werte in den Spalten AA, AB, AC, und AD dürfen den Wert in Spalte Z nicht übersteigen</t>
  </si>
  <si>
    <t xml:space="preserve">Werte Spalte M "davon posttherapeutisch nicht tumorfrei" müssen kleiner gleich sein als Spalte C </t>
  </si>
  <si>
    <t>Spalte C</t>
  </si>
  <si>
    <t>3) In der Regel werden die Follow-Up-Daten entweder extern (Krebsregister) oder durch das Zentrum eingeholt. Eine Kombination ist möglich (jedoch keine doppelte Zuordnung!).</t>
  </si>
  <si>
    <t>4) Krebsregister können in der Regel keine Follow-Up-Daten zu Patienten außerhalb des Einzugsgebietes einholen.</t>
  </si>
  <si>
    <r>
      <t xml:space="preserve">8) Regelungen bei synchron diagnostizierten Mammakarzinomen in der linken und rechten Brust (werden immer einem Kennzahlenjahr zugeordnet, siehe Fußnote 6 Basisdaten)
      - Ist die Fernmetastasierung nicht eindeutig einem Primärfall zuzuordnen, ist sie beiden Primärfällen zuzuordnen. 
      - Ein Zweittumor ist beiden Primärfällen zuzuordnen. Von Zweittumor wird gesprochen, wenn dieser nach Zeitpunkt der Tumorfreiheit des Primarfalls / der Primärfälle auftritt. 
        Zweittumoren sind:
             - maligne Neuerkrankungen außerhalb der bereits erkrankten Brust (≠ C50) 
             - maligne Neuerkrankungen (jedoch inklusive DCIS, D05.1) in der kontralateralen Brust, die bisher nicht erkrankt war (= C50). Beispiel: Erstdiagnose Mammakarzinom 2006 in der linken Brust  
                </t>
    </r>
    <r>
      <rPr>
        <sz val="8"/>
        <rFont val="Wingdings 3"/>
        <family val="1"/>
        <charset val="2"/>
      </rPr>
      <t>]</t>
    </r>
    <r>
      <rPr>
        <sz val="8"/>
        <rFont val="Arial"/>
        <family val="2"/>
      </rPr>
      <t xml:space="preserve"> das Mammakarzinom 2012 in der rechten Brust ist Primärfäll für 2012 und Zweitkarzinom in Bezug auf den Primärfall im Jahr 2006 
             - maligne Neuerkrankungen in der Brust (histologisch abgrenzbar von bisherige Primärtumoren) (= C50) (jedoch inklusive DCIS, D05.1); sollte zukünftig nicht als Lokalrezidiv gewertet werden.
             - ausgenommen von den oben genannten sind Basaliome (=Basalzellneoplasien, C44, ICD-O-3 809-811 Histologie) 
     - Ein Todesereignis ist beiden Primärfällen zuzuordnen.</t>
    </r>
  </si>
  <si>
    <t>Werte Spalte Q "keine Rückmeldung" dürfen keine negativen Werte annehmen</t>
  </si>
  <si>
    <t>Werte Spalte N "Grundgesamtheit Follow-Up" dürfen keine negativen Werte annehmen</t>
  </si>
  <si>
    <t>Q &lt; 0</t>
  </si>
  <si>
    <t>N &lt; 0</t>
  </si>
  <si>
    <t>zu viele Patientinnen im "davon posttherapeutisch nicht tumorfrei"</t>
  </si>
  <si>
    <t xml:space="preserve">Werte in Spalte M müssen kleiner gleich sein als Spalte C </t>
  </si>
  <si>
    <t>Zahlen in Spalte N dürfen keine negativen Werte annehmen</t>
  </si>
  <si>
    <t>Zahlen in Spalte Q dürfen keine negativen Werte annehmen</t>
  </si>
  <si>
    <t>Fehler bei Ereignisse - lebend</t>
  </si>
  <si>
    <t>Fehler bei Ereignisse - verstorben</t>
  </si>
  <si>
    <t>Werte in Spalte AA, AB, AC, AD dürfen den Wert Spalte Z nicht übersteigen</t>
  </si>
  <si>
    <t>Werte in Spalte V, W, X, Y dürfen den Wert Spalte U nicht übersteigen</t>
  </si>
  <si>
    <t>ID: m</t>
  </si>
  <si>
    <t>ID: p</t>
  </si>
  <si>
    <t>ID:n</t>
  </si>
  <si>
    <t>ID:o</t>
  </si>
  <si>
    <t>spalte M &gt; spalte C</t>
  </si>
  <si>
    <t>negativ T</t>
  </si>
  <si>
    <t>negativ N</t>
  </si>
  <si>
    <t>negativ Q</t>
  </si>
  <si>
    <t>Ereignis - lebend</t>
  </si>
  <si>
    <t>Ereignis - verstorben</t>
  </si>
  <si>
    <t>Anzahl Primärfälle</t>
  </si>
  <si>
    <t xml:space="preserve">&gt; durschnittliche FU </t>
  </si>
  <si>
    <t>&lt; FU Nachsorgejahre</t>
  </si>
  <si>
    <t>ID: q</t>
  </si>
  <si>
    <t>geringe Follow-Up Quote Nachsorgejahre</t>
  </si>
  <si>
    <t>wenn sich Minuswerte berechnen - "Grundgesamtheit Follow-Up"</t>
  </si>
  <si>
    <t>wenn sich Minuswerte berechnen - "keine Rückmeldung"</t>
  </si>
  <si>
    <t xml:space="preserve">wenn sich Minuswerte berechnen - "kein Ereignis pro Fall eingetreten" </t>
  </si>
  <si>
    <t>≥ 100</t>
  </si>
  <si>
    <t>Texte Matrix Datenquali</t>
  </si>
  <si>
    <t>Fehlermeldungen Matrix</t>
  </si>
  <si>
    <t>Auswahl treffen über Dropdown-Liste.</t>
  </si>
  <si>
    <t>Zuerst Reg.-Nr auswählen, dann das jeweilig zugehörige Krebsregister</t>
  </si>
  <si>
    <t>Nur Texteingabe bis 100 Zeichen möglich.</t>
  </si>
  <si>
    <t>Kennzahl</t>
  </si>
  <si>
    <t>Art</t>
  </si>
  <si>
    <t>nicht relevant</t>
  </si>
  <si>
    <t>Tumordoku. liegt größtenteils beim Krebsregister</t>
  </si>
  <si>
    <t>Kann nicht kleiner sein als operierte Primärfälle</t>
  </si>
  <si>
    <t>Bei den „hellrot“ hinterlegten Feldern liegt eine Falscheingabe vor, diese ist zu korrigieren.</t>
  </si>
  <si>
    <t>B</t>
  </si>
  <si>
    <t>Fehlermeldungen Basisdaten</t>
  </si>
  <si>
    <t>Fehlermeldungen Kennzahlenbogen</t>
  </si>
  <si>
    <t>Anzahl Pat. Im Follow-Up zu hoch.</t>
  </si>
  <si>
    <t>Eingabe kann nicht größer sein als Ereignisse Spalte V.</t>
  </si>
  <si>
    <t>Zahlen müssen manuell eingegeben werden, diese dürfen nicht kopiert werden.</t>
  </si>
  <si>
    <t>Bedingung Wert</t>
  </si>
  <si>
    <t>leere Zellen</t>
  </si>
  <si>
    <t>T &lt; 0</t>
  </si>
  <si>
    <t>C &lt; 50</t>
  </si>
  <si>
    <t>R &lt; 60%</t>
  </si>
  <si>
    <t>die inkorrekten und unvollständigen Einträge beheben</t>
  </si>
  <si>
    <t>Zellen müssen nicht ausgefüllt werden</t>
  </si>
  <si>
    <t>Nr.</t>
  </si>
  <si>
    <t>Sollvorgabe</t>
  </si>
  <si>
    <t>Nenner</t>
  </si>
  <si>
    <t>%</t>
  </si>
  <si>
    <t>Primärfälle</t>
  </si>
  <si>
    <t>Anzahl</t>
  </si>
  <si>
    <t>Mastektomie</t>
  </si>
  <si>
    <t>(bezogen auf Kennzahlenjahr)</t>
  </si>
  <si>
    <t>Sollvorgabe nicht erfüllt</t>
  </si>
  <si>
    <t>C</t>
  </si>
  <si>
    <t>D</t>
  </si>
  <si>
    <t>E</t>
  </si>
  <si>
    <t>F</t>
  </si>
  <si>
    <t>G</t>
  </si>
  <si>
    <t>H</t>
  </si>
  <si>
    <t>I</t>
  </si>
  <si>
    <t>N</t>
  </si>
  <si>
    <t>O</t>
  </si>
  <si>
    <t>P</t>
  </si>
  <si>
    <t>Q</t>
  </si>
  <si>
    <t>T</t>
  </si>
  <si>
    <t>U</t>
  </si>
  <si>
    <t>V</t>
  </si>
  <si>
    <t>W</t>
  </si>
  <si>
    <t>X</t>
  </si>
  <si>
    <t>Y</t>
  </si>
  <si>
    <t>Z</t>
  </si>
  <si>
    <t>Jahr der Erstdiagnose</t>
  </si>
  <si>
    <t>T1</t>
  </si>
  <si>
    <t>T2</t>
  </si>
  <si>
    <t>T3</t>
  </si>
  <si>
    <t>T4</t>
  </si>
  <si>
    <t>Gesamt</t>
  </si>
  <si>
    <t>Quote</t>
  </si>
  <si>
    <t>Reg.-Nr.</t>
  </si>
  <si>
    <t>Bundesland</t>
  </si>
  <si>
    <t>GTDS</t>
  </si>
  <si>
    <t>Tumordokumentationssystem</t>
  </si>
  <si>
    <t>CREDOS</t>
  </si>
  <si>
    <t>KIS-Erweiterung</t>
  </si>
  <si>
    <t>Relevante Nachsorgejahre</t>
  </si>
  <si>
    <t>Berechnung Jahreszeitraum</t>
  </si>
  <si>
    <t>Datenqualität</t>
  </si>
  <si>
    <t>Aktion</t>
  </si>
  <si>
    <t>ID</t>
  </si>
  <si>
    <t>HID</t>
  </si>
  <si>
    <t>EingeleiteteAktionen</t>
  </si>
  <si>
    <t>Aktionen</t>
  </si>
  <si>
    <t>vID</t>
  </si>
  <si>
    <t>Zaehler</t>
  </si>
  <si>
    <t>Nr</t>
  </si>
  <si>
    <t>FormularID</t>
  </si>
  <si>
    <t>ErlaeuterungDatendefizit</t>
  </si>
  <si>
    <t>R</t>
  </si>
  <si>
    <t>% Angabe</t>
  </si>
  <si>
    <t>Italien</t>
  </si>
  <si>
    <t>Ja</t>
  </si>
  <si>
    <t>Nein</t>
  </si>
  <si>
    <t>Anzahl BET +  Mastektomie kann nicht größer sein als Anzahl Primärfälle.</t>
  </si>
  <si>
    <t>1. Zähler muss eine positive ganze Zahl sein.</t>
  </si>
  <si>
    <t>2. Zähler kann nicht größer als Nenner sein.</t>
  </si>
  <si>
    <t>2. Nenner kann nicht kleiner als Zähler sein.</t>
  </si>
  <si>
    <t>Format: dd.mm.jjjj</t>
  </si>
  <si>
    <t>Eingabedatum</t>
  </si>
  <si>
    <t xml:space="preserve">1. Nenner muss eine positive ganze Zahl sein. </t>
  </si>
  <si>
    <t>1. Nur positive ganze Zahlen.</t>
  </si>
  <si>
    <t>3. Nenner muss kleiner sein als Anzahl Primärfälle.</t>
  </si>
  <si>
    <t>2. Maximalwert 5000</t>
  </si>
  <si>
    <t>3. Zähler kann nicht größer sein als Anzahl Primärfälle.</t>
  </si>
  <si>
    <t>Tabelle Plausibilitätsabfragen:</t>
  </si>
  <si>
    <t>Zahlen in Spalte T dürfen keine negativen Werte annehmen</t>
  </si>
  <si>
    <t>KRAZTUR</t>
  </si>
  <si>
    <t>Onkomedia</t>
  </si>
  <si>
    <t>Bearbeitungshinweise:</t>
  </si>
  <si>
    <t>Kennzahlenbogen</t>
  </si>
  <si>
    <t>Erstelldatum</t>
  </si>
  <si>
    <t>Plausibilität unklar</t>
  </si>
  <si>
    <t xml:space="preserve">Reg.-Nr. </t>
  </si>
  <si>
    <t>Erstzertifizierung</t>
  </si>
  <si>
    <t>J</t>
  </si>
  <si>
    <t>AA</t>
  </si>
  <si>
    <t>AD</t>
  </si>
  <si>
    <t>Follow-Up-Meldungen</t>
  </si>
  <si>
    <t>Pflicht Berechnung</t>
  </si>
  <si>
    <t>Optional Berechnung</t>
  </si>
  <si>
    <t>In Ordnung</t>
  </si>
  <si>
    <t>Inkorrekt</t>
  </si>
  <si>
    <t>Unvollständig</t>
  </si>
  <si>
    <t>11</t>
  </si>
  <si>
    <t>12</t>
  </si>
  <si>
    <t>kein Eintrag</t>
  </si>
  <si>
    <t>n.d.</t>
  </si>
  <si>
    <t>inkorrekt</t>
  </si>
  <si>
    <t>Datenqualität Matrix</t>
  </si>
  <si>
    <t>Anzahl/Quote</t>
  </si>
  <si>
    <t xml:space="preserve"> &lt;= Sollv. nicht erfüllt</t>
  </si>
  <si>
    <t xml:space="preserve"> &gt;= Sollv. nicht erfüllt</t>
  </si>
  <si>
    <t>&gt;</t>
  </si>
  <si>
    <t>&lt;</t>
  </si>
  <si>
    <t xml:space="preserve"> &lt; Plausi ?</t>
  </si>
  <si>
    <t xml:space="preserve"> &gt; Plausi ?</t>
  </si>
  <si>
    <t>Matrix</t>
  </si>
  <si>
    <t>AB</t>
  </si>
  <si>
    <t>AE</t>
  </si>
  <si>
    <t>Datenqualtiät</t>
  </si>
  <si>
    <t>Kalenderjahr 
(Erstdiagnose)</t>
  </si>
  <si>
    <t xml:space="preserve">nur Prozentwerte können eingegeben werden </t>
  </si>
  <si>
    <t>zu geringe Anzahl der Primärfälle</t>
  </si>
  <si>
    <t>Werte</t>
  </si>
  <si>
    <t>ART</t>
  </si>
  <si>
    <t>plausi</t>
  </si>
  <si>
    <t>sollvorgabe</t>
  </si>
  <si>
    <t>unvollständig</t>
  </si>
  <si>
    <t>Liste zum Übertragen</t>
  </si>
  <si>
    <t xml:space="preserve">2008, </t>
  </si>
  <si>
    <t xml:space="preserve">2009, </t>
  </si>
  <si>
    <t xml:space="preserve">2010, </t>
  </si>
  <si>
    <t xml:space="preserve">2011, </t>
  </si>
  <si>
    <t>Kalenderjahr(e) 
(Erstdiagnose)</t>
  </si>
  <si>
    <t>Länge</t>
  </si>
  <si>
    <t xml:space="preserve">Für Brustkrebszentren ist die Matrix Ergebnisqualität optional zu bearbeiten (bei „Reduziertem Auditzyklus“ Bearbeitung verbindlich). </t>
  </si>
  <si>
    <t>Datum Erstzertifizierung</t>
  </si>
  <si>
    <t>Anmerkungen:</t>
  </si>
  <si>
    <t>In dieser Excel-Vorlage sind die nachfolgend skizzierten Plausibilitätsabfragen hinterlegt.</t>
  </si>
  <si>
    <t>Ein Anspruch auf Vollständigkeit besteht nicht.</t>
  </si>
  <si>
    <t xml:space="preserve">Fehlermeldungen </t>
  </si>
  <si>
    <t>zu wenig Primärfälle angegeben</t>
  </si>
  <si>
    <t>A</t>
  </si>
  <si>
    <t>Erläuterung</t>
  </si>
  <si>
    <t>relevant</t>
  </si>
  <si>
    <t>Zentrum</t>
  </si>
  <si>
    <t>a)</t>
  </si>
  <si>
    <t>b)</t>
  </si>
  <si>
    <t>c)</t>
  </si>
  <si>
    <t>d)</t>
  </si>
  <si>
    <t>e)</t>
  </si>
  <si>
    <t>Matrix kann eingereicht werden</t>
  </si>
  <si>
    <t>Für die Bewertung der Matrix, unabhängig ob fakultativ oder obligat, gelten folgende Regelungen:</t>
  </si>
  <si>
    <t>Einrichtung 1</t>
  </si>
  <si>
    <t>Land</t>
  </si>
  <si>
    <t>≥ 95%</t>
  </si>
  <si>
    <t xml:space="preserve">           Erstelldatum</t>
  </si>
  <si>
    <t>&lt; 15%</t>
  </si>
  <si>
    <t>&gt; 65%</t>
  </si>
  <si>
    <t>&gt; 40%</t>
  </si>
  <si>
    <t>Kennzahldefinition</t>
  </si>
  <si>
    <t>Matrix Brust - Ergebnisqualität Primärbehandlung</t>
  </si>
  <si>
    <t>2. Zähler muss eine positive ganze Zahl sein.</t>
  </si>
  <si>
    <t>3. Zähler kann nicht größer als Nenner sein.</t>
  </si>
  <si>
    <t>≥ 90%</t>
  </si>
  <si>
    <t>Ganze Zahl zwischen 0 und 5000 eingeben.</t>
  </si>
  <si>
    <t>≤ 5%</t>
  </si>
  <si>
    <t>1.7.5</t>
  </si>
  <si>
    <t>5.2.11</t>
  </si>
  <si>
    <t>5.2.12</t>
  </si>
  <si>
    <t>Texte i.O.</t>
  </si>
  <si>
    <t>-----</t>
  </si>
  <si>
    <t xml:space="preserve">2012, </t>
  </si>
  <si>
    <t>Keine Zusammenarbeit</t>
  </si>
  <si>
    <t>Geringe / punktuelle Zusammenarbeit</t>
  </si>
  <si>
    <t>Intensive / regelmäßige Zusammenarbeit</t>
  </si>
  <si>
    <t>Zähler :</t>
  </si>
  <si>
    <t>Nenner:</t>
  </si>
  <si>
    <t>Nachsorgejahr "relevant" (Spalte A) =&gt; Sämtliche „hellgrau“ hinterlegte Felder sollten vollständig bearbeitet werden; dies gilt auch für Nullwerte (=0).</t>
  </si>
  <si>
    <t>Kennzahlenbogen - Analyseprotokoll Datendefizite Brust</t>
  </si>
  <si>
    <t>Matrix - Analyseprotokoll Datendefizite Brust</t>
  </si>
  <si>
    <t>relevante Nachsorgejahre nicht/unvollständig bearbeitet</t>
  </si>
  <si>
    <t>geringe Follow-Up Quote der Nachsorgejahre</t>
  </si>
  <si>
    <t>Geringe Follow-Up Quote der Nachsorgejahre</t>
  </si>
  <si>
    <t>Relevante Nachsorgejahre nicht/unvollständig bearbeitet</t>
  </si>
  <si>
    <t>Ganze Zahlen</t>
  </si>
  <si>
    <t>Alle relevanten Nachsorgejahre sind bei "Reduktion Auditzyklus" Brust zu bearbeiten, abhängig vom Datum der Erstzertifizierung</t>
  </si>
  <si>
    <t>Nicht ausgefüllte Zellen von relevanten Nachsorgejahren</t>
  </si>
  <si>
    <t>durchschnittliche Follow-Up Quote &lt; 70%</t>
  </si>
  <si>
    <t>durchschnittliche Follow-Up Quote &gt; 95%</t>
  </si>
  <si>
    <t>Von Seiten des Fachexperten können weitere Unplausibilitäten bzw. Inkorrektheiten identifiziert und im Rahmen des Auditergebnisses dargestellt werden.</t>
  </si>
  <si>
    <t>Summe Spalten V+Z+AA+AB (Patienten mit Ereignisse) darf nicht größer als Summe Spalten O+P (Patientenrückmeldungen) sein.</t>
  </si>
  <si>
    <t>„Hellgrün“ hinterlegte Felder weisen auf Unplausibilitäten hin. Diese Werte sind zu analysieren und das Ergebnis ist auf dem Folgeblatt „Datendefizite_Matrix“ darzulegen.</t>
  </si>
  <si>
    <t>Anzahl operierte Primärfälle</t>
  </si>
  <si>
    <r>
      <t xml:space="preserve">Verstorben 
mit Ereignis in Follow-Up  </t>
    </r>
    <r>
      <rPr>
        <vertAlign val="superscript"/>
        <sz val="8"/>
        <rFont val="Arial Black"/>
        <family val="2"/>
      </rPr>
      <t xml:space="preserve">6) </t>
    </r>
  </si>
  <si>
    <r>
      <t xml:space="preserve">Fernmetastasen </t>
    </r>
    <r>
      <rPr>
        <sz val="8"/>
        <rFont val="Arial Black"/>
        <family val="2"/>
      </rPr>
      <t xml:space="preserve"> </t>
    </r>
    <r>
      <rPr>
        <vertAlign val="superscript"/>
        <sz val="8"/>
        <rFont val="Arial Black"/>
        <family val="2"/>
      </rPr>
      <t>8)</t>
    </r>
  </si>
  <si>
    <r>
      <t xml:space="preserve">Diagnose Zweitmalignom im Verlauf  </t>
    </r>
    <r>
      <rPr>
        <vertAlign val="superscript"/>
        <sz val="8"/>
        <rFont val="Arial Black"/>
        <family val="2"/>
      </rPr>
      <t>8)</t>
    </r>
  </si>
  <si>
    <r>
      <t xml:space="preserve">Lokalrezidiv  </t>
    </r>
    <r>
      <rPr>
        <vertAlign val="superscript"/>
        <sz val="8"/>
        <rFont val="Arial Black"/>
        <family val="2"/>
      </rPr>
      <t>7)</t>
    </r>
  </si>
  <si>
    <r>
      <t xml:space="preserve">Lymphknotenrezidiv  </t>
    </r>
    <r>
      <rPr>
        <vertAlign val="superscript"/>
        <sz val="8"/>
        <rFont val="Arial Black"/>
        <family val="2"/>
      </rPr>
      <t>7)</t>
    </r>
  </si>
  <si>
    <r>
      <t xml:space="preserve">Verstorben ohne Ereignis in
 Follow-Up / unbekannt  </t>
    </r>
    <r>
      <rPr>
        <vertAlign val="superscript"/>
        <sz val="8"/>
        <rFont val="Arial Black"/>
        <family val="2"/>
      </rPr>
      <t>6)</t>
    </r>
  </si>
  <si>
    <t xml:space="preserve">5) Zusätzlich können hier Fälle mit Ereignis ohne exakte Lokalisationsangabe eingetragen werden, die keiner der vier Spalten V bis Y bzw. AA bis AD genau zuzuordnen sind. </t>
  </si>
  <si>
    <t>6) Lebend: Wiedererkrankungsereignisse bei Fällen, bei denen bis zum Ende des Kennzahlenjahres kein Todesereignis aufgetreten ist und eine aktuelle, gültige Follow-Up-Meldung (siehe FN 2) vorliegt)
    Verstorben mit Ereignis in Follow-Up: Wiedererkrankungsereignisse bei Fällen, bei denen bis zum Ende des Kennzahlenjahres ein Todesereignis aufgetreten ist.
    Verstorben ohne Ereignis in Follow-Up / unbekannt: Fälle, bei denen ohne ein vorher aufgetretenes Wiedererkrankungsereignis bzw. unbekannte Ursache, ein Todesereignis aufgetreten ist.</t>
  </si>
  <si>
    <t>7) Lokalrezidiv: Rezidiv in der Brust
    Lymphknotenrezidiv: Rezidiv in den regionären Lymphknoten</t>
  </si>
  <si>
    <r>
      <t>Diagnose Zweitmalignom im Verlauf</t>
    </r>
    <r>
      <rPr>
        <b/>
        <vertAlign val="superscript"/>
        <sz val="8"/>
        <rFont val="Arial"/>
        <family val="2"/>
      </rPr>
      <t xml:space="preserve">  </t>
    </r>
    <r>
      <rPr>
        <vertAlign val="superscript"/>
        <sz val="8"/>
        <rFont val="Arial Black"/>
        <family val="2"/>
      </rPr>
      <t xml:space="preserve">8) </t>
    </r>
  </si>
  <si>
    <r>
      <t xml:space="preserve">Lebend  </t>
    </r>
    <r>
      <rPr>
        <vertAlign val="superscript"/>
        <sz val="8"/>
        <rFont val="Arial Black"/>
        <family val="2"/>
      </rPr>
      <t>6)</t>
    </r>
  </si>
  <si>
    <r>
      <t xml:space="preserve">1 Ereignis in Spalte V, W, 
X und Y  </t>
    </r>
    <r>
      <rPr>
        <vertAlign val="superscript"/>
        <sz val="8"/>
        <rFont val="Arial Black"/>
        <family val="2"/>
      </rPr>
      <t>5)</t>
    </r>
  </si>
  <si>
    <r>
      <t xml:space="preserve">1 Ereignis in Spalte AA, AB, 
AC und AD  </t>
    </r>
    <r>
      <rPr>
        <vertAlign val="superscript"/>
        <sz val="8"/>
        <rFont val="Arial Black"/>
        <family val="2"/>
      </rPr>
      <t>5)</t>
    </r>
  </si>
  <si>
    <r>
      <t xml:space="preserve">Primärfälle bei Männer und Frauen 
(Def. identisch Basisdaten)  </t>
    </r>
    <r>
      <rPr>
        <vertAlign val="superscript"/>
        <sz val="8"/>
        <rFont val="Arial Black"/>
        <family val="2"/>
      </rPr>
      <t>1)</t>
    </r>
  </si>
  <si>
    <t>Unvollständige Jahre</t>
  </si>
  <si>
    <t xml:space="preserve">≤ 5% </t>
  </si>
  <si>
    <t>Sollvorgabe 
nicht erfüllt</t>
  </si>
  <si>
    <t>MaDoS</t>
  </si>
  <si>
    <t>ONDIS</t>
  </si>
  <si>
    <t>ONKOSTAR</t>
  </si>
  <si>
    <t>ORBIS-ODOK</t>
  </si>
  <si>
    <t>SMATOS</t>
  </si>
  <si>
    <t>Tumordokumentation des Instituts für Krebsepidemiologie</t>
  </si>
  <si>
    <t>KR7</t>
  </si>
  <si>
    <t>≥ 5%</t>
  </si>
  <si>
    <t>Ansprechpartner</t>
  </si>
  <si>
    <t xml:space="preserve">2013, </t>
  </si>
  <si>
    <t xml:space="preserve">1; </t>
  </si>
  <si>
    <t>1. Tabellenblatt Basisdaten muss vollständig ausgefüllt sein.</t>
  </si>
  <si>
    <t xml:space="preserve">Nenner: </t>
  </si>
  <si>
    <t>3. Nenner kann nicht größer sein als Operative Primärfälle T1-T4, N+ mit Mastektomie.</t>
  </si>
  <si>
    <t xml:space="preserve">6.1; </t>
  </si>
  <si>
    <t>3. Nenner kann nicht größer sein als Anzahl Primärfälle T1-T4, N+.</t>
  </si>
  <si>
    <t xml:space="preserve">7.1; 8.1; 9.1; 10.1; </t>
  </si>
  <si>
    <t xml:space="preserve">3; 4.2; 5.2; 6.2; 7.2; 8.2; 9.2; 10.2; </t>
  </si>
  <si>
    <t>1. Tabellenblatt Basisdaten muss vollständig ausgefüllt sein!</t>
  </si>
  <si>
    <t xml:space="preserve">14; </t>
  </si>
  <si>
    <t xml:space="preserve">15; </t>
  </si>
  <si>
    <t>5.1; 6.1; 7.1; 8.1; 9.1; 10.1; 15; 17;</t>
  </si>
  <si>
    <t>3. Nenner kann nicht größer sein als Anzahl Primärfälle T1-T4.</t>
  </si>
  <si>
    <t>11; 22; 24</t>
  </si>
  <si>
    <t>11; 17; 22; 24</t>
  </si>
  <si>
    <t xml:space="preserve">2; 4.1; 12; 13; 19; 20; 23; 25; </t>
  </si>
  <si>
    <t>21; 26</t>
  </si>
  <si>
    <t>Zeitraum zwischen 01.09.2014 - 01.01.2016 angeben.</t>
  </si>
  <si>
    <t>Anzahl neoadjuvant vorbehandelte Primärfälle kann nicht größer sein als Anzahl Operierte Primärfälle.</t>
  </si>
  <si>
    <t xml:space="preserve">Primärfälle bei Männer und
Frauen gesamt  (= SUMME D-K)  </t>
  </si>
  <si>
    <r>
      <t xml:space="preserve">Grundgesamtheit Follow-Up
(=C-M) 
</t>
    </r>
    <r>
      <rPr>
        <strike/>
        <sz val="8"/>
        <color indexed="53"/>
        <rFont val="Arial"/>
        <family val="2"/>
      </rPr>
      <t/>
    </r>
  </si>
  <si>
    <r>
      <t xml:space="preserve">Follow-Up-Daten vom Klinischen
Krebsregister  </t>
    </r>
    <r>
      <rPr>
        <vertAlign val="superscript"/>
        <sz val="8"/>
        <rFont val="Arial Black"/>
        <family val="2"/>
      </rPr>
      <t>2) 3) 4)</t>
    </r>
  </si>
  <si>
    <r>
      <t>Follow-Up-Daten vom Zentrum
(bzw. Quelle nicht bekannt)</t>
    </r>
    <r>
      <rPr>
        <vertAlign val="superscript"/>
        <sz val="8"/>
        <rFont val="Arial"/>
        <family val="2"/>
      </rPr>
      <t xml:space="preserve">  </t>
    </r>
    <r>
      <rPr>
        <vertAlign val="superscript"/>
        <sz val="8"/>
        <rFont val="Arial Black"/>
        <family val="2"/>
      </rPr>
      <t>2) 3) 4)</t>
    </r>
  </si>
  <si>
    <t>Gesamt überall</t>
  </si>
  <si>
    <t>UCC-TDS (Tumorzentrum Dresden)</t>
  </si>
  <si>
    <t>&lt; 70%</t>
  </si>
  <si>
    <t>9) Ausgelöst durch die Follow-Up-Strukturen der Krebsregister (Latenzzeit Vollzähligkeit der Registrierung von Zielereignissen) ist es für die letzten beiden Kalenderjahre ausreichend, die aufgeschlüsselten Primärfälle (Spalte D-G) anzugeben.</t>
  </si>
  <si>
    <t>Krebsregister gemäß KFRG noch nicht benannt</t>
  </si>
  <si>
    <t xml:space="preserve">2014, </t>
  </si>
  <si>
    <t>Zusammenarbeit mit KFRG-Krebsregister</t>
  </si>
  <si>
    <t>U ≤ Max(V bis Y)</t>
  </si>
  <si>
    <t>Z ≤ Max(AA bis AD)</t>
  </si>
  <si>
    <t>4</t>
  </si>
  <si>
    <t>5</t>
  </si>
  <si>
    <t>6</t>
  </si>
  <si>
    <t>7</t>
  </si>
  <si>
    <t>8</t>
  </si>
  <si>
    <t>9</t>
  </si>
  <si>
    <t>10</t>
  </si>
  <si>
    <t xml:space="preserve">2015, </t>
  </si>
  <si>
    <t>2017,</t>
  </si>
  <si>
    <t>1.2.0</t>
  </si>
  <si>
    <t>KN</t>
  </si>
  <si>
    <t>MADOS 4</t>
  </si>
  <si>
    <t>N+ (jedes T inkl. Tis/Tx, M0)</t>
  </si>
  <si>
    <t>1.2.2</t>
  </si>
  <si>
    <r>
      <t xml:space="preserve">2018 </t>
    </r>
    <r>
      <rPr>
        <vertAlign val="superscript"/>
        <sz val="9"/>
        <rFont val="Arial"/>
        <family val="2"/>
      </rPr>
      <t>9)</t>
    </r>
  </si>
  <si>
    <t xml:space="preserve">2016, </t>
  </si>
  <si>
    <t>2018,</t>
  </si>
  <si>
    <t>Adjumed</t>
  </si>
  <si>
    <t>ODSeasy / ODSeasyNet</t>
  </si>
  <si>
    <t>Prüfung der Nenner</t>
  </si>
  <si>
    <t>Basisdaten</t>
  </si>
  <si>
    <t>Operiert</t>
  </si>
  <si>
    <r>
      <t xml:space="preserve">   Mit BET </t>
    </r>
    <r>
      <rPr>
        <vertAlign val="superscript"/>
        <sz val="11"/>
        <color theme="1"/>
        <rFont val="Calibri"/>
        <family val="2"/>
        <scheme val="minor"/>
      </rPr>
      <t>3)</t>
    </r>
  </si>
  <si>
    <r>
      <t xml:space="preserve">   Mastektomien </t>
    </r>
    <r>
      <rPr>
        <vertAlign val="superscript"/>
        <sz val="11"/>
        <color theme="1"/>
        <rFont val="Calibri"/>
        <family val="2"/>
        <scheme val="minor"/>
      </rPr>
      <t>3)</t>
    </r>
  </si>
  <si>
    <t>BET</t>
  </si>
  <si>
    <t>5.2.9</t>
  </si>
  <si>
    <t>im Auditjahr 2020 keine optionale KN</t>
  </si>
  <si>
    <t>Auditjahr 2020 / Kennzahlenjahr 2019</t>
  </si>
  <si>
    <r>
      <t xml:space="preserve">2019 </t>
    </r>
    <r>
      <rPr>
        <vertAlign val="superscript"/>
        <sz val="9"/>
        <rFont val="Arial"/>
        <family val="2"/>
      </rPr>
      <t>9)</t>
    </r>
  </si>
  <si>
    <t xml:space="preserve">2) Die Daten müssen fallbezogen rückverfolgbar sein. Es wird der aktuellste Status des Falles im Vorkennzahlenjahr berücksichtigt. (Beispiel Kennzahlenjahr 2019, Vorkennzahlenjahr 2018: Erstdiagnose in 2009: Meldung "tumorfrei und lebend" am 31.12.2018 wird berücksichtigt, das Lokalrezidiv am 01.01.2019 nicht). Todesmeldungen bis Ende des Kennzahlenjahres sind immer gültig (Beispiel: Erstdiagnose 2010, Todesdatum 01.07.2011; gültig unabängig vom Kennzahlenjahr). Gültige Follow-Up-Meldung: Vital- und Tumorstatus. Vitalstatus ist nicht ausreichend. </t>
  </si>
  <si>
    <t>Alle Patienten ab dem Folgejahr der EZ sind im Follow-Up zu berücksichtigen; alle relevanten Nachsorgejahre sind zu bearbeiten, abhängig vom Datum der Erstzertifizierung.</t>
  </si>
  <si>
    <t>R33</t>
  </si>
  <si>
    <t>R33 &lt; 70%</t>
  </si>
  <si>
    <t>R27 - R29</t>
  </si>
  <si>
    <t>R33 &gt; 95%</t>
  </si>
  <si>
    <t>2019,</t>
  </si>
  <si>
    <t xml:space="preserve">   Ø Follow-Up Quote der Jahre 2015-2017</t>
  </si>
  <si>
    <t>geringe Follow-Up Quote der Jahre 2015-2017</t>
  </si>
  <si>
    <t>zu hohe Follow-Up Quote der Jahre 2015-2017</t>
  </si>
  <si>
    <t>Follow-Up Quote der Jahre 2015-2017, verpflichtend anzugeben bei "Reduktion Auditzyklus"</t>
  </si>
  <si>
    <t>Follow-Up Quote der Jahre 2015-2017, verpflichtend anzugeben bei "Reduktion Auditzyklus"  (positive Unplausibilität)</t>
  </si>
  <si>
    <t>2015-2017</t>
  </si>
  <si>
    <t>Basic Data Breast</t>
  </si>
  <si>
    <t>Reg. No.</t>
  </si>
  <si>
    <t>Centre</t>
  </si>
  <si>
    <t>Location</t>
  </si>
  <si>
    <t>Contact</t>
  </si>
  <si>
    <t>Date recorded</t>
  </si>
  <si>
    <t>Date of initial certification</t>
  </si>
  <si>
    <t>Indicator year</t>
  </si>
  <si>
    <t>Country</t>
  </si>
  <si>
    <t>Tumour documentation system</t>
  </si>
  <si>
    <t>XML-OncoBox Breast</t>
  </si>
  <si>
    <t>not to be attributed</t>
  </si>
  <si>
    <t>Surgical primary cases</t>
  </si>
  <si>
    <r>
      <t xml:space="preserve">      With BCS </t>
    </r>
    <r>
      <rPr>
        <b/>
        <vertAlign val="superscript"/>
        <sz val="9"/>
        <color theme="1"/>
        <rFont val="Arial"/>
        <family val="2"/>
      </rPr>
      <t>3)</t>
    </r>
  </si>
  <si>
    <r>
      <t xml:space="preserve">      With mastectomies</t>
    </r>
    <r>
      <rPr>
        <sz val="9"/>
        <color theme="1"/>
        <rFont val="Arial"/>
        <family val="2"/>
      </rPr>
      <t xml:space="preserve"> </t>
    </r>
    <r>
      <rPr>
        <b/>
        <vertAlign val="superscript"/>
        <sz val="9"/>
        <color theme="1"/>
        <rFont val="Arial"/>
        <family val="2"/>
      </rPr>
      <t>3)</t>
    </r>
  </si>
  <si>
    <r>
      <rPr>
        <b/>
        <sz val="8"/>
        <rFont val="Arial"/>
        <family val="2"/>
      </rPr>
      <t xml:space="preserve">Patients </t>
    </r>
    <r>
      <rPr>
        <sz val="8"/>
        <rFont val="Arial"/>
        <family val="2"/>
      </rPr>
      <t xml:space="preserve">
</t>
    </r>
    <r>
      <rPr>
        <b/>
        <sz val="8"/>
        <rFont val="Arial"/>
        <family val="2"/>
      </rPr>
      <t>(women)</t>
    </r>
  </si>
  <si>
    <r>
      <rPr>
        <b/>
        <sz val="8"/>
        <rFont val="Arial"/>
        <family val="2"/>
      </rPr>
      <t xml:space="preserve">Patients </t>
    </r>
    <r>
      <rPr>
        <sz val="8"/>
        <rFont val="Arial"/>
        <family val="2"/>
      </rPr>
      <t xml:space="preserve">
</t>
    </r>
    <r>
      <rPr>
        <b/>
        <sz val="8"/>
        <rFont val="Arial"/>
        <family val="2"/>
      </rPr>
      <t>(men)</t>
    </r>
  </si>
  <si>
    <r>
      <t xml:space="preserve">Primary cases total </t>
    </r>
    <r>
      <rPr>
        <b/>
        <vertAlign val="superscript"/>
        <sz val="9"/>
        <color theme="1"/>
        <rFont val="Arial"/>
        <family val="2"/>
      </rPr>
      <t>7)</t>
    </r>
  </si>
  <si>
    <r>
      <t>unilateral</t>
    </r>
    <r>
      <rPr>
        <sz val="11"/>
        <color theme="1"/>
        <rFont val="Arial"/>
        <family val="2"/>
      </rPr>
      <t> </t>
    </r>
    <r>
      <rPr>
        <b/>
        <vertAlign val="superscript"/>
        <sz val="9"/>
        <color theme="1"/>
        <rFont val="Arial"/>
        <family val="2"/>
      </rPr>
      <t>5)</t>
    </r>
  </si>
  <si>
    <t>Total</t>
  </si>
  <si>
    <t>Processing remarks:</t>
  </si>
  <si>
    <t>3) In the case of mastectomy with prior BCS in one breast, this is indicated as mastectomy. When correlating the T stages with type of surgical procedure (BCS / mastectomy), special features of neoadjuvant therapy are not taken into account (basis is pretherapeutic cT-status, not (y)pT).</t>
  </si>
  <si>
    <r>
      <rPr>
        <sz val="8"/>
        <color indexed="8"/>
        <rFont val="Arial"/>
        <family val="2"/>
      </rPr>
      <t xml:space="preserve">4) Maximum 2 primary cases per patient can be counted (max. 1 case per breast). Other new tumours in an already diseased breast (even if this can be clearly demarcated histologically from the primary tumour) do not constitute a new / additional primary case. </t>
    </r>
  </si>
  <si>
    <r>
      <rPr>
        <sz val="8"/>
        <color indexed="8"/>
        <rFont val="Arial"/>
        <family val="2"/>
      </rPr>
      <t>7) The sum of primary cases stratified by tumour stages must correspond to the primary cases calculated from the patients with unilateral and bilateral carcinomas (fields column L / line 30 = column L / line 41)</t>
    </r>
  </si>
  <si>
    <t>Some of the fields are inter-dependent. Each line should, therefore, be completely processed from left to right and continuously from top to bottom. Grey fields must be processed. The processing of the Excel template should be done with Microsoft Office 2010 or one of the later versions. Microsoft Office 2007 can be used with some constraints (e.g. information buttons are not displayed). Earlier versions of Microsoft Office 2007 are not suitable for processing the Excel template. All numbers and texts must be entered manually (not using copy/paste function; the exception are data which are entered by the OncoBox). Each change to the basic data leads to a change in the Indicator Sheet. The document "Specifications Data Quality" contains the main foundations for data assessment as part of the audit process. In particular details are given of how to deal with indicators where the target value is not achieved (download from www.onkozert.de; section Instructions).</t>
  </si>
  <si>
    <t>Not listed</t>
  </si>
  <si>
    <t>Unknown</t>
  </si>
  <si>
    <t>Indicator Sheet Breast</t>
  </si>
  <si>
    <t xml:space="preserve">Reg. No. </t>
  </si>
  <si>
    <t>OK</t>
  </si>
  <si>
    <t>Target value not met</t>
  </si>
  <si>
    <t>Incorrect</t>
  </si>
  <si>
    <t>Incomplete</t>
  </si>
  <si>
    <t>Plausibility unclear</t>
  </si>
  <si>
    <t>Processing quality</t>
  </si>
  <si>
    <t>IN</t>
  </si>
  <si>
    <t>Indicator definition</t>
  </si>
  <si>
    <r>
      <rPr>
        <b/>
        <sz val="9"/>
        <color indexed="8"/>
        <rFont val="Arial"/>
        <family val="2"/>
      </rPr>
      <t>Indicator target</t>
    </r>
  </si>
  <si>
    <r>
      <rPr>
        <b/>
        <sz val="9"/>
        <color indexed="8"/>
        <rFont val="Arial"/>
        <family val="2"/>
      </rPr>
      <t>Numerator</t>
    </r>
  </si>
  <si>
    <r>
      <rPr>
        <b/>
        <sz val="9"/>
        <color indexed="8"/>
        <rFont val="Arial"/>
        <family val="2"/>
      </rPr>
      <t xml:space="preserve">Population </t>
    </r>
    <r>
      <rPr>
        <sz val="9"/>
        <color indexed="8"/>
        <rFont val="Arial"/>
        <family val="2"/>
      </rPr>
      <t xml:space="preserve">
</t>
    </r>
    <r>
      <rPr>
        <b/>
        <sz val="9"/>
        <color indexed="8"/>
        <rFont val="Arial"/>
        <family val="2"/>
      </rPr>
      <t>(= denominator)</t>
    </r>
  </si>
  <si>
    <r>
      <rPr>
        <b/>
        <sz val="8"/>
        <color indexed="8"/>
        <rFont val="Arial Narrow"/>
        <family val="2"/>
      </rPr>
      <t>Target value</t>
    </r>
  </si>
  <si>
    <t>Current value</t>
  </si>
  <si>
    <t>Data quality</t>
  </si>
  <si>
    <t>Verification Centre</t>
  </si>
  <si>
    <r>
      <t xml:space="preserve">If target value / plausibility border is not met please give </t>
    </r>
    <r>
      <rPr>
        <b/>
        <sz val="8"/>
        <color indexed="8"/>
        <rFont val="Arial"/>
        <family val="2"/>
      </rPr>
      <t>reasons / cause</t>
    </r>
    <r>
      <rPr>
        <sz val="8"/>
        <color indexed="8"/>
        <rFont val="Arial"/>
        <family val="2"/>
      </rPr>
      <t xml:space="preserve">
(min. 30 characters / max. 500 characters)</t>
    </r>
  </si>
  <si>
    <r>
      <rPr>
        <b/>
        <sz val="8"/>
        <color indexed="8"/>
        <rFont val="Arial"/>
        <family val="2"/>
      </rPr>
      <t xml:space="preserve">Action taken/planned
</t>
    </r>
    <r>
      <rPr>
        <sz val="8"/>
        <color indexed="8"/>
        <rFont val="Arial"/>
        <family val="2"/>
      </rPr>
      <t>(if reasons are plausible, no action is required)</t>
    </r>
  </si>
  <si>
    <t>Numerator</t>
  </si>
  <si>
    <t>Denominator</t>
  </si>
  <si>
    <t>No target value</t>
  </si>
  <si>
    <t>Primary cases of the denominator in which radiotherapy was recommended</t>
  </si>
  <si>
    <t xml:space="preserve">Radiotherapy after BCS in the case of DCIS
</t>
  </si>
  <si>
    <t>Adequate rate of radiotherapies of  primary cases with DCIS and BCS</t>
  </si>
  <si>
    <t>Primary cases with DCIS and BCS</t>
  </si>
  <si>
    <t>Primary cases of the denominator for which endocrine therapy was recommended</t>
  </si>
  <si>
    <t>Patients of the denominator, who were started on endocrine based therapy in the metastasised stage as first-line therapy</t>
  </si>
  <si>
    <t>(= consultation &gt; 30 min)</t>
  </si>
  <si>
    <t>Patients of the denominator who received counselling by social services in an inpatient or outpatient setting</t>
  </si>
  <si>
    <t>Patients who were included in a study with an ethical vote</t>
  </si>
  <si>
    <t>Number</t>
  </si>
  <si>
    <t>Number of surgical procedures for R0 resection for BCS</t>
  </si>
  <si>
    <t>Primary cases of the denominator with only one surgical procedure up to final surgical condition BCS</t>
  </si>
  <si>
    <t>Surgical primary cases with BCS and R0</t>
  </si>
  <si>
    <t xml:space="preserve">Primary cases of the denominator with mastectomies (final surgical condition)  </t>
  </si>
  <si>
    <t>Primary cases of the denominator with axillary lymph node removal (primary axillary lymph node removal or sentinel lymph node removal)</t>
  </si>
  <si>
    <t xml:space="preserve">Procedures of the denominator with intraoperative sample x-ray or with intraoperative sample sonography </t>
  </si>
  <si>
    <t>Revision surgeries</t>
  </si>
  <si>
    <t>Primary cases of the denominator with revision surgeries as a consequence of postoperative complications 
(only surgical primary cases)</t>
  </si>
  <si>
    <t>Primary cases</t>
  </si>
  <si>
    <t>(related to the indicator year)</t>
  </si>
  <si>
    <t>Endocrine therapy for metastasis</t>
  </si>
  <si>
    <t>Adequate rate of counselling by social services</t>
  </si>
  <si>
    <t>Inclusion of as many patients as possible in studies</t>
  </si>
  <si>
    <t>Studies patients</t>
  </si>
  <si>
    <t>After 1 year: ≥ 10%</t>
  </si>
  <si>
    <t>Pretherapeutic histological confirmation</t>
  </si>
  <si>
    <t>Primary cases of the denominator with pretherapeutic histological diagnosis confirmation by punch or vacuum-assisted biopsy</t>
  </si>
  <si>
    <t>See target value</t>
  </si>
  <si>
    <t>Mastectomies</t>
  </si>
  <si>
    <t>Lymph node removal in the case of DCIS</t>
  </si>
  <si>
    <t>Intraoperative sample radiography / sonography</t>
  </si>
  <si>
    <t>&lt; 0.01%</t>
  </si>
  <si>
    <t>OK (Plausibility unclear)</t>
  </si>
  <si>
    <t>Exception (Plausibility unclear)</t>
  </si>
  <si>
    <t>Sum</t>
  </si>
  <si>
    <t>Sum Plausibility unclear</t>
  </si>
  <si>
    <t>optional - OK</t>
  </si>
  <si>
    <t>optional - OK (Plausibility unclear)</t>
  </si>
  <si>
    <t>optional - Target value not met</t>
  </si>
  <si>
    <t>optional - incomplete</t>
  </si>
  <si>
    <t>optional - incorrect</t>
  </si>
  <si>
    <t>optional - Exception (Plausibility unclear)</t>
  </si>
  <si>
    <t xml:space="preserve"> Primärfälle Mammakarzinom</t>
  </si>
  <si>
    <t>Operierte Primärfälle</t>
  </si>
  <si>
    <t xml:space="preserve">   Mit BET</t>
  </si>
  <si>
    <t xml:space="preserve">   Mit Mastektomien</t>
  </si>
  <si>
    <t xml:space="preserve">davon operierte Primärfälle
mit neoadjuvanter oder präoperativer systemischer Therapie </t>
  </si>
  <si>
    <t xml:space="preserve">Tis (= DCIS) (N0, M0) </t>
  </si>
  <si>
    <t xml:space="preserve">T1 (N0, M0) </t>
  </si>
  <si>
    <t>T2 (N0, M0)</t>
  </si>
  <si>
    <t>T3 (N0, M0)</t>
  </si>
  <si>
    <t>T4 (N0, M0)</t>
  </si>
  <si>
    <t>M1 (jedes N, jedes T
inkl. Tis/Tx)</t>
  </si>
  <si>
    <t>nicht zuzu-ordnen</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</si>
  <si>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</si>
  <si>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</si>
  <si>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</si>
  <si>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</si>
  <si>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</si>
  <si>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</si>
  <si>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</si>
  <si>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</si>
  <si>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</si>
  <si>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</si>
  <si>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</si>
  <si>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</si>
  <si>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</si>
  <si>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</si>
  <si>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</si>
  <si>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</si>
  <si>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</si>
  <si>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</si>
  <si>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</si>
  <si>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</si>
  <si>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</si>
  <si>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</si>
  <si>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</si>
  <si>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</si>
  <si>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</si>
  <si>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</si>
  <si>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</si>
  <si>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</si>
  <si>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Cabo Verde</t>
  </si>
  <si>
    <t>Cambodia</t>
  </si>
  <si>
    <t>Cameroon</t>
  </si>
  <si>
    <t>Canada</t>
  </si>
  <si>
    <t>Central African Republic (CAR)</t>
  </si>
  <si>
    <t>Chad</t>
  </si>
  <si>
    <t>Chile</t>
  </si>
  <si>
    <t>China</t>
  </si>
  <si>
    <t>Colombia</t>
  </si>
  <si>
    <t>Comoros</t>
  </si>
  <si>
    <t>Democratic Republic of the Congo</t>
  </si>
  <si>
    <t>Republic of the Congo</t>
  </si>
  <si>
    <t>Costa Rica</t>
  </si>
  <si>
    <t>Cote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</si>
  <si>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</si>
  <si>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</si>
  <si>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</si>
  <si>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</si>
  <si>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</si>
  <si>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</si>
  <si>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</si>
  <si>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</si>
  <si>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</si>
  <si>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</si>
  <si>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</si>
  <si>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</si>
  <si>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</si>
  <si>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</si>
  <si>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</si>
  <si>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Fiji</t>
  </si>
  <si>
    <t>Finland</t>
  </si>
  <si>
    <t>France</t>
  </si>
  <si>
    <t>Gabon</t>
  </si>
  <si>
    <t>Gambia</t>
  </si>
  <si>
    <t>Georgia</t>
  </si>
  <si>
    <t>Germany</t>
  </si>
  <si>
    <t>Ghana</t>
  </si>
  <si>
    <t>Greece</t>
  </si>
  <si>
    <t>Grenada</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</si>
  <si>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</si>
  <si>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</si>
  <si>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</si>
  <si>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</si>
  <si>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</si>
  <si>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</si>
  <si>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</si>
  <si>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</si>
  <si>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</si>
  <si>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</si>
  <si>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</si>
  <si>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</si>
  <si>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</si>
  <si>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</si>
  <si>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</si>
  <si>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</si>
  <si>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</si>
  <si>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</si>
  <si>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</si>
  <si>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</si>
  <si>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</si>
  <si>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Kosovo</t>
  </si>
  <si>
    <t>Kuwait</t>
  </si>
  <si>
    <t>KyrgyzLaos</t>
  </si>
  <si>
    <t>Latvia</t>
  </si>
  <si>
    <t>Lebanon</t>
  </si>
  <si>
    <t>Lesotho</t>
  </si>
  <si>
    <t>Liberia</t>
  </si>
  <si>
    <t>Libya</t>
  </si>
  <si>
    <t>Liechtenstein</t>
  </si>
  <si>
    <t>Lithuania</t>
  </si>
  <si>
    <t>Luxembourg</t>
  </si>
  <si>
    <t>Macedonia (FYROM)</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</si>
  <si>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</si>
  <si>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</si>
  <si>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</si>
  <si>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</si>
  <si>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</si>
  <si>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</si>
  <si>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</si>
  <si>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</si>
  <si>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</si>
  <si>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</si>
  <si>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</si>
  <si>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</si>
  <si>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</si>
  <si>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</si>
  <si>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</si>
  <si>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</si>
  <si>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</si>
  <si>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 (Burma)</t>
  </si>
  <si>
    <t>Namibia</t>
  </si>
  <si>
    <t>Nauru</t>
  </si>
  <si>
    <t>Nepal</t>
  </si>
  <si>
    <t>Netherlands</t>
  </si>
  <si>
    <t>New Zealand</t>
  </si>
  <si>
    <t>Nicaragua</t>
  </si>
  <si>
    <t>Niger</t>
  </si>
  <si>
    <t>Nigeria</t>
  </si>
  <si>
    <t>North Korea</t>
  </si>
  <si>
    <t>Norway</t>
  </si>
  <si>
    <t>Oman</t>
  </si>
  <si>
    <t>Pakistan</t>
  </si>
  <si>
    <t>Palau</t>
  </si>
  <si>
    <t>Palestine</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</si>
  <si>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</si>
  <si>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</si>
  <si>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</si>
  <si>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</si>
  <si>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</si>
  <si>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</si>
  <si>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</si>
  <si>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</si>
  <si>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</si>
  <si>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</si>
  <si>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</si>
  <si>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</si>
  <si>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</si>
  <si>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</si>
  <si>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</si>
  <si>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</si>
  <si>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</si>
  <si>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</si>
  <si>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</si>
  <si>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</si>
  <si>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</si>
  <si>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</si>
  <si>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</si>
  <si>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</si>
  <si>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</si>
  <si>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</si>
  <si>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</si>
  <si>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</si>
  <si>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</si>
  <si>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</si>
  <si>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</si>
  <si>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</si>
  <si>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</si>
  <si>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</si>
  <si>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</si>
  <si>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</si>
  <si>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</si>
  <si>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</si>
  <si>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</si>
  <si>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</si>
  <si>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</si>
  <si>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</si>
  <si>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</si>
  <si>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</si>
  <si>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</si>
  <si>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</si>
  <si>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</si>
  <si>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</si>
  <si>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</si>
  <si>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</si>
  <si>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</si>
  <si>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</si>
  <si>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 (UAE)</t>
  </si>
  <si>
    <t>United Kingdom (UK)</t>
  </si>
  <si>
    <t>United States of America (USA)</t>
  </si>
  <si>
    <t>Uruguay</t>
  </si>
  <si>
    <t>Uzbekistan</t>
  </si>
  <si>
    <t>Vanuatu</t>
  </si>
  <si>
    <t>Vatican City (Holy See)</t>
  </si>
  <si>
    <t>Venezuela</t>
  </si>
  <si>
    <t>Vietnam</t>
  </si>
  <si>
    <t>Yemen</t>
  </si>
  <si>
    <t>Zambia</t>
  </si>
  <si>
    <t>Zimbabwe</t>
  </si>
  <si>
    <r>
      <t xml:space="preserve">Primary cases in men and women </t>
    </r>
    <r>
      <rPr>
        <b/>
        <vertAlign val="superscript"/>
        <sz val="8"/>
        <color indexed="8"/>
        <rFont val="Arial"/>
        <family val="2"/>
      </rPr>
      <t>1)</t>
    </r>
  </si>
  <si>
    <r>
      <t xml:space="preserve">Primary cases </t>
    </r>
    <r>
      <rPr>
        <b/>
        <vertAlign val="superscript"/>
        <sz val="9"/>
        <color indexed="8"/>
        <rFont val="Arial"/>
        <family val="2"/>
      </rPr>
      <t>4)</t>
    </r>
  </si>
  <si>
    <t>The cases (ER/PgR; 1-9% positive nuclei) classified as having an "uncertain response to endocrine therapy" according to the S3 Guidelines are to be documented separately in the tumour documentation system (not relevant for the presentation of the Indicator Sheet).</t>
  </si>
  <si>
    <t>1) Plausibility unclear 
In comparison to other centres, the Indicator value provided/obtained is an unusual value. The classification "plausibility unclear" does not automatically mean a negative assessment. The Indicator value is to be checked for correctness because of its unusual character. In individual cases a positive Indicator value, when viewed in detail, may also present a negative care situation (e.g. oversupply). The result of this check is to be explained in more detail by the Centre in the Catalogue of Requirements in the column "Reasons/Cause" . Where appropriate, specific actions should be defined and carried out in line with the procedure "Failure to meet the target value" for the purpose of improvement.
2) Target value not met
The relevant Indicators are to be analysed. The result is to be documented in the data sheet "Indicators". The document "Specifications Data Quality" contains more detailed information about this.
3) Incomplete
If any Indicators have the status "incomplete", then they are to be provided at a later stage or a clear statement is to be made about the possibility of presenting missing data in the future ("incomplete Indicators" always constitute a potential deviation).</t>
  </si>
  <si>
    <t xml:space="preserve">Erkrankung </t>
  </si>
  <si>
    <t>einseitig</t>
  </si>
  <si>
    <t>beidseitig (synchron)</t>
  </si>
  <si>
    <t>Patientinnen 
(Frauen)</t>
  </si>
  <si>
    <t>Patienten 
(Männer)</t>
  </si>
  <si>
    <t>Primärfälle gesamt</t>
  </si>
  <si>
    <t>Plausi-bility unclear</t>
  </si>
  <si>
    <t>Data quality indicators</t>
  </si>
  <si>
    <t>Plausible</t>
  </si>
  <si>
    <t>Primary cases breast cancer</t>
  </si>
  <si>
    <t>Tumour location</t>
  </si>
  <si>
    <t>Post-operative tumour board</t>
  </si>
  <si>
    <t>Post-operative presentation of as many primary cases as possible in the tumour board</t>
  </si>
  <si>
    <t>Pretherapeutic tumour board</t>
  </si>
  <si>
    <t>Tumour board local recurrence/metastases</t>
  </si>
  <si>
    <t>Presentation of all patients with 1st local recurrence and/or 1st distant metastasis in the tumour board</t>
  </si>
  <si>
    <t>Patients of the denominator presented in the tumour board</t>
  </si>
  <si>
    <t xml:space="preserve">Radiotherapy after BCS in the case of invasive breast cancer
</t>
  </si>
  <si>
    <t>GL QI</t>
  </si>
  <si>
    <r>
      <t>Endocrine therapy in the case of steroid receptor positive result</t>
    </r>
    <r>
      <rPr>
        <vertAlign val="superscript"/>
        <sz val="8"/>
        <rFont val="Arial"/>
        <family val="2"/>
      </rPr>
      <t>1</t>
    </r>
  </si>
  <si>
    <t>Endocrine therapy for as many steroid receptor positive primary cases as possible</t>
  </si>
  <si>
    <t>Primary cases with invasive breast cancer in the case of steroid rec. positive result
(without primary M1 pat.)</t>
  </si>
  <si>
    <t>Endocrine therapy as first-line therapy for metastasis as often as possible</t>
  </si>
  <si>
    <t>Patients with steroid receptor positive and HER2-negative invasive breast cancer with 1st remote metastasis (incl. primary M1 pat.)</t>
  </si>
  <si>
    <t>Pretherapeutic histological confirmation as often as possible</t>
  </si>
  <si>
    <t>Primary cases with initial surgery and histology of invasive breast cancer or DCIS</t>
  </si>
  <si>
    <t>Patients with 1st (local) recurrence and/or distant metastasis (without primary M1 patients)</t>
  </si>
  <si>
    <t>R0 resection as often as possible in the 1st surgical procedure at BCS</t>
  </si>
  <si>
    <t>Primary cases of the denominator with BCS (final surgical condition)</t>
  </si>
  <si>
    <t>Adequate rate of mastectomies</t>
  </si>
  <si>
    <t>As rarely as possible lymph node removal in the case of DCIS</t>
  </si>
  <si>
    <t>As often as possible intraoperative sample x-ray / sonography after marking</t>
  </si>
  <si>
    <t>Rate of postoperative revision surgeries as low as possible</t>
  </si>
  <si>
    <t>LL QI</t>
  </si>
  <si>
    <t>CR/ GL</t>
  </si>
  <si>
    <t xml:space="preserve">1) Details of the tumourstatus, which depending on therapy, may be pathological (pT, pN, pM) or clinical (cT, cN, cM). Examples:
       a) operated, non-neoadjuvant pretreated case: Details of pathological tumour status (pT) 
       b) neoadjuvant pretreated and operated case or a non-operated case or a case with pT0 after biopsy and further resection: clinical tumour status (cT)
</t>
  </si>
  <si>
    <t>5) Unilateral: Primary patient diagnosed with a breast cancer in one breast (left or right) in the indicator year</t>
  </si>
  <si>
    <t>Adequate rate of pretherapeutic tumour board</t>
  </si>
  <si>
    <t>Primary cases of the denominator presented in the pretherapeutic tumour board</t>
  </si>
  <si>
    <t xml:space="preserve">Primary case Patients 
(= indicator 14a) + Patients with new (local) recurrence and/or distant metastases 
(= indicator 14b) (without primary M1 pat., since already included in the primary cases) </t>
  </si>
  <si>
    <t>Adequate rate of radiotherapy of primary cases with invasive breast cancer and BCS</t>
  </si>
  <si>
    <t>Note:</t>
  </si>
  <si>
    <t xml:space="preserve">For reasons of easy readability, the term “patient” expressly covers all gender attributions (female, male, other). </t>
  </si>
  <si>
    <t>The respective entry or change of "Number / Numerator / Population" (dotted fields) can only be made in the spreadsheet "Basic Data", the data are then automatically transferred.            
The numerator is always a subset of the denominator (exception: Indicator 12 - Share of study patients).</t>
  </si>
  <si>
    <t>&lt; 60%</t>
  </si>
  <si>
    <t>Primary cases with invasive breast carcinoma with HER-2 pos. result ≥ pT1c (in neoadj. pre-treated and in non-operated patients: ≥ cT1c) (without primary M1 patients)</t>
  </si>
  <si>
    <t>&lt; 50%</t>
  </si>
  <si>
    <t xml:space="preserve">                    Target value not met</t>
  </si>
  <si>
    <t xml:space="preserve">          Erroneous</t>
  </si>
  <si>
    <t>incl. surgical primary cases
with neoadjuvant or preoperative systemic treatment*</t>
  </si>
  <si>
    <t>Adequate rate of counseling by social service</t>
  </si>
  <si>
    <r>
      <t xml:space="preserve">(every T incl. Tis/Tx </t>
    </r>
    <r>
      <rPr>
        <b/>
        <vertAlign val="superscript"/>
        <sz val="8"/>
        <color theme="1"/>
        <rFont val="Arial"/>
        <family val="2"/>
      </rPr>
      <t>2a)</t>
    </r>
    <r>
      <rPr>
        <sz val="8"/>
        <color theme="1"/>
        <rFont val="Arial"/>
        <family val="2"/>
      </rPr>
      <t>,</t>
    </r>
    <r>
      <rPr>
        <vertAlign val="superscript"/>
        <sz val="8"/>
        <color theme="1"/>
        <rFont val="Arial"/>
        <family val="2"/>
      </rPr>
      <t xml:space="preserve"> </t>
    </r>
    <r>
      <rPr>
        <sz val="8"/>
        <color theme="1"/>
        <rFont val="Arial"/>
        <family val="2"/>
      </rPr>
      <t>M0)</t>
    </r>
  </si>
  <si>
    <r>
      <t xml:space="preserve">(every N, every T
incl. Tis/Tx) </t>
    </r>
    <r>
      <rPr>
        <b/>
        <vertAlign val="superscript"/>
        <sz val="8"/>
        <rFont val="Arial"/>
        <family val="2"/>
      </rPr>
      <t>2b)</t>
    </r>
    <r>
      <rPr>
        <b/>
        <vertAlign val="superscript"/>
        <sz val="11"/>
        <color theme="1"/>
        <rFont val="Arial"/>
        <family val="2"/>
      </rPr>
      <t xml:space="preserve"> </t>
    </r>
  </si>
  <si>
    <t>2a) Primary tumour not detectable clinically or pathologically with positive lymph nodes and no primary metastasis
2b) Primary tumour neither clinically nor pathologically detectable with negative or positive lymph nodes and with primary metastasis.</t>
  </si>
  <si>
    <t>Primary cases of the denominator presented in the postoperative tumour board</t>
  </si>
  <si>
    <t>Primary cases of the denominator for whom radiotherapy was recommended</t>
  </si>
  <si>
    <t xml:space="preserve">Psycho-oncological distress screening </t>
  </si>
  <si>
    <t>Adequate rate of psycho-oncological distress screening</t>
  </si>
  <si>
    <t>Patients of the denominator who were psycho-oncologically screened</t>
  </si>
  <si>
    <t>≥ 65%</t>
  </si>
  <si>
    <t>Breast-conserving procedure for pT1 (incl. (y)pT1 u. (y)pT0)</t>
  </si>
  <si>
    <t>≥ 70% BCS for primary cases with pT1 (incl. (y)pT1 u. (y)pT0)</t>
  </si>
  <si>
    <t>Surgical primary cases with pT1 (incl. (y)pT1) a. (y)pT0)</t>
  </si>
  <si>
    <t>≥ 70%</t>
  </si>
  <si>
    <t>Primary cases DCIS with completed surgical therapy and BCS</t>
  </si>
  <si>
    <t>Social service counselling</t>
  </si>
  <si>
    <t>Patients enrolled in a study</t>
  </si>
  <si>
    <t>Patients with new (local) recurrence and/or distant metastases 
(without primary M1 Pat.)</t>
  </si>
  <si>
    <t>Primary case pat.
(= indicator 14a) + patients with new (local) recurrence and/or distant metastases
(= indicator 14b)
(without primary M1 patients, as already included in the primary cases)</t>
  </si>
  <si>
    <t>Primary cases with an invasive breast cancer  and BCS (without primary M1 pat.)</t>
  </si>
  <si>
    <t>Institution identification (II) number</t>
  </si>
  <si>
    <t>Clinical sites number</t>
  </si>
  <si>
    <t>No</t>
  </si>
  <si>
    <t>FAB-Z-137-1</t>
  </si>
  <si>
    <t>Brustgesundheitszentrum Brixen - Meran Partner der Universitätsklinik Innsbruck</t>
  </si>
  <si>
    <t>Schwerpunktkrankenhaus Meran</t>
  </si>
  <si>
    <t>FAB-Z-137-2</t>
  </si>
  <si>
    <t>Schwerpunktkrankenhaus Brixen</t>
  </si>
  <si>
    <t>FAB-Z-282</t>
  </si>
  <si>
    <t>Breast Cancer Centre Groupe Sein Centre Hospitalier de Luxembourg</t>
  </si>
  <si>
    <t>Centre Hospitalier de Luxembourg</t>
  </si>
  <si>
    <t>Luxemburg</t>
  </si>
  <si>
    <t xml:space="preserve">Definition in accordance with CR 1.2.0;
automatic carry-over "number / numerator / denominator" to the Indicator Sheet   </t>
  </si>
  <si>
    <t>of which primary cases with neoadjuvant or preoperative systemic therapy with planned surgery (e.g.: 12/24 ED, 1-6/25 neoadj. th., audit 7/25) ***</t>
  </si>
  <si>
    <t>Tis (= DCIS</t>
  </si>
  <si>
    <t xml:space="preserve">Paget) 
(N0, M0) </t>
  </si>
  <si>
    <t>of which Surgical primary cases</t>
  </si>
  <si>
    <t>Name der Studie</t>
  </si>
  <si>
    <t>Verantwortlicher Kooperationspartner</t>
  </si>
  <si>
    <t>im eigenen Zentrum in eine Studie eingeschlossen wurden</t>
  </si>
  <si>
    <t>von anderen Zentren/ Kliniken in eine Studie im eigenen Zentrum eingeschlossen wurden</t>
  </si>
  <si>
    <t>in anderen Zentren/ Kliniken in eine Studie eingeschlossen wurden</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</si>
  <si>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</si>
  <si>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</si>
  <si>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</si>
  <si>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</si>
  <si>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</si>
  <si>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</si>
  <si>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</si>
  <si>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</si>
  <si>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List of studies</t>
  </si>
  <si>
    <t>Responsible co-operation partner</t>
  </si>
  <si>
    <t>Name of the study</t>
  </si>
  <si>
    <t xml:space="preserve">        Summe:</t>
  </si>
  <si>
    <t>Table of surgeons (qualification according to CR 5.2.4)</t>
  </si>
  <si>
    <r>
      <rPr>
        <u/>
        <sz val="8"/>
        <color theme="1"/>
        <rFont val="Arial"/>
        <family val="2"/>
      </rPr>
      <t>Please note:</t>
    </r>
    <r>
      <rPr>
        <sz val="8"/>
        <color theme="1"/>
        <rFont val="Arial"/>
        <family val="2"/>
      </rPr>
      <t xml:space="preserve"> If the surgeons did not perform any operations during the period under review, enter ‘0’.</t>
    </r>
  </si>
  <si>
    <t>Title, Surname, First Name</t>
  </si>
  <si>
    <t>Status of surgeon</t>
  </si>
  <si>
    <t>Time period from ... to in the indicator year</t>
  </si>
  <si>
    <t>Number of surgeries
(in accordance with CR 5.2.4)</t>
  </si>
  <si>
    <t>Non-designated surgeon</t>
  </si>
  <si>
    <t>Senior surgeon</t>
  </si>
  <si>
    <t>Designated surgeon</t>
  </si>
  <si>
    <t xml:space="preserve">of which primary cases with neoadjuvant or preoperative systemic therapy with planned surgery </t>
  </si>
  <si>
    <t>In-house development (MS Excel, MS Access etc.)</t>
  </si>
  <si>
    <t>Clinical sites/ centre</t>
  </si>
  <si>
    <t>Reason/ cause</t>
  </si>
  <si>
    <t>Annex CR Version N1.1 (Audit year 2026 / Indicator year 2025)</t>
  </si>
  <si>
    <t>Clinic WinData</t>
  </si>
  <si>
    <t>Clinical Information Catalogue (CIC)</t>
  </si>
  <si>
    <t>D-Flow Onco (vormals OncoAssist)</t>
  </si>
  <si>
    <t>Änderung: 03.09.2025</t>
  </si>
  <si>
    <t>FAB-Z-312</t>
  </si>
  <si>
    <t>Breast Cancer Centre IOCN</t>
  </si>
  <si>
    <t>Institute of Oncology „Prof. Dr. Ion Chiricuta“, Cluj-Napoca</t>
  </si>
  <si>
    <t>Stand: 12.12.2025</t>
  </si>
  <si>
    <r>
      <t xml:space="preserve">Total primary cases </t>
    </r>
    <r>
      <rPr>
        <b/>
        <vertAlign val="superscript"/>
        <sz val="8"/>
        <color indexed="8"/>
        <rFont val="Arial"/>
        <family val="2"/>
      </rPr>
      <t>7)</t>
    </r>
  </si>
  <si>
    <r>
      <t>bilateral (synchronous/metachron)</t>
    </r>
    <r>
      <rPr>
        <b/>
        <sz val="8"/>
        <rFont val="Arial"/>
        <family val="2"/>
      </rPr>
      <t xml:space="preserve"> </t>
    </r>
    <r>
      <rPr>
        <b/>
        <vertAlign val="superscript"/>
        <sz val="9"/>
        <color theme="1"/>
        <rFont val="Arial"/>
        <family val="2"/>
      </rPr>
      <t>6)</t>
    </r>
  </si>
  <si>
    <t>Patients with newly occurring (local) recurrence and/or distant metastases (without primary M1 patients)</t>
  </si>
  <si>
    <t>Number of centre cases (= primary cases + patients with newly occurring (local) recurrence and/or distant metastases (excluding primary M1 patients))</t>
  </si>
  <si>
    <t>6) metachronous = diagnosis date ≥ 93 days after diagnosis date of primary disease within the indicator year; synchronous = primary patient or patient in whom breast cancer was diagnosed in both the left and right breasts within 92 days of diagnosis of the primary disease in the indicator year and treated jointly (remark on the situation in the case of synchronous diagnosis/treatment spanning calendar years, e.g. in December 2025 and January 2026: both cases and the patient are assigned to 2025).</t>
  </si>
  <si>
    <t>The Catalogue of Requirements is based on the TNM classification of malignant tumours, 8th edition 2017, ICD classification ICD-10-GM 2025 (BfARM) and the OPS classification OPS 2025 (BfARM).
* The short-term (3 wk) preoperative administration of tamoxifen or AI to test endocrine sensitivity.
**Patients with a first diagnosis in the indicator year who have not undergone surgery by the time the data sheet is submitted and who are receiving preoperative or neoadjuvant therapy with planned surgery according to the recommendation of the tumour board when the data sheet is submitted.</t>
  </si>
  <si>
    <t xml:space="preserve">                Total:</t>
  </si>
  <si>
    <t>Number of study patients in the indicator year</t>
  </si>
  <si>
    <t>who were included in a study at their own centre</t>
  </si>
  <si>
    <r>
      <rPr>
        <u/>
        <sz val="8"/>
        <color theme="1"/>
        <rFont val="Arial"/>
        <family val="2"/>
      </rPr>
      <t>Please note:</t>
    </r>
    <r>
      <rPr>
        <sz val="8"/>
        <color theme="1"/>
        <rFont val="Arial"/>
        <family val="2"/>
      </rPr>
      <t xml:space="preserve"> Study patients can be counted for two centres, provided that the referring centre itself conducts at least one study for patients from the breast cancer centre. If this counting method is chosen (optional), the centre must indicate how many patients are enrolled in studies at its own centre, sent to other centres/clinics to participate in studies, and accepted from other centres/clinics to participate in studies.</t>
    </r>
  </si>
  <si>
    <t>were included in a study at their own centre from other centres/ clinics</t>
  </si>
  <si>
    <t>were included in a study at other centres/ clinics</t>
  </si>
  <si>
    <t>≥ 50%</t>
  </si>
  <si>
    <t>Trastuzumab-based over 1 year in the case of HER-2 positive result</t>
  </si>
  <si>
    <t>Trastuzumab-based therapy for 1 year for as many HER-2 positive primary cases as possible</t>
  </si>
  <si>
    <t xml:space="preserve">Primary cases of the denominator for which Trastuzumab-based therapy over 1 year was recommended </t>
  </si>
  <si>
    <t>Application of the checklist for recording a possible hereditary predisposition to breast and/or ovarian cancer from the DKG e.V. (https://www.krebsgesellschaft.de/zertdokumente.html)</t>
  </si>
  <si>
    <t>For as many patients as possible with DCIS and/or invasive breast cancer, the checklist should be used to identify a possible hereditary predisposition to breast and/or ovarian cancer</t>
  </si>
  <si>
    <t>Patient's denominator with recording of possible hereditary predisposition to breast and/or ovarian cancer using the checklist</t>
  </si>
  <si>
    <t xml:space="preserve">9
</t>
  </si>
  <si>
    <t>13a</t>
  </si>
  <si>
    <t>13b</t>
  </si>
  <si>
    <t>Surgical procedures with preoperative marking guided by mammography or sonography</t>
  </si>
  <si>
    <t>20
Optional</t>
  </si>
  <si>
    <t>Patients with 1st (local) recurrence and/or with 1st remote metastasis
(without primary M1 pat.)</t>
  </si>
  <si>
    <t>17</t>
  </si>
  <si>
    <t>20</t>
  </si>
  <si>
    <t>Primary case patients
+ Patients with newly occurring (local) recurrence and/or distant metastases
(excluding primary M1 patients, as these are already included in the primary cases)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</si>
</sst>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0.0%"/>
    <numFmt numFmtId="166" formatCode="0.0"/>
    <numFmt numFmtId="167" formatCode="0.000%"/>
    <numFmt numFmtId="168" formatCode="[$-409]d\-mmm\-yy;@"/>
  </numFmts>
  <fonts count="152" x14ac:knownFonts="1">
    <font>
      <sz val="11"/>
      <color theme="1"/>
      <name val="Calibri"/>
      <family val="2"/>
      <scheme val="minor"/>
    </font>
    <font>
      <sz val="11"/>
      <color indexed="8"/>
      <name val="Calibri"/>
      <family val="2"/>
    </font>
    <font>
      <sz val="11"/>
      <color indexed="8"/>
      <name val="Calibri"/>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vertAlign val="superscript"/>
      <sz val="8"/>
      <name val="Arial"/>
      <family val="2"/>
    </font>
    <font>
      <sz val="7"/>
      <name val="Arial"/>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8"/>
      <color indexed="8"/>
      <name val="Calibri"/>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sz val="6"/>
      <color indexed="8"/>
      <name val="Arial"/>
      <family val="2"/>
    </font>
    <font>
      <sz val="6"/>
      <name val="Arial"/>
      <family val="2"/>
    </font>
    <font>
      <sz val="9"/>
      <color indexed="81"/>
      <name val="Arial"/>
      <family val="2"/>
    </font>
    <font>
      <sz val="8"/>
      <name val="Calibri"/>
      <family val="2"/>
    </font>
    <font>
      <sz val="11"/>
      <color indexed="8"/>
      <name val="Calibri"/>
      <family val="2"/>
    </font>
    <font>
      <sz val="11"/>
      <color indexed="10"/>
      <name val="Arial"/>
      <family val="2"/>
    </font>
    <font>
      <b/>
      <sz val="18"/>
      <color indexed="56"/>
      <name val="Cambria"/>
      <family val="2"/>
    </font>
    <font>
      <b/>
      <sz val="15"/>
      <color indexed="56"/>
      <name val="Calibri"/>
      <family val="2"/>
    </font>
    <font>
      <b/>
      <sz val="11"/>
      <color indexed="56"/>
      <name val="Calibri"/>
      <family val="2"/>
    </font>
    <font>
      <sz val="11"/>
      <color indexed="10"/>
      <name val="Calibri"/>
      <family val="2"/>
    </font>
    <font>
      <b/>
      <sz val="13"/>
      <color indexed="56"/>
      <name val="Calibri"/>
      <family val="2"/>
    </font>
    <font>
      <b/>
      <u/>
      <sz val="8"/>
      <color indexed="8"/>
      <name val="Arial"/>
      <family val="2"/>
    </font>
    <font>
      <sz val="9"/>
      <color indexed="81"/>
      <name val="Tahoma"/>
      <family val="2"/>
    </font>
    <font>
      <sz val="11"/>
      <color indexed="23"/>
      <name val="Arial"/>
      <family val="2"/>
    </font>
    <font>
      <sz val="11"/>
      <color indexed="8"/>
      <name val="Arial"/>
      <family val="2"/>
    </font>
    <font>
      <sz val="8"/>
      <color indexed="9"/>
      <name val="Arial"/>
      <family val="2"/>
    </font>
    <font>
      <sz val="11"/>
      <name val="Calibri"/>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b/>
      <sz val="8"/>
      <color indexed="10"/>
      <name val="Arial"/>
      <family val="2"/>
    </font>
    <font>
      <b/>
      <sz val="8"/>
      <color indexed="8"/>
      <name val="Calibri"/>
      <family val="2"/>
    </font>
    <font>
      <sz val="8"/>
      <name val="Arial Narrow"/>
      <family val="2"/>
    </font>
    <font>
      <b/>
      <sz val="8"/>
      <color indexed="8"/>
      <name val="Arial Narrow"/>
      <family val="2"/>
    </font>
    <font>
      <b/>
      <vertAlign val="superscript"/>
      <sz val="8"/>
      <name val="Arial"/>
      <family val="2"/>
    </font>
    <font>
      <strike/>
      <sz val="8"/>
      <color indexed="53"/>
      <name val="Arial"/>
      <family val="2"/>
    </font>
    <font>
      <sz val="8"/>
      <name val="Wingdings 3"/>
      <family val="1"/>
      <charset val="2"/>
    </font>
    <font>
      <sz val="11"/>
      <color indexed="8"/>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sz val="8"/>
      <color indexed="8"/>
      <name val="Arial"/>
      <family val="2"/>
    </font>
    <font>
      <sz val="9"/>
      <color indexed="8"/>
      <name val="Arial"/>
      <family val="2"/>
    </font>
    <font>
      <sz val="10"/>
      <color indexed="8"/>
      <name val="Arial"/>
      <family val="2"/>
    </font>
    <font>
      <b/>
      <sz val="10"/>
      <color indexed="8"/>
      <name val="Arial"/>
      <family val="2"/>
    </font>
    <font>
      <b/>
      <sz val="8"/>
      <color indexed="8"/>
      <name val="Arial"/>
      <family val="2"/>
    </font>
    <font>
      <b/>
      <sz val="9"/>
      <color indexed="8"/>
      <name val="Arial"/>
      <family val="2"/>
    </font>
    <font>
      <sz val="8"/>
      <name val="Arial Black"/>
      <family val="2"/>
    </font>
    <font>
      <vertAlign val="superscript"/>
      <sz val="8"/>
      <name val="Arial Black"/>
      <family val="2"/>
    </font>
    <font>
      <sz val="11"/>
      <name val="Calibri"/>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sz val="11"/>
      <color rgb="FFFF0000"/>
      <name val="Calibri"/>
      <family val="2"/>
      <scheme val="minor"/>
    </font>
    <font>
      <sz val="11"/>
      <name val="Calibri"/>
      <family val="2"/>
      <scheme val="minor"/>
    </font>
    <font>
      <b/>
      <sz val="9"/>
      <color indexed="81"/>
      <name val="Arial"/>
      <family val="2"/>
    </font>
    <font>
      <sz val="8"/>
      <color rgb="FFFF0000"/>
      <name val="Arial"/>
      <family val="2"/>
    </font>
    <font>
      <vertAlign val="superscript"/>
      <sz val="9"/>
      <name val="Arial"/>
      <family val="2"/>
    </font>
    <font>
      <sz val="8"/>
      <color theme="1"/>
      <name val="Arial"/>
      <family val="2"/>
    </font>
    <font>
      <b/>
      <sz val="8"/>
      <color theme="1"/>
      <name val="Arial"/>
      <family val="2"/>
    </font>
    <font>
      <vertAlign val="superscript"/>
      <sz val="8"/>
      <color theme="1"/>
      <name val="Arial"/>
      <family val="2"/>
    </font>
    <font>
      <sz val="11"/>
      <color indexed="8"/>
      <name val="Arial"/>
      <family val="2"/>
    </font>
    <font>
      <sz val="10"/>
      <color indexed="8"/>
      <name val="Arial"/>
      <family val="2"/>
    </font>
    <font>
      <b/>
      <sz val="13"/>
      <color indexed="8"/>
      <name val="Arial"/>
      <family val="2"/>
    </font>
    <font>
      <sz val="9"/>
      <name val="Arial"/>
      <family val="2"/>
    </font>
    <font>
      <b/>
      <sz val="9"/>
      <name val="Arial"/>
      <family val="2"/>
    </font>
    <font>
      <b/>
      <sz val="10"/>
      <name val="Arial"/>
      <family val="2"/>
    </font>
    <font>
      <sz val="9"/>
      <color indexed="8"/>
      <name val="Arial"/>
      <family val="2"/>
    </font>
    <font>
      <b/>
      <sz val="9"/>
      <color indexed="8"/>
      <name val="Arial"/>
      <family val="2"/>
    </font>
    <font>
      <sz val="11"/>
      <color theme="1"/>
      <name val="Calibri"/>
      <family val="2"/>
      <scheme val="minor"/>
    </font>
    <font>
      <sz val="8"/>
      <color indexed="8"/>
      <name val="Arial"/>
      <family val="2"/>
    </font>
    <font>
      <b/>
      <sz val="8"/>
      <name val="Arial"/>
      <family val="2"/>
    </font>
    <font>
      <b/>
      <sz val="11"/>
      <name val="Calibri"/>
      <family val="2"/>
    </font>
    <font>
      <sz val="11"/>
      <name val="Calibri"/>
      <family val="2"/>
    </font>
    <font>
      <sz val="8"/>
      <name val="Arial"/>
      <family val="2"/>
    </font>
    <font>
      <sz val="11"/>
      <color indexed="23"/>
      <name val="Calibri"/>
      <family val="2"/>
    </font>
    <font>
      <b/>
      <sz val="8"/>
      <color indexed="8"/>
      <name val="Arial"/>
      <family val="2"/>
    </font>
    <font>
      <sz val="8"/>
      <color indexed="8"/>
      <name val="Arial"/>
      <family val="2"/>
    </font>
    <font>
      <sz val="8"/>
      <color indexed="9"/>
      <name val="Arial"/>
      <family val="2"/>
    </font>
    <font>
      <sz val="8"/>
      <name val="Arial"/>
      <family val="2"/>
    </font>
    <font>
      <sz val="11"/>
      <color theme="1"/>
      <name val="Arial"/>
      <family val="2"/>
    </font>
    <font>
      <b/>
      <sz val="11"/>
      <color theme="1"/>
      <name val="Arial"/>
      <family val="2"/>
    </font>
    <font>
      <b/>
      <sz val="12"/>
      <color indexed="8"/>
      <name val="Arial"/>
      <family val="2"/>
    </font>
    <font>
      <sz val="8"/>
      <color indexed="55"/>
      <name val="Arial"/>
      <family val="2"/>
    </font>
    <font>
      <b/>
      <sz val="9"/>
      <color indexed="53"/>
      <name val="Arial"/>
      <family val="2"/>
    </font>
    <font>
      <b/>
      <vertAlign val="superscript"/>
      <sz val="9"/>
      <color theme="1"/>
      <name val="Arial"/>
      <family val="2"/>
    </font>
    <font>
      <sz val="9"/>
      <color theme="1"/>
      <name val="Arial"/>
      <family val="2"/>
    </font>
    <font>
      <vertAlign val="superscript"/>
      <sz val="11"/>
      <color theme="1"/>
      <name val="Calibri"/>
      <family val="2"/>
      <scheme val="minor"/>
    </font>
    <font>
      <b/>
      <u/>
      <sz val="8"/>
      <name val="Arial"/>
      <family val="2"/>
    </font>
    <font>
      <strike/>
      <sz val="6"/>
      <name val="Arial"/>
      <family val="2"/>
    </font>
    <font>
      <strike/>
      <sz val="8"/>
      <name val="Arial Narrow"/>
      <family val="2"/>
    </font>
    <font>
      <b/>
      <vertAlign val="superscript"/>
      <sz val="8"/>
      <color indexed="8"/>
      <name val="Arial"/>
      <family val="2"/>
    </font>
    <font>
      <b/>
      <vertAlign val="superscript"/>
      <sz val="9"/>
      <color indexed="8"/>
      <name val="Arial"/>
      <family val="2"/>
    </font>
    <font>
      <b/>
      <vertAlign val="superscript"/>
      <sz val="8"/>
      <color theme="1"/>
      <name val="Arial"/>
      <family val="2"/>
    </font>
    <font>
      <b/>
      <vertAlign val="superscript"/>
      <sz val="11"/>
      <color theme="1"/>
      <name val="Arial"/>
      <family val="2"/>
    </font>
    <font>
      <b/>
      <sz val="12"/>
      <name val="Arial"/>
      <family val="2"/>
    </font>
    <font>
      <sz val="10"/>
      <color theme="1"/>
      <name val="Arial"/>
      <family val="2"/>
    </font>
    <font>
      <u/>
      <sz val="8"/>
      <color theme="1"/>
      <name val="Arial"/>
      <family val="2"/>
    </font>
    <font>
      <sz val="8"/>
      <name val="Calibri"/>
      <family val="2"/>
      <scheme val="minor"/>
    </font>
    <font>
      <b/>
      <sz val="12"/>
      <color theme="1"/>
      <name val="Arial"/>
      <family val="2"/>
    </font>
    <font>
      <b/>
      <sz val="10"/>
      <color theme="1"/>
      <name val="Arial"/>
      <family val="2"/>
    </font>
    <font>
      <b/>
      <sz val="9"/>
      <color theme="1"/>
      <name val="Arial"/>
      <family val="2"/>
    </font>
    <font>
      <sz val="8"/>
      <color theme="1" tint="0.34998626667073579"/>
      <name val="Arial"/>
      <family val="2"/>
    </font>
    <font>
      <sz val="6"/>
      <color theme="1" tint="0.34998626667073579"/>
      <name val="Arial"/>
      <family val="2"/>
    </font>
    <font>
      <sz val="8"/>
      <color theme="1" tint="0.34998626667073579"/>
      <name val="Arial Narrow"/>
      <family val="2"/>
    </font>
    <font>
      <b/>
      <sz val="8"/>
      <color theme="1" tint="0.34998626667073579"/>
      <name val="Arial"/>
      <family val="2"/>
    </font>
    <font>
      <sz val="9"/>
      <color theme="1" tint="0.34998626667073579"/>
      <name val="Arial"/>
      <family val="2"/>
    </font>
    <font>
      <b/>
      <sz val="9"/>
      <color theme="1" tint="0.34998626667073579"/>
      <name val="Arial"/>
      <family val="2"/>
    </font>
  </fonts>
  <fills count="88">
    <fill>
      <patternFill patternType="none"/>
    </fill>
    <fill>
      <patternFill patternType="gray125"/>
    </fill>
    <fill>
      <patternFill patternType="solid">
        <fgColor indexed="31"/>
      </patternFill>
    </fill>
    <fill>
      <patternFill patternType="solid">
        <fgColor indexed="44"/>
      </patternFill>
    </fill>
    <fill>
      <patternFill patternType="solid">
        <fgColor indexed="41"/>
      </patternFill>
    </fill>
    <fill>
      <patternFill patternType="solid">
        <fgColor indexed="45"/>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29"/>
      </patternFill>
    </fill>
    <fill>
      <patternFill patternType="solid">
        <fgColor indexed="11"/>
      </patternFill>
    </fill>
    <fill>
      <patternFill patternType="solid">
        <fgColor indexed="43"/>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3"/>
      </patternFill>
    </fill>
    <fill>
      <patternFill patternType="solid">
        <fgColor indexed="10"/>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gray0625">
        <fgColor indexed="23"/>
        <bgColor indexed="9"/>
      </patternFill>
    </fill>
    <fill>
      <patternFill patternType="solid">
        <fgColor indexed="42"/>
        <bgColor indexed="64"/>
      </patternFill>
    </fill>
    <fill>
      <patternFill patternType="solid">
        <fgColor indexed="43"/>
        <bgColor indexed="64"/>
      </patternFill>
    </fill>
    <fill>
      <patternFill patternType="solid">
        <fgColor indexed="10"/>
        <bgColor indexed="64"/>
      </patternFill>
    </fill>
    <fill>
      <patternFill patternType="solid">
        <fgColor indexed="44"/>
        <bgColor indexed="64"/>
      </patternFill>
    </fill>
    <fill>
      <patternFill patternType="solid">
        <fgColor indexed="47"/>
        <bgColor indexed="64"/>
      </patternFill>
    </fill>
    <fill>
      <patternFill patternType="solid">
        <fgColor indexed="11"/>
        <bgColor indexed="64"/>
      </patternFill>
    </fill>
    <fill>
      <patternFill patternType="solid">
        <fgColor indexed="22"/>
        <bgColor indexed="64"/>
      </patternFill>
    </fill>
    <fill>
      <patternFill patternType="solid">
        <fgColor indexed="45"/>
        <bgColor indexed="64"/>
      </patternFill>
    </fill>
    <fill>
      <patternFill patternType="solid">
        <fgColor indexed="13"/>
        <bgColor indexed="64"/>
      </patternFill>
    </fill>
    <fill>
      <patternFill patternType="solid">
        <fgColor indexed="44"/>
        <bgColor indexed="9"/>
      </patternFill>
    </fill>
    <fill>
      <patternFill patternType="gray0625">
        <bgColor indexed="44"/>
      </patternFill>
    </fill>
    <fill>
      <patternFill patternType="gray0625">
        <fgColor indexed="23"/>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499984740745262"/>
        <bgColor indexed="64"/>
      </patternFill>
    </fill>
    <fill>
      <patternFill patternType="solid">
        <fgColor rgb="FF808080"/>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00B050"/>
        <bgColor indexed="64"/>
      </patternFill>
    </fill>
    <fill>
      <patternFill patternType="solid">
        <fgColor theme="0" tint="-0.14999847407452621"/>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FFFF00"/>
        <bgColor indexed="64"/>
      </patternFill>
    </fill>
    <fill>
      <patternFill patternType="solid">
        <fgColor rgb="FFC0C0C0"/>
        <bgColor indexed="64"/>
      </patternFill>
    </fill>
    <fill>
      <patternFill patternType="solid">
        <fgColor rgb="FFDCE6F1"/>
        <bgColor indexed="64"/>
      </patternFill>
    </fill>
    <fill>
      <patternFill patternType="solid">
        <fgColor rgb="FFDCE6F1"/>
        <bgColor indexed="9"/>
      </patternFill>
    </fill>
  </fills>
  <borders count="86">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49"/>
      </bottom>
      <diagonal/>
    </border>
    <border>
      <left/>
      <right/>
      <top/>
      <bottom style="thick">
        <color indexed="62"/>
      </bottom>
      <diagonal/>
    </border>
    <border>
      <left/>
      <right/>
      <top/>
      <bottom style="thick">
        <color indexed="44"/>
      </bottom>
      <diagonal/>
    </border>
    <border>
      <left/>
      <right/>
      <top/>
      <bottom style="thick">
        <color indexed="41"/>
      </bottom>
      <diagonal/>
    </border>
    <border>
      <left/>
      <right/>
      <top/>
      <bottom style="thick">
        <color indexed="22"/>
      </bottom>
      <diagonal/>
    </border>
    <border>
      <left/>
      <right/>
      <top/>
      <bottom style="medium">
        <color indexed="44"/>
      </bottom>
      <diagonal/>
    </border>
    <border>
      <left/>
      <right/>
      <top/>
      <bottom style="medium">
        <color indexed="41"/>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style="medium">
        <color indexed="64"/>
      </bottom>
      <diagonal/>
    </border>
    <border>
      <left/>
      <right style="thin">
        <color indexed="64"/>
      </right>
      <top/>
      <bottom/>
      <diagonal/>
    </border>
    <border>
      <left/>
      <right/>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575">
    <xf numFmtId="0" fontId="0" fillId="0" borderId="0"/>
    <xf numFmtId="0" fontId="80" fillId="2" borderId="0" applyNumberFormat="0" applyBorder="0" applyAlignment="0" applyProtection="0"/>
    <xf numFmtId="0" fontId="80" fillId="2"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3" borderId="0" applyNumberFormat="0" applyBorder="0" applyAlignment="0" applyProtection="0"/>
    <xf numFmtId="0" fontId="80" fillId="4" borderId="0" applyNumberFormat="0" applyBorder="0" applyAlignment="0" applyProtection="0"/>
    <xf numFmtId="0" fontId="80"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3" borderId="0" applyNumberFormat="0" applyBorder="0" applyAlignment="0" applyProtection="0"/>
    <xf numFmtId="0" fontId="80" fillId="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0" fillId="4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0" fillId="4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1" fillId="53" borderId="0" applyNumberFormat="0" applyBorder="0" applyAlignment="0" applyProtection="0"/>
    <xf numFmtId="0" fontId="81" fillId="53"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81" fillId="54"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81" fillId="55"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56" borderId="0" applyNumberFormat="0" applyBorder="0" applyAlignment="0" applyProtection="0"/>
    <xf numFmtId="0" fontId="81" fillId="56"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81" fillId="20" borderId="0" applyNumberFormat="0" applyBorder="0" applyAlignment="0" applyProtection="0"/>
    <xf numFmtId="0" fontId="81" fillId="20" borderId="0" applyNumberFormat="0" applyBorder="0" applyAlignment="0" applyProtection="0"/>
    <xf numFmtId="0" fontId="81" fillId="58" borderId="0" applyNumberFormat="0" applyBorder="0" applyAlignment="0" applyProtection="0"/>
    <xf numFmtId="0" fontId="81" fillId="58"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81" fillId="5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21" borderId="0" applyNumberFormat="0" applyBorder="0" applyAlignment="0" applyProtection="0"/>
    <xf numFmtId="0" fontId="48" fillId="23" borderId="0" applyNumberFormat="0" applyBorder="0" applyAlignment="0" applyProtection="0"/>
    <xf numFmtId="0" fontId="81" fillId="22" borderId="0" applyNumberFormat="0" applyBorder="0" applyAlignment="0" applyProtection="0"/>
    <xf numFmtId="0" fontId="81" fillId="23" borderId="0" applyNumberFormat="0" applyBorder="0" applyAlignment="0" applyProtection="0"/>
    <xf numFmtId="0" fontId="48" fillId="24" borderId="0" applyNumberFormat="0" applyBorder="0" applyAlignment="0" applyProtection="0"/>
    <xf numFmtId="0" fontId="48" fillId="18" borderId="0" applyNumberFormat="0" applyBorder="0" applyAlignment="0" applyProtection="0"/>
    <xf numFmtId="0" fontId="81" fillId="61"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18" borderId="0" applyNumberFormat="0" applyBorder="0" applyAlignment="0" applyProtection="0"/>
    <xf numFmtId="0" fontId="48" fillId="19" borderId="0" applyNumberFormat="0" applyBorder="0" applyAlignment="0" applyProtection="0"/>
    <xf numFmtId="0" fontId="48" fillId="22"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60" borderId="0" applyNumberFormat="0" applyBorder="0" applyAlignment="0" applyProtection="0"/>
    <xf numFmtId="0" fontId="81" fillId="60" borderId="0" applyNumberFormat="0" applyBorder="0" applyAlignment="0" applyProtection="0"/>
    <xf numFmtId="0" fontId="81" fillId="60"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1" fillId="63" borderId="0" applyNumberFormat="0" applyBorder="0" applyAlignment="0" applyProtection="0"/>
    <xf numFmtId="0" fontId="81" fillId="63" borderId="0" applyNumberFormat="0" applyBorder="0" applyAlignment="0" applyProtection="0"/>
    <xf numFmtId="0" fontId="81" fillId="63" borderId="0" applyNumberFormat="0" applyBorder="0" applyAlignment="0" applyProtection="0"/>
    <xf numFmtId="0" fontId="82" fillId="15" borderId="72" applyNumberFormat="0" applyAlignment="0" applyProtection="0"/>
    <xf numFmtId="0" fontId="82" fillId="15" borderId="72" applyNumberFormat="0" applyAlignment="0" applyProtection="0"/>
    <xf numFmtId="0" fontId="82" fillId="15" borderId="72" applyNumberFormat="0" applyAlignment="0" applyProtection="0"/>
    <xf numFmtId="0" fontId="65" fillId="15" borderId="2" applyNumberFormat="0" applyAlignment="0" applyProtection="0"/>
    <xf numFmtId="0" fontId="82" fillId="64" borderId="72" applyNumberFormat="0" applyAlignment="0" applyProtection="0"/>
    <xf numFmtId="0" fontId="82" fillId="64" borderId="72" applyNumberFormat="0" applyAlignment="0" applyProtection="0"/>
    <xf numFmtId="0" fontId="82" fillId="10" borderId="72" applyNumberFormat="0" applyAlignment="0" applyProtection="0"/>
    <xf numFmtId="0" fontId="65" fillId="10" borderId="2" applyNumberFormat="0" applyAlignment="0" applyProtection="0"/>
    <xf numFmtId="0" fontId="82" fillId="15" borderId="72" applyNumberFormat="0" applyAlignment="0" applyProtection="0"/>
    <xf numFmtId="0" fontId="65" fillId="10" borderId="2" applyNumberFormat="0" applyAlignment="0" applyProtection="0"/>
    <xf numFmtId="0" fontId="82" fillId="15" borderId="72" applyNumberFormat="0" applyAlignment="0" applyProtection="0"/>
    <xf numFmtId="0" fontId="82" fillId="15" borderId="72" applyNumberFormat="0" applyAlignment="0" applyProtection="0"/>
    <xf numFmtId="0" fontId="65" fillId="15" borderId="2" applyNumberFormat="0" applyAlignment="0" applyProtection="0"/>
    <xf numFmtId="0" fontId="49" fillId="15" borderId="1" applyNumberFormat="0" applyAlignment="0" applyProtection="0"/>
    <xf numFmtId="0" fontId="49" fillId="15" borderId="1" applyNumberFormat="0" applyAlignment="0" applyProtection="0"/>
    <xf numFmtId="0" fontId="49" fillId="15" borderId="1" applyNumberFormat="0" applyAlignment="0" applyProtection="0"/>
    <xf numFmtId="0" fontId="82" fillId="15" borderId="72" applyNumberFormat="0" applyAlignment="0" applyProtection="0"/>
    <xf numFmtId="0" fontId="49" fillId="15" borderId="1" applyNumberFormat="0" applyAlignment="0" applyProtection="0"/>
    <xf numFmtId="0" fontId="65" fillId="15" borderId="2" applyNumberFormat="0" applyAlignment="0" applyProtection="0"/>
    <xf numFmtId="0" fontId="82" fillId="15" borderId="72" applyNumberFormat="0" applyAlignment="0" applyProtection="0"/>
    <xf numFmtId="0" fontId="82" fillId="15" borderId="72" applyNumberFormat="0" applyAlignment="0" applyProtection="0"/>
    <xf numFmtId="0" fontId="82" fillId="15" borderId="72" applyNumberFormat="0" applyAlignment="0" applyProtection="0"/>
    <xf numFmtId="0" fontId="49" fillId="15" borderId="1" applyNumberFormat="0" applyAlignment="0" applyProtection="0"/>
    <xf numFmtId="0" fontId="54" fillId="5" borderId="0" applyNumberFormat="0" applyBorder="0" applyAlignment="0" applyProtection="0"/>
    <xf numFmtId="0" fontId="84" fillId="15" borderId="73" applyNumberFormat="0" applyAlignment="0" applyProtection="0"/>
    <xf numFmtId="0" fontId="84" fillId="15" borderId="73" applyNumberFormat="0" applyAlignment="0" applyProtection="0"/>
    <xf numFmtId="0" fontId="84" fillId="64" borderId="73" applyNumberFormat="0" applyAlignment="0" applyProtection="0"/>
    <xf numFmtId="0" fontId="84" fillId="64" borderId="73" applyNumberFormat="0" applyAlignment="0" applyProtection="0"/>
    <xf numFmtId="0" fontId="84" fillId="10" borderId="73" applyNumberFormat="0" applyAlignment="0" applyProtection="0"/>
    <xf numFmtId="0" fontId="84" fillId="10" borderId="73" applyNumberFormat="0" applyAlignment="0" applyProtection="0"/>
    <xf numFmtId="0" fontId="84" fillId="10" borderId="73" applyNumberFormat="0" applyAlignment="0" applyProtection="0"/>
    <xf numFmtId="0" fontId="84" fillId="15" borderId="73" applyNumberFormat="0" applyAlignment="0" applyProtection="0"/>
    <xf numFmtId="0" fontId="50" fillId="15" borderId="3" applyNumberFormat="0" applyAlignment="0" applyProtection="0"/>
    <xf numFmtId="0" fontId="50" fillId="15" borderId="3" applyNumberFormat="0" applyAlignment="0" applyProtection="0"/>
    <xf numFmtId="0" fontId="50" fillId="15" borderId="3" applyNumberFormat="0" applyAlignment="0" applyProtection="0"/>
    <xf numFmtId="0" fontId="84" fillId="15" borderId="73" applyNumberFormat="0" applyAlignment="0" applyProtection="0"/>
    <xf numFmtId="0" fontId="50" fillId="15" borderId="3" applyNumberFormat="0" applyAlignment="0" applyProtection="0"/>
    <xf numFmtId="0" fontId="84" fillId="15" borderId="73" applyNumberFormat="0" applyAlignment="0" applyProtection="0"/>
    <xf numFmtId="0" fontId="50" fillId="15" borderId="3" applyNumberFormat="0" applyAlignment="0" applyProtection="0"/>
    <xf numFmtId="0" fontId="50" fillId="15" borderId="3" applyNumberFormat="0" applyAlignment="0" applyProtection="0"/>
    <xf numFmtId="0" fontId="56" fillId="26" borderId="4" applyNumberFormat="0" applyAlignment="0" applyProtection="0"/>
    <xf numFmtId="0" fontId="85" fillId="66" borderId="74" applyNumberFormat="0" applyAlignment="0" applyProtection="0"/>
    <xf numFmtId="0" fontId="85" fillId="66" borderId="5" applyNumberFormat="0" applyAlignment="0" applyProtection="0"/>
    <xf numFmtId="164" fontId="47" fillId="0" borderId="0" applyFont="0" applyFill="0" applyBorder="0" applyAlignment="0" applyProtection="0"/>
    <xf numFmtId="0" fontId="86" fillId="67" borderId="73" applyNumberFormat="0" applyAlignment="0" applyProtection="0"/>
    <xf numFmtId="0" fontId="51" fillId="6" borderId="3" applyNumberFormat="0" applyAlignment="0" applyProtection="0"/>
    <xf numFmtId="0" fontId="51" fillId="6" borderId="3" applyNumberFormat="0" applyAlignment="0" applyProtection="0"/>
    <xf numFmtId="0" fontId="51" fillId="6" borderId="3" applyNumberFormat="0" applyAlignment="0" applyProtection="0"/>
    <xf numFmtId="0" fontId="51" fillId="6" borderId="3" applyNumberFormat="0" applyAlignment="0" applyProtection="0"/>
    <xf numFmtId="0" fontId="51" fillId="6" borderId="3" applyNumberFormat="0" applyAlignment="0" applyProtection="0"/>
    <xf numFmtId="0" fontId="87" fillId="0" borderId="6" applyNumberFormat="0" applyFill="0" applyAlignment="0" applyProtection="0"/>
    <xf numFmtId="0" fontId="87" fillId="0" borderId="6" applyNumberFormat="0" applyFill="0" applyAlignment="0" applyProtection="0"/>
    <xf numFmtId="0" fontId="87" fillId="0" borderId="6" applyNumberFormat="0" applyFill="0" applyAlignment="0" applyProtection="0"/>
    <xf numFmtId="0" fontId="87" fillId="0" borderId="6" applyNumberFormat="0" applyFill="0" applyAlignment="0" applyProtection="0"/>
    <xf numFmtId="0" fontId="87" fillId="0" borderId="75" applyNumberFormat="0" applyFill="0" applyAlignment="0" applyProtection="0"/>
    <xf numFmtId="0" fontId="87" fillId="0" borderId="75" applyNumberFormat="0" applyFill="0" applyAlignment="0" applyProtection="0"/>
    <xf numFmtId="0" fontId="87" fillId="0" borderId="7" applyNumberFormat="0" applyFill="0" applyAlignment="0" applyProtection="0"/>
    <xf numFmtId="0" fontId="87" fillId="0" borderId="7" applyNumberFormat="0" applyFill="0" applyAlignment="0" applyProtection="0"/>
    <xf numFmtId="0" fontId="87" fillId="0" borderId="7" applyNumberFormat="0" applyFill="0" applyAlignment="0" applyProtection="0"/>
    <xf numFmtId="0" fontId="87" fillId="0" borderId="6" applyNumberFormat="0" applyFill="0" applyAlignment="0" applyProtection="0"/>
    <xf numFmtId="0" fontId="87"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87"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87" fillId="0" borderId="6" applyNumberFormat="0" applyFill="0" applyAlignment="0" applyProtection="0"/>
    <xf numFmtId="0" fontId="14" fillId="0" borderId="6" applyNumberFormat="0" applyFill="0" applyAlignment="0" applyProtection="0"/>
    <xf numFmtId="0" fontId="87" fillId="0" borderId="6" applyNumberFormat="0" applyFill="0" applyAlignment="0" applyProtection="0"/>
    <xf numFmtId="0" fontId="14" fillId="0" borderId="6" applyNumberFormat="0" applyFill="0" applyAlignment="0" applyProtection="0"/>
    <xf numFmtId="0" fontId="88"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3" fillId="7"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90" fillId="0" borderId="76" applyNumberFormat="0" applyFill="0" applyAlignment="0" applyProtection="0"/>
    <xf numFmtId="0" fontId="66" fillId="0" borderId="8" applyNumberFormat="0" applyFill="0" applyAlignment="0" applyProtection="0"/>
    <xf numFmtId="0" fontId="66" fillId="0" borderId="8" applyNumberFormat="0" applyFill="0" applyAlignment="0" applyProtection="0"/>
    <xf numFmtId="0" fontId="37" fillId="0" borderId="9" applyNumberFormat="0" applyFill="0" applyAlignment="0" applyProtection="0"/>
    <xf numFmtId="0" fontId="91" fillId="0" borderId="77" applyNumberFormat="0" applyFill="0" applyAlignment="0" applyProtection="0"/>
    <xf numFmtId="0" fontId="67" fillId="0" borderId="10" applyNumberFormat="0" applyFill="0" applyAlignment="0" applyProtection="0"/>
    <xf numFmtId="0" fontId="67" fillId="0" borderId="11" applyNumberFormat="0" applyFill="0" applyAlignment="0" applyProtection="0"/>
    <xf numFmtId="0" fontId="40" fillId="0" borderId="12" applyNumberFormat="0" applyFill="0" applyAlignment="0" applyProtection="0"/>
    <xf numFmtId="0" fontId="92" fillId="0" borderId="78" applyNumberFormat="0" applyFill="0" applyAlignment="0" applyProtection="0"/>
    <xf numFmtId="0" fontId="68" fillId="0" borderId="13" applyNumberFormat="0" applyFill="0" applyAlignment="0" applyProtection="0"/>
    <xf numFmtId="0" fontId="68" fillId="0" borderId="14" applyNumberFormat="0" applyFill="0" applyAlignment="0" applyProtection="0"/>
    <xf numFmtId="0" fontId="38" fillId="0" borderId="15" applyNumberFormat="0" applyFill="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38" fillId="0" borderId="0" applyNumberFormat="0" applyFill="0" applyBorder="0" applyAlignment="0" applyProtection="0"/>
    <xf numFmtId="0" fontId="51" fillId="6" borderId="3" applyNumberFormat="0" applyAlignment="0" applyProtection="0"/>
    <xf numFmtId="0" fontId="55" fillId="0" borderId="16" applyNumberFormat="0" applyFill="0" applyAlignment="0" applyProtection="0"/>
    <xf numFmtId="0" fontId="94" fillId="69" borderId="0" applyNumberFormat="0" applyBorder="0" applyAlignment="0" applyProtection="0"/>
    <xf numFmtId="0" fontId="80" fillId="0" borderId="0"/>
    <xf numFmtId="0" fontId="4" fillId="8" borderId="17" applyNumberFormat="0" applyFont="0" applyAlignment="0" applyProtection="0"/>
    <xf numFmtId="0" fontId="4" fillId="8" borderId="17"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64" fillId="70" borderId="80" applyNumberFormat="0" applyFont="0" applyAlignment="0" applyProtection="0"/>
    <xf numFmtId="0" fontId="13" fillId="70" borderId="80" applyNumberFormat="0" applyFont="0" applyAlignment="0" applyProtection="0"/>
    <xf numFmtId="0" fontId="13" fillId="70" borderId="80" applyNumberFormat="0" applyFont="0" applyAlignment="0" applyProtection="0"/>
    <xf numFmtId="0" fontId="34" fillId="70" borderId="80" applyNumberFormat="0" applyFont="0" applyAlignment="0" applyProtection="0"/>
    <xf numFmtId="0" fontId="2"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64"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64" fillId="70" borderId="80" applyNumberFormat="0" applyFont="0" applyAlignment="0" applyProtection="0"/>
    <xf numFmtId="0" fontId="64"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64" fillId="70" borderId="80" applyNumberFormat="0" applyFont="0" applyAlignment="0" applyProtection="0"/>
    <xf numFmtId="0" fontId="2"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34" fillId="70" borderId="80" applyNumberFormat="0" applyFont="0" applyAlignment="0" applyProtection="0"/>
    <xf numFmtId="0" fontId="2"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2"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2"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0" fontId="49" fillId="15" borderId="1" applyNumberFormat="0" applyAlignment="0" applyProtection="0"/>
    <xf numFmtId="9" fontId="13"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4" fillId="0" borderId="0"/>
    <xf numFmtId="0" fontId="80" fillId="0" borderId="0"/>
    <xf numFmtId="0" fontId="80" fillId="0" borderId="0"/>
    <xf numFmtId="0" fontId="95" fillId="0" borderId="0"/>
    <xf numFmtId="0" fontId="4" fillId="0" borderId="0"/>
    <xf numFmtId="0" fontId="80" fillId="0" borderId="0"/>
    <xf numFmtId="0" fontId="80" fillId="0" borderId="0"/>
    <xf numFmtId="0" fontId="95" fillId="0" borderId="0"/>
    <xf numFmtId="0" fontId="28"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9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0" borderId="0"/>
    <xf numFmtId="0" fontId="80" fillId="0" borderId="0"/>
    <xf numFmtId="0" fontId="4" fillId="0" borderId="0"/>
    <xf numFmtId="0" fontId="4" fillId="0" borderId="0"/>
    <xf numFmtId="0" fontId="79" fillId="0" borderId="0"/>
    <xf numFmtId="0" fontId="46" fillId="0" borderId="0"/>
    <xf numFmtId="0" fontId="4" fillId="0" borderId="0"/>
    <xf numFmtId="0" fontId="4" fillId="0" borderId="0"/>
    <xf numFmtId="0" fontId="96"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36" fillId="0" borderId="0" applyNumberFormat="0" applyFill="0" applyBorder="0" applyAlignment="0" applyProtection="0"/>
    <xf numFmtId="0" fontId="14" fillId="0" borderId="6" applyNumberFormat="0" applyFill="0" applyAlignment="0" applyProtection="0"/>
    <xf numFmtId="0" fontId="36" fillId="0" borderId="0" applyNumberFormat="0" applyFill="0" applyBorder="0" applyAlignment="0" applyProtection="0"/>
    <xf numFmtId="0" fontId="37" fillId="0" borderId="9" applyNumberFormat="0" applyFill="0" applyAlignment="0" applyProtection="0"/>
    <xf numFmtId="0" fontId="37" fillId="0" borderId="9" applyNumberFormat="0" applyFill="0" applyAlignment="0" applyProtection="0"/>
    <xf numFmtId="0" fontId="37" fillId="0" borderId="9" applyNumberFormat="0" applyFill="0" applyAlignment="0" applyProtection="0"/>
    <xf numFmtId="0" fontId="40" fillId="0" borderId="12" applyNumberFormat="0" applyFill="0" applyAlignment="0" applyProtection="0"/>
    <xf numFmtId="0" fontId="40" fillId="0" borderId="12" applyNumberFormat="0" applyFill="0" applyAlignment="0" applyProtection="0"/>
    <xf numFmtId="0" fontId="40" fillId="0" borderId="12" applyNumberFormat="0" applyFill="0" applyAlignment="0" applyProtection="0"/>
    <xf numFmtId="0" fontId="38" fillId="0" borderId="15" applyNumberFormat="0" applyFill="0" applyAlignment="0" applyProtection="0"/>
    <xf numFmtId="0" fontId="38" fillId="0" borderId="15" applyNumberFormat="0" applyFill="0" applyAlignment="0" applyProtection="0"/>
    <xf numFmtId="0" fontId="38" fillId="0" borderId="15"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93" fillId="0" borderId="79" applyNumberFormat="0" applyFill="0" applyAlignment="0" applyProtection="0"/>
    <xf numFmtId="0" fontId="93" fillId="0" borderId="79" applyNumberFormat="0" applyFill="0" applyAlignment="0" applyProtection="0"/>
    <xf numFmtId="0" fontId="93" fillId="0" borderId="79"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85" fillId="66" borderId="74" applyNumberFormat="0" applyAlignment="0" applyProtection="0"/>
    <xf numFmtId="0" fontId="85" fillId="66" borderId="5" applyNumberFormat="0" applyAlignment="0" applyProtection="0"/>
    <xf numFmtId="0" fontId="85" fillId="66" borderId="74" applyNumberFormat="0" applyAlignment="0" applyProtection="0"/>
    <xf numFmtId="0" fontId="85" fillId="66" borderId="74" applyNumberFormat="0" applyAlignment="0" applyProtection="0"/>
    <xf numFmtId="0" fontId="85" fillId="66" borderId="5" applyNumberFormat="0" applyAlignment="0" applyProtection="0"/>
    <xf numFmtId="0" fontId="14" fillId="15" borderId="2" applyNumberFormat="0" applyAlignment="0" applyProtection="0"/>
    <xf numFmtId="0" fontId="14" fillId="10" borderId="2" applyNumberFormat="0" applyAlignment="0" applyProtection="0"/>
    <xf numFmtId="0" fontId="14" fillId="10" borderId="2" applyNumberFormat="0" applyAlignment="0" applyProtection="0"/>
    <xf numFmtId="0" fontId="14" fillId="15" borderId="2" applyNumberFormat="0" applyAlignment="0" applyProtection="0"/>
    <xf numFmtId="0" fontId="14" fillId="15" borderId="2" applyNumberFormat="0" applyAlignment="0" applyProtection="0"/>
    <xf numFmtId="164" fontId="1" fillId="0" borderId="0" applyFont="0" applyFill="0" applyBorder="0" applyAlignment="0" applyProtection="0"/>
    <xf numFmtId="0" fontId="1" fillId="70" borderId="80" applyNumberFormat="0" applyFont="0" applyAlignment="0" applyProtection="0"/>
    <xf numFmtId="0" fontId="1" fillId="70" borderId="80" applyNumberFormat="0" applyFont="0" applyAlignment="0" applyProtection="0"/>
    <xf numFmtId="0" fontId="1" fillId="70" borderId="80"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6"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912">
    <xf numFmtId="0" fontId="0" fillId="0" borderId="0" xfId="0"/>
    <xf numFmtId="0" fontId="20" fillId="0" borderId="0" xfId="0" applyFont="1"/>
    <xf numFmtId="0" fontId="24" fillId="0" borderId="0" xfId="0" applyFont="1"/>
    <xf numFmtId="0" fontId="20" fillId="27" borderId="0" xfId="0" applyFont="1" applyFill="1"/>
    <xf numFmtId="0" fontId="5" fillId="0" borderId="0" xfId="485" applyFont="1"/>
    <xf numFmtId="0" fontId="15" fillId="0" borderId="0" xfId="0" applyFont="1"/>
    <xf numFmtId="0" fontId="24" fillId="0" borderId="0" xfId="0" applyFont="1" applyAlignment="1">
      <alignment vertical="center"/>
    </xf>
    <xf numFmtId="0" fontId="20" fillId="0" borderId="0" xfId="0" applyFont="1" applyAlignment="1">
      <alignment horizontal="center"/>
    </xf>
    <xf numFmtId="0" fontId="20" fillId="0" borderId="0" xfId="0" applyFont="1" applyAlignment="1">
      <alignment horizontal="center" vertical="center"/>
    </xf>
    <xf numFmtId="0" fontId="4" fillId="0" borderId="0" xfId="0" applyFont="1"/>
    <xf numFmtId="0" fontId="22" fillId="0" borderId="0" xfId="0" applyFont="1"/>
    <xf numFmtId="0" fontId="6" fillId="0" borderId="0" xfId="0" applyFont="1"/>
    <xf numFmtId="0" fontId="7" fillId="0" borderId="0" xfId="0" applyFont="1"/>
    <xf numFmtId="0" fontId="4" fillId="0" borderId="0" xfId="485"/>
    <xf numFmtId="0" fontId="25" fillId="0" borderId="0" xfId="0" applyFont="1"/>
    <xf numFmtId="0" fontId="16" fillId="0" borderId="0" xfId="0" applyFont="1"/>
    <xf numFmtId="0" fontId="27" fillId="0" borderId="0" xfId="0" applyFont="1"/>
    <xf numFmtId="0" fontId="17" fillId="0" borderId="0" xfId="0" applyFont="1"/>
    <xf numFmtId="0" fontId="19" fillId="0" borderId="0" xfId="485" applyFont="1"/>
    <xf numFmtId="0" fontId="5" fillId="0" borderId="0" xfId="485" applyFont="1" applyAlignment="1">
      <alignment horizontal="left"/>
    </xf>
    <xf numFmtId="0" fontId="19" fillId="0" borderId="0" xfId="485" applyFont="1" applyAlignment="1">
      <alignment vertical="center"/>
    </xf>
    <xf numFmtId="0" fontId="24" fillId="27" borderId="0" xfId="0" applyFont="1" applyFill="1"/>
    <xf numFmtId="0" fontId="4" fillId="0" borderId="0" xfId="485" applyAlignment="1">
      <alignment horizontal="center"/>
    </xf>
    <xf numFmtId="0" fontId="4" fillId="0" borderId="0" xfId="0" applyFont="1" applyAlignment="1">
      <alignment wrapText="1"/>
    </xf>
    <xf numFmtId="0" fontId="21" fillId="0" borderId="0" xfId="0" applyFont="1"/>
    <xf numFmtId="0" fontId="15" fillId="0" borderId="19" xfId="0" applyFont="1" applyBorder="1" applyAlignment="1">
      <alignment horizontal="center" vertical="center" wrapText="1"/>
    </xf>
    <xf numFmtId="0" fontId="15" fillId="0" borderId="0" xfId="0" applyFont="1" applyAlignment="1">
      <alignment vertical="center"/>
    </xf>
    <xf numFmtId="1" fontId="26" fillId="28" borderId="20" xfId="0" applyNumberFormat="1" applyFont="1" applyFill="1" applyBorder="1" applyAlignment="1">
      <alignment horizontal="center" vertical="center" wrapText="1"/>
    </xf>
    <xf numFmtId="14" fontId="29" fillId="28" borderId="19" xfId="0" applyNumberFormat="1" applyFont="1" applyFill="1" applyBorder="1" applyAlignment="1">
      <alignment horizontal="center" vertical="center"/>
    </xf>
    <xf numFmtId="0" fontId="12" fillId="28" borderId="19" xfId="485" applyFont="1" applyFill="1" applyBorder="1" applyAlignment="1">
      <alignment vertical="center"/>
    </xf>
    <xf numFmtId="165" fontId="19" fillId="29" borderId="21" xfId="397" applyNumberFormat="1" applyFont="1" applyFill="1" applyBorder="1" applyAlignment="1" applyProtection="1">
      <alignment horizontal="center" vertical="center" wrapText="1"/>
    </xf>
    <xf numFmtId="0" fontId="24" fillId="30" borderId="21" xfId="0" applyFont="1" applyFill="1" applyBorder="1" applyAlignment="1">
      <alignment horizontal="center" vertical="center"/>
    </xf>
    <xf numFmtId="0" fontId="35" fillId="0" borderId="0" xfId="0" applyFont="1"/>
    <xf numFmtId="0" fontId="30" fillId="0" borderId="0" xfId="0" applyFont="1"/>
    <xf numFmtId="166" fontId="30" fillId="0" borderId="0" xfId="0" applyNumberFormat="1" applyFont="1"/>
    <xf numFmtId="0" fontId="24" fillId="31" borderId="21" xfId="0" applyFont="1" applyFill="1" applyBorder="1" applyAlignment="1">
      <alignment horizontal="center" vertical="center"/>
    </xf>
    <xf numFmtId="0" fontId="24" fillId="31" borderId="24" xfId="0" applyFont="1" applyFill="1" applyBorder="1" applyAlignment="1">
      <alignment horizontal="center" vertical="center"/>
    </xf>
    <xf numFmtId="0" fontId="43" fillId="0" borderId="0" xfId="0" applyFont="1"/>
    <xf numFmtId="0" fontId="44" fillId="0" borderId="0" xfId="0" applyFont="1"/>
    <xf numFmtId="49" fontId="20" fillId="0" borderId="0" xfId="0" applyNumberFormat="1" applyFont="1" applyAlignment="1">
      <alignment horizontal="center" vertical="center"/>
    </xf>
    <xf numFmtId="0" fontId="24" fillId="29" borderId="25" xfId="0" applyFont="1" applyFill="1" applyBorder="1" applyAlignment="1">
      <alignment horizontal="center" vertical="center" wrapText="1"/>
    </xf>
    <xf numFmtId="0" fontId="24" fillId="30" borderId="25" xfId="0" applyFont="1" applyFill="1" applyBorder="1" applyAlignment="1">
      <alignment horizontal="center" vertical="center"/>
    </xf>
    <xf numFmtId="0" fontId="17" fillId="0" borderId="0" xfId="0" applyFont="1" applyAlignment="1">
      <alignment horizontal="left" indent="1"/>
    </xf>
    <xf numFmtId="0" fontId="41" fillId="0" borderId="0" xfId="0" applyFont="1" applyAlignment="1">
      <alignment vertical="center"/>
    </xf>
    <xf numFmtId="0" fontId="41" fillId="0" borderId="0" xfId="0" applyFont="1"/>
    <xf numFmtId="0" fontId="71" fillId="0" borderId="0" xfId="0" applyFont="1"/>
    <xf numFmtId="0" fontId="8" fillId="0" borderId="0" xfId="0" applyFont="1"/>
    <xf numFmtId="0" fontId="15" fillId="0" borderId="22" xfId="0" applyFont="1" applyBorder="1"/>
    <xf numFmtId="9" fontId="26" fillId="0" borderId="19" xfId="397" applyFont="1" applyBorder="1" applyAlignment="1" applyProtection="1">
      <alignment horizontal="center" vertical="center"/>
    </xf>
    <xf numFmtId="9" fontId="15" fillId="0" borderId="19" xfId="397" applyFont="1" applyBorder="1" applyAlignment="1" applyProtection="1">
      <alignment horizontal="center" vertical="center"/>
    </xf>
    <xf numFmtId="167" fontId="15" fillId="0" borderId="19" xfId="397" applyNumberFormat="1" applyFont="1" applyBorder="1" applyAlignment="1" applyProtection="1">
      <alignment horizontal="center" vertical="center"/>
    </xf>
    <xf numFmtId="0" fontId="15" fillId="0" borderId="19" xfId="0" applyFont="1" applyBorder="1" applyAlignment="1">
      <alignment horizontal="center" vertical="center"/>
    </xf>
    <xf numFmtId="0" fontId="72" fillId="31" borderId="25" xfId="0" applyFont="1" applyFill="1" applyBorder="1" applyAlignment="1">
      <alignment horizontal="center" vertical="center"/>
    </xf>
    <xf numFmtId="0" fontId="72" fillId="31" borderId="27" xfId="0" applyFont="1" applyFill="1" applyBorder="1" applyAlignment="1">
      <alignment horizontal="center" vertical="center"/>
    </xf>
    <xf numFmtId="0" fontId="15" fillId="27" borderId="0" xfId="0" applyFont="1" applyFill="1" applyAlignment="1">
      <alignment horizontal="right" vertical="center"/>
    </xf>
    <xf numFmtId="0" fontId="15" fillId="27" borderId="0" xfId="0" applyFont="1" applyFill="1"/>
    <xf numFmtId="0" fontId="15" fillId="0" borderId="0" xfId="0" applyFont="1" applyAlignment="1">
      <alignment horizontal="right" vertical="center"/>
    </xf>
    <xf numFmtId="0" fontId="26" fillId="0" borderId="0" xfId="0" applyFont="1" applyAlignment="1">
      <alignment vertical="center"/>
    </xf>
    <xf numFmtId="0" fontId="18" fillId="0" borderId="28" xfId="0" applyFont="1" applyBorder="1"/>
    <xf numFmtId="0" fontId="18" fillId="0" borderId="29" xfId="0" applyFont="1" applyBorder="1"/>
    <xf numFmtId="0" fontId="15" fillId="0" borderId="28" xfId="0" applyFont="1" applyBorder="1" applyAlignment="1">
      <alignment vertical="center"/>
    </xf>
    <xf numFmtId="0" fontId="18" fillId="0" borderId="28" xfId="0" applyFont="1" applyBorder="1" applyAlignment="1">
      <alignment vertical="center"/>
    </xf>
    <xf numFmtId="0" fontId="15" fillId="0" borderId="22" xfId="0" applyFont="1" applyBorder="1" applyAlignment="1">
      <alignment vertical="center"/>
    </xf>
    <xf numFmtId="0" fontId="15" fillId="0" borderId="26" xfId="0" applyFont="1" applyBorder="1"/>
    <xf numFmtId="0" fontId="26" fillId="0" borderId="0" xfId="0" applyFont="1"/>
    <xf numFmtId="0" fontId="26" fillId="0" borderId="19" xfId="0" applyFont="1" applyBorder="1" applyAlignment="1">
      <alignment horizontal="center" vertical="center"/>
    </xf>
    <xf numFmtId="0" fontId="71" fillId="0" borderId="19" xfId="0" applyFont="1" applyBorder="1" applyAlignment="1">
      <alignment horizontal="center" vertical="center"/>
    </xf>
    <xf numFmtId="0" fontId="71" fillId="0" borderId="0" xfId="0" applyFont="1" applyAlignment="1">
      <alignment vertical="center"/>
    </xf>
    <xf numFmtId="0" fontId="74" fillId="0" borderId="19" xfId="0" applyFont="1" applyBorder="1" applyAlignment="1">
      <alignment horizontal="center" vertical="center" wrapText="1"/>
    </xf>
    <xf numFmtId="0" fontId="73" fillId="0" borderId="19" xfId="0" applyFont="1" applyBorder="1" applyAlignment="1">
      <alignment horizontal="left" vertical="center"/>
    </xf>
    <xf numFmtId="0" fontId="73" fillId="0" borderId="0" xfId="0" applyFont="1"/>
    <xf numFmtId="0" fontId="72" fillId="0" borderId="0" xfId="0" applyFont="1"/>
    <xf numFmtId="0" fontId="73" fillId="0" borderId="19" xfId="0" applyFont="1" applyBorder="1" applyAlignment="1">
      <alignment horizontal="center" vertical="center"/>
    </xf>
    <xf numFmtId="0" fontId="73" fillId="0" borderId="0" xfId="0" applyFont="1" applyAlignment="1">
      <alignment vertical="center"/>
    </xf>
    <xf numFmtId="0" fontId="73" fillId="0" borderId="19" xfId="0" applyFont="1" applyBorder="1" applyAlignment="1">
      <alignment vertical="center"/>
    </xf>
    <xf numFmtId="0" fontId="16" fillId="0" borderId="0" xfId="0" applyFont="1" applyAlignment="1">
      <alignment vertical="center"/>
    </xf>
    <xf numFmtId="49" fontId="15" fillId="0" borderId="0" xfId="0" applyNumberFormat="1" applyFont="1" applyAlignment="1">
      <alignment horizontal="center" vertical="center"/>
    </xf>
    <xf numFmtId="49" fontId="15" fillId="0" borderId="19" xfId="0" applyNumberFormat="1" applyFont="1" applyBorder="1" applyAlignment="1">
      <alignment horizontal="center" vertical="center"/>
    </xf>
    <xf numFmtId="165" fontId="8" fillId="29" borderId="21" xfId="397" applyNumberFormat="1" applyFont="1" applyFill="1" applyBorder="1" applyAlignment="1" applyProtection="1">
      <alignment horizontal="center" vertical="center" wrapText="1"/>
    </xf>
    <xf numFmtId="0" fontId="71" fillId="0" borderId="19" xfId="0" quotePrefix="1" applyFont="1" applyBorder="1" applyAlignment="1">
      <alignment vertical="center"/>
    </xf>
    <xf numFmtId="0" fontId="8" fillId="0" borderId="23" xfId="0" applyFont="1" applyBorder="1" applyAlignment="1">
      <alignment horizontal="center" vertical="center" wrapText="1"/>
    </xf>
    <xf numFmtId="0" fontId="15" fillId="0" borderId="30" xfId="0" applyFont="1" applyBorder="1" applyAlignment="1">
      <alignment vertical="center"/>
    </xf>
    <xf numFmtId="0" fontId="15" fillId="0" borderId="31" xfId="0" applyFont="1" applyBorder="1" applyAlignment="1">
      <alignment horizontal="center" vertical="center"/>
    </xf>
    <xf numFmtId="0" fontId="15" fillId="0" borderId="0" xfId="0" applyFont="1" applyAlignment="1">
      <alignment horizontal="center" vertical="center" wrapText="1"/>
    </xf>
    <xf numFmtId="0" fontId="75" fillId="0" borderId="19" xfId="0" applyFont="1" applyBorder="1" applyAlignment="1">
      <alignment horizontal="center" vertical="center" wrapText="1"/>
    </xf>
    <xf numFmtId="0" fontId="71" fillId="0" borderId="0" xfId="0" applyFont="1" applyAlignment="1">
      <alignment horizontal="center" vertical="center"/>
    </xf>
    <xf numFmtId="0" fontId="15" fillId="33" borderId="19" xfId="0" applyFont="1" applyFill="1" applyBorder="1" applyAlignment="1">
      <alignment horizontal="right" vertical="center"/>
    </xf>
    <xf numFmtId="0" fontId="71" fillId="33" borderId="19" xfId="0" applyFont="1" applyFill="1" applyBorder="1" applyAlignment="1">
      <alignment horizontal="center" vertical="center"/>
    </xf>
    <xf numFmtId="0" fontId="15" fillId="33" borderId="19" xfId="0" applyFont="1" applyFill="1" applyBorder="1" applyAlignment="1">
      <alignment horizontal="center" vertical="center"/>
    </xf>
    <xf numFmtId="0" fontId="15" fillId="34" borderId="19" xfId="0" applyFont="1" applyFill="1" applyBorder="1" applyAlignment="1">
      <alignment horizontal="right" vertical="center"/>
    </xf>
    <xf numFmtId="0" fontId="15" fillId="34" borderId="19" xfId="0" applyFont="1" applyFill="1" applyBorder="1" applyAlignment="1">
      <alignment horizontal="center" vertical="center"/>
    </xf>
    <xf numFmtId="0" fontId="15" fillId="30" borderId="19" xfId="0" applyFont="1" applyFill="1" applyBorder="1" applyAlignment="1">
      <alignment horizontal="right" vertical="center"/>
    </xf>
    <xf numFmtId="0" fontId="15" fillId="30" borderId="19" xfId="0" applyFont="1" applyFill="1" applyBorder="1" applyAlignment="1">
      <alignment horizontal="center" vertical="center"/>
    </xf>
    <xf numFmtId="1" fontId="73" fillId="0" borderId="0" xfId="0" applyNumberFormat="1" applyFont="1" applyAlignment="1">
      <alignment horizontal="center" vertical="center"/>
    </xf>
    <xf numFmtId="0" fontId="9" fillId="0" borderId="19" xfId="0" applyFont="1" applyBorder="1" applyAlignment="1">
      <alignment horizontal="center" vertical="center" wrapText="1"/>
    </xf>
    <xf numFmtId="0" fontId="5" fillId="0" borderId="0" xfId="485" applyFont="1" applyAlignment="1">
      <alignment vertical="center"/>
    </xf>
    <xf numFmtId="14" fontId="73" fillId="0" borderId="19" xfId="0" applyNumberFormat="1" applyFont="1" applyBorder="1" applyAlignment="1">
      <alignment horizontal="left" vertical="center"/>
    </xf>
    <xf numFmtId="0" fontId="24" fillId="0" borderId="19" xfId="0" applyFont="1" applyBorder="1" applyAlignment="1">
      <alignment horizontal="left" vertical="center"/>
    </xf>
    <xf numFmtId="0" fontId="16" fillId="0" borderId="19" xfId="0" applyFont="1" applyBorder="1" applyAlignment="1">
      <alignment horizontal="center" vertical="center"/>
    </xf>
    <xf numFmtId="0" fontId="73" fillId="0" borderId="0" xfId="0" applyFont="1" applyAlignment="1">
      <alignment horizontal="center" vertical="center"/>
    </xf>
    <xf numFmtId="0" fontId="15" fillId="0" borderId="0" xfId="0" applyFont="1" applyAlignment="1">
      <alignment horizontal="center" vertical="center"/>
    </xf>
    <xf numFmtId="167" fontId="26" fillId="0" borderId="19" xfId="0" applyNumberFormat="1" applyFont="1" applyBorder="1" applyAlignment="1">
      <alignment horizontal="center" vertical="center"/>
    </xf>
    <xf numFmtId="167" fontId="71" fillId="0" borderId="19" xfId="0" applyNumberFormat="1" applyFont="1" applyBorder="1" applyAlignment="1">
      <alignment horizontal="center" vertical="center"/>
    </xf>
    <xf numFmtId="0" fontId="15" fillId="34" borderId="21" xfId="0" applyFont="1" applyFill="1" applyBorder="1" applyAlignment="1">
      <alignment horizontal="center" vertical="center"/>
    </xf>
    <xf numFmtId="0" fontId="15" fillId="30" borderId="21" xfId="0" applyFont="1" applyFill="1" applyBorder="1" applyAlignment="1">
      <alignment horizontal="center" vertical="center"/>
    </xf>
    <xf numFmtId="0" fontId="15" fillId="36" borderId="21" xfId="0" applyFont="1" applyFill="1" applyBorder="1" applyAlignment="1">
      <alignment horizontal="center" vertical="center"/>
    </xf>
    <xf numFmtId="0" fontId="15" fillId="36" borderId="24" xfId="0" applyFont="1" applyFill="1" applyBorder="1" applyAlignment="1">
      <alignment horizontal="center" vertical="center"/>
    </xf>
    <xf numFmtId="0" fontId="45" fillId="0" borderId="0" xfId="0" applyFont="1" applyAlignment="1">
      <alignment vertical="center"/>
    </xf>
    <xf numFmtId="0" fontId="15" fillId="29" borderId="25" xfId="0" applyFont="1" applyFill="1" applyBorder="1" applyAlignment="1">
      <alignment horizontal="center" vertical="center" wrapText="1"/>
    </xf>
    <xf numFmtId="0" fontId="15" fillId="30" borderId="25" xfId="0" applyFont="1" applyFill="1" applyBorder="1" applyAlignment="1">
      <alignment horizontal="center" vertical="center"/>
    </xf>
    <xf numFmtId="0" fontId="15" fillId="36" borderId="25" xfId="0" applyFont="1" applyFill="1" applyBorder="1" applyAlignment="1">
      <alignment horizontal="center" vertical="center"/>
    </xf>
    <xf numFmtId="0" fontId="15" fillId="36" borderId="27" xfId="0" applyFont="1" applyFill="1" applyBorder="1" applyAlignment="1">
      <alignment horizontal="center" vertical="center"/>
    </xf>
    <xf numFmtId="0" fontId="8" fillId="0" borderId="0" xfId="0" applyFont="1" applyAlignment="1">
      <alignment vertical="center"/>
    </xf>
    <xf numFmtId="0" fontId="9" fillId="0" borderId="0" xfId="0" applyFont="1" applyAlignment="1">
      <alignment horizontal="center" vertical="center"/>
    </xf>
    <xf numFmtId="0" fontId="15" fillId="0" borderId="19" xfId="0" applyFont="1" applyBorder="1" applyAlignment="1">
      <alignment vertical="center"/>
    </xf>
    <xf numFmtId="0" fontId="26" fillId="0" borderId="19" xfId="0" applyFont="1" applyBorder="1" applyAlignment="1">
      <alignment vertical="center"/>
    </xf>
    <xf numFmtId="0" fontId="71" fillId="0" borderId="19" xfId="0" applyFont="1" applyBorder="1" applyAlignment="1">
      <alignment vertical="center"/>
    </xf>
    <xf numFmtId="0" fontId="71" fillId="0" borderId="19" xfId="0" applyFont="1" applyBorder="1" applyAlignment="1">
      <alignment horizontal="center"/>
    </xf>
    <xf numFmtId="0" fontId="71" fillId="0" borderId="19" xfId="0" applyFont="1" applyBorder="1"/>
    <xf numFmtId="0" fontId="74" fillId="0" borderId="19" xfId="0" applyFont="1" applyBorder="1" applyAlignment="1">
      <alignment horizontal="center" vertical="center"/>
    </xf>
    <xf numFmtId="0" fontId="8" fillId="0" borderId="19" xfId="0" applyFont="1" applyBorder="1" applyAlignment="1">
      <alignment horizontal="center" vertical="center" wrapText="1"/>
    </xf>
    <xf numFmtId="49" fontId="15" fillId="33" borderId="32" xfId="0" applyNumberFormat="1" applyFont="1" applyFill="1" applyBorder="1" applyAlignment="1">
      <alignment horizontal="center" vertical="center" wrapText="1"/>
    </xf>
    <xf numFmtId="0" fontId="15" fillId="29" borderId="33" xfId="0" applyFont="1" applyFill="1" applyBorder="1" applyAlignment="1">
      <alignment horizontal="center" vertical="center" wrapText="1"/>
    </xf>
    <xf numFmtId="0" fontId="15" fillId="29" borderId="32" xfId="0" applyFont="1" applyFill="1" applyBorder="1" applyAlignment="1">
      <alignment horizontal="center" vertical="center" wrapText="1"/>
    </xf>
    <xf numFmtId="0" fontId="8" fillId="0" borderId="19" xfId="0" applyFont="1" applyBorder="1" applyAlignment="1">
      <alignment vertical="center"/>
    </xf>
    <xf numFmtId="0" fontId="15" fillId="0" borderId="34" xfId="0" applyFont="1" applyBorder="1" applyAlignment="1">
      <alignment horizontal="center" vertical="center"/>
    </xf>
    <xf numFmtId="0" fontId="15" fillId="0" borderId="35" xfId="0" applyFont="1" applyBorder="1" applyAlignment="1">
      <alignment horizontal="center" vertical="center"/>
    </xf>
    <xf numFmtId="0" fontId="15" fillId="0" borderId="36" xfId="0" applyFont="1" applyBorder="1" applyAlignment="1">
      <alignment vertical="center"/>
    </xf>
    <xf numFmtId="0" fontId="15" fillId="34" borderId="25" xfId="0" applyFont="1" applyFill="1" applyBorder="1" applyAlignment="1">
      <alignment horizontal="center" vertical="center" wrapText="1"/>
    </xf>
    <xf numFmtId="0" fontId="72" fillId="0" borderId="0" xfId="0" applyFont="1" applyAlignment="1">
      <alignment horizontal="center"/>
    </xf>
    <xf numFmtId="0" fontId="76" fillId="0" borderId="19" xfId="0" applyFont="1" applyBorder="1" applyAlignment="1">
      <alignment horizontal="center" vertical="center" wrapText="1"/>
    </xf>
    <xf numFmtId="0" fontId="76" fillId="0" borderId="19" xfId="0" applyFont="1" applyBorder="1" applyAlignment="1">
      <alignment horizontal="center" vertical="center"/>
    </xf>
    <xf numFmtId="0" fontId="8" fillId="0" borderId="37" xfId="0" applyFont="1" applyBorder="1" applyAlignment="1">
      <alignment vertical="center"/>
    </xf>
    <xf numFmtId="0" fontId="15" fillId="0" borderId="37" xfId="0" applyFont="1" applyBorder="1" applyAlignment="1">
      <alignment vertical="center"/>
    </xf>
    <xf numFmtId="0" fontId="15" fillId="0" borderId="39" xfId="0" applyFont="1" applyBorder="1" applyAlignment="1">
      <alignment horizontal="center" vertical="center"/>
    </xf>
    <xf numFmtId="0" fontId="8" fillId="0" borderId="0" xfId="0" applyFont="1" applyAlignment="1">
      <alignment horizontal="center" vertical="center"/>
    </xf>
    <xf numFmtId="0" fontId="8" fillId="0" borderId="40" xfId="0" applyFont="1" applyBorder="1" applyAlignment="1">
      <alignment horizontal="center" vertical="center"/>
    </xf>
    <xf numFmtId="0" fontId="8" fillId="0" borderId="36" xfId="0" applyFont="1" applyBorder="1" applyAlignment="1">
      <alignment horizontal="center" vertical="center"/>
    </xf>
    <xf numFmtId="0" fontId="8" fillId="0" borderId="26" xfId="0" applyFont="1" applyBorder="1" applyAlignment="1">
      <alignment horizontal="center" vertical="center"/>
    </xf>
    <xf numFmtId="0" fontId="8" fillId="0" borderId="19" xfId="0" applyFont="1" applyBorder="1" applyAlignment="1">
      <alignment horizontal="center" vertical="center"/>
    </xf>
    <xf numFmtId="0" fontId="8" fillId="0" borderId="41" xfId="0" applyFont="1" applyBorder="1" applyAlignment="1">
      <alignment horizontal="center" vertical="center"/>
    </xf>
    <xf numFmtId="0" fontId="8" fillId="0" borderId="30" xfId="0" applyFont="1" applyBorder="1" applyAlignment="1">
      <alignment horizontal="center" vertical="center"/>
    </xf>
    <xf numFmtId="0" fontId="8" fillId="0" borderId="37" xfId="0" applyFont="1" applyBorder="1" applyAlignment="1">
      <alignment horizontal="center" vertical="center"/>
    </xf>
    <xf numFmtId="0" fontId="20" fillId="0" borderId="0" xfId="0" applyFont="1" applyAlignment="1">
      <alignment horizontal="justify"/>
    </xf>
    <xf numFmtId="10" fontId="71" fillId="0" borderId="19" xfId="0" applyNumberFormat="1" applyFont="1" applyBorder="1" applyAlignment="1">
      <alignment horizontal="center" vertical="center"/>
    </xf>
    <xf numFmtId="1" fontId="71" fillId="0" borderId="19" xfId="0" applyNumberFormat="1" applyFont="1" applyBorder="1" applyAlignment="1">
      <alignment horizontal="center" vertical="center"/>
    </xf>
    <xf numFmtId="9" fontId="71" fillId="0" borderId="19" xfId="0" applyNumberFormat="1" applyFont="1" applyBorder="1" applyAlignment="1">
      <alignment horizontal="center" vertical="center" wrapText="1"/>
    </xf>
    <xf numFmtId="9" fontId="71" fillId="0" borderId="19" xfId="0" applyNumberFormat="1" applyFont="1" applyBorder="1" applyAlignment="1">
      <alignment horizontal="center" vertical="center"/>
    </xf>
    <xf numFmtId="0" fontId="71" fillId="0" borderId="0" xfId="0" applyFont="1" applyAlignment="1">
      <alignment horizontal="left" vertical="center" wrapText="1"/>
    </xf>
    <xf numFmtId="0" fontId="71" fillId="0" borderId="19" xfId="0" applyFont="1" applyBorder="1" applyAlignment="1">
      <alignment horizontal="left" vertical="center" wrapText="1"/>
    </xf>
    <xf numFmtId="0" fontId="71" fillId="0" borderId="19" xfId="0" applyFont="1" applyBorder="1" applyAlignment="1">
      <alignment horizontal="left" vertical="center"/>
    </xf>
    <xf numFmtId="0" fontId="75" fillId="0" borderId="0" xfId="0" applyFont="1" applyAlignment="1">
      <alignment horizontal="left" vertical="center"/>
    </xf>
    <xf numFmtId="0" fontId="26" fillId="0" borderId="19" xfId="0" applyFont="1" applyBorder="1" applyAlignment="1">
      <alignment horizontal="left" vertical="center" wrapText="1"/>
    </xf>
    <xf numFmtId="0" fontId="71" fillId="0" borderId="0" xfId="0" applyFont="1" applyAlignment="1">
      <alignment horizontal="center" vertical="center" wrapText="1"/>
    </xf>
    <xf numFmtId="0" fontId="71" fillId="0" borderId="0" xfId="0" applyFont="1" applyAlignment="1">
      <alignment horizontal="left" vertical="center"/>
    </xf>
    <xf numFmtId="0" fontId="26" fillId="0" borderId="19" xfId="0" applyFont="1" applyBorder="1" applyAlignment="1">
      <alignment horizontal="center" vertical="center" wrapText="1"/>
    </xf>
    <xf numFmtId="0" fontId="23" fillId="0" borderId="0" xfId="0" applyFont="1" applyAlignment="1">
      <alignment vertical="top"/>
    </xf>
    <xf numFmtId="0" fontId="29" fillId="0" borderId="0" xfId="0" applyFont="1" applyAlignment="1">
      <alignment vertical="center"/>
    </xf>
    <xf numFmtId="1" fontId="15" fillId="27" borderId="19" xfId="0" applyNumberFormat="1" applyFont="1" applyFill="1" applyBorder="1" applyAlignment="1">
      <alignment horizontal="center" vertical="center"/>
    </xf>
    <xf numFmtId="1" fontId="15" fillId="32" borderId="19" xfId="0" applyNumberFormat="1" applyFont="1" applyFill="1" applyBorder="1" applyAlignment="1" applyProtection="1">
      <alignment horizontal="center" vertical="center"/>
      <protection locked="0"/>
    </xf>
    <xf numFmtId="10" fontId="26" fillId="27" borderId="20" xfId="397" applyNumberFormat="1" applyFont="1" applyFill="1" applyBorder="1" applyAlignment="1" applyProtection="1">
      <alignment horizontal="center" vertical="center" wrapText="1"/>
    </xf>
    <xf numFmtId="10" fontId="26" fillId="0" borderId="19" xfId="397" applyNumberFormat="1" applyFont="1" applyFill="1" applyBorder="1" applyAlignment="1" applyProtection="1">
      <alignment horizontal="center" vertical="center"/>
    </xf>
    <xf numFmtId="1" fontId="20" fillId="0" borderId="0" xfId="0" applyNumberFormat="1" applyFont="1"/>
    <xf numFmtId="1" fontId="8" fillId="32" borderId="19" xfId="397" quotePrefix="1" applyNumberFormat="1" applyFont="1" applyFill="1" applyBorder="1" applyAlignment="1" applyProtection="1">
      <alignment horizontal="center" vertical="center"/>
      <protection locked="0"/>
    </xf>
    <xf numFmtId="0" fontId="8" fillId="0" borderId="27" xfId="0" applyFont="1" applyBorder="1" applyAlignment="1">
      <alignment horizontal="center" vertical="center"/>
    </xf>
    <xf numFmtId="0" fontId="8" fillId="0" borderId="27" xfId="0" applyFont="1" applyBorder="1" applyAlignment="1">
      <alignment vertical="center"/>
    </xf>
    <xf numFmtId="0" fontId="15" fillId="0" borderId="27" xfId="0" applyFont="1" applyBorder="1" applyAlignment="1">
      <alignment vertical="center"/>
    </xf>
    <xf numFmtId="0" fontId="15" fillId="0" borderId="44" xfId="0" applyFont="1" applyBorder="1" applyAlignment="1">
      <alignment horizontal="center" vertical="center"/>
    </xf>
    <xf numFmtId="0" fontId="15" fillId="29" borderId="43" xfId="0" applyFont="1" applyFill="1" applyBorder="1" applyAlignment="1">
      <alignment horizontal="center" vertical="center" wrapText="1"/>
    </xf>
    <xf numFmtId="49" fontId="15" fillId="33" borderId="43" xfId="0" applyNumberFormat="1" applyFont="1" applyFill="1" applyBorder="1" applyAlignment="1">
      <alignment horizontal="center" vertical="center" wrapText="1"/>
    </xf>
    <xf numFmtId="49" fontId="15" fillId="33" borderId="33" xfId="0" applyNumberFormat="1" applyFont="1" applyFill="1" applyBorder="1" applyAlignment="1">
      <alignment horizontal="center" vertical="center" wrapText="1"/>
    </xf>
    <xf numFmtId="0" fontId="73" fillId="0" borderId="19" xfId="0" applyFont="1" applyBorder="1" applyAlignment="1">
      <alignment horizontal="left" vertical="center" wrapText="1"/>
    </xf>
    <xf numFmtId="0" fontId="74" fillId="0" borderId="0" xfId="0" applyFont="1" applyAlignment="1">
      <alignment horizontal="center" vertical="center" wrapText="1"/>
    </xf>
    <xf numFmtId="0" fontId="73" fillId="0" borderId="0" xfId="0" applyFont="1" applyAlignment="1">
      <alignment horizontal="right" vertical="center" wrapText="1"/>
    </xf>
    <xf numFmtId="0" fontId="71" fillId="0" borderId="0" xfId="0" quotePrefix="1" applyFont="1"/>
    <xf numFmtId="2" fontId="71" fillId="0" borderId="19" xfId="0" applyNumberFormat="1" applyFont="1" applyBorder="1" applyAlignment="1">
      <alignment horizontal="center" vertical="center"/>
    </xf>
    <xf numFmtId="0" fontId="26" fillId="37" borderId="19" xfId="0" applyFont="1" applyFill="1" applyBorder="1" applyAlignment="1">
      <alignment vertical="center"/>
    </xf>
    <xf numFmtId="0" fontId="15" fillId="37" borderId="19" xfId="0" applyFont="1" applyFill="1" applyBorder="1" applyAlignment="1">
      <alignment vertical="center"/>
    </xf>
    <xf numFmtId="0" fontId="71" fillId="37" borderId="0" xfId="0" applyFont="1" applyFill="1" applyAlignment="1">
      <alignment vertical="center"/>
    </xf>
    <xf numFmtId="0" fontId="15" fillId="37" borderId="0" xfId="0" applyFont="1" applyFill="1" applyAlignment="1">
      <alignment vertical="center"/>
    </xf>
    <xf numFmtId="0" fontId="8" fillId="0" borderId="45" xfId="0" applyFont="1" applyBorder="1" applyAlignment="1">
      <alignment vertical="center"/>
    </xf>
    <xf numFmtId="0" fontId="8" fillId="0" borderId="46" xfId="0" applyFont="1" applyBorder="1" applyAlignment="1">
      <alignment horizontal="center" vertical="center"/>
    </xf>
    <xf numFmtId="0" fontId="8" fillId="0" borderId="47" xfId="0" applyFont="1" applyBorder="1" applyAlignment="1">
      <alignment horizontal="center" vertical="center"/>
    </xf>
    <xf numFmtId="0" fontId="8" fillId="0" borderId="48" xfId="0" applyFont="1" applyBorder="1" applyAlignment="1">
      <alignment horizontal="center" vertical="center"/>
    </xf>
    <xf numFmtId="0" fontId="8" fillId="0" borderId="49" xfId="0" applyFont="1" applyBorder="1" applyAlignment="1">
      <alignment horizontal="center" vertical="center"/>
    </xf>
    <xf numFmtId="0" fontId="15" fillId="30" borderId="50" xfId="0" applyFont="1" applyFill="1" applyBorder="1" applyAlignment="1">
      <alignment horizontal="center" vertical="center" wrapText="1"/>
    </xf>
    <xf numFmtId="0" fontId="15" fillId="0" borderId="19" xfId="0" applyFont="1" applyBorder="1" applyAlignment="1">
      <alignment horizontal="left" vertical="center"/>
    </xf>
    <xf numFmtId="167" fontId="71" fillId="0" borderId="19" xfId="0" quotePrefix="1" applyNumberFormat="1" applyFont="1" applyBorder="1" applyAlignment="1">
      <alignment vertical="center"/>
    </xf>
    <xf numFmtId="10" fontId="30" fillId="0" borderId="0" xfId="0" applyNumberFormat="1" applyFont="1"/>
    <xf numFmtId="167" fontId="71" fillId="0" borderId="19" xfId="0" applyNumberFormat="1" applyFont="1" applyBorder="1" applyAlignment="1">
      <alignment horizontal="center" vertical="center" wrapText="1"/>
    </xf>
    <xf numFmtId="0" fontId="20" fillId="0" borderId="19" xfId="0" applyFont="1" applyBorder="1" applyAlignment="1">
      <alignment horizontal="center" vertical="center"/>
    </xf>
    <xf numFmtId="1" fontId="20" fillId="0" borderId="19" xfId="0" applyNumberFormat="1" applyFont="1" applyBorder="1" applyAlignment="1">
      <alignment horizontal="center" vertical="center"/>
    </xf>
    <xf numFmtId="0" fontId="15" fillId="29" borderId="20" xfId="0" applyFont="1" applyFill="1" applyBorder="1" applyAlignment="1">
      <alignment horizontal="center" vertical="center" wrapText="1"/>
    </xf>
    <xf numFmtId="1" fontId="15" fillId="32" borderId="34" xfId="0" applyNumberFormat="1" applyFont="1" applyFill="1" applyBorder="1" applyAlignment="1" applyProtection="1">
      <alignment horizontal="center" vertical="center"/>
      <protection locked="0"/>
    </xf>
    <xf numFmtId="1" fontId="15" fillId="27" borderId="30" xfId="0" applyNumberFormat="1" applyFont="1" applyFill="1" applyBorder="1" applyAlignment="1">
      <alignment horizontal="center" vertical="center"/>
    </xf>
    <xf numFmtId="0" fontId="31" fillId="0" borderId="53" xfId="0" applyFont="1" applyBorder="1" applyAlignment="1">
      <alignment horizontal="center" vertical="center" wrapText="1"/>
    </xf>
    <xf numFmtId="0" fontId="31" fillId="0" borderId="54" xfId="0" applyFont="1" applyBorder="1" applyAlignment="1">
      <alignment horizontal="center" vertical="center" wrapText="1"/>
    </xf>
    <xf numFmtId="0" fontId="11" fillId="0" borderId="47" xfId="0" applyFont="1" applyBorder="1" applyAlignment="1">
      <alignment horizontal="center" vertical="center"/>
    </xf>
    <xf numFmtId="0" fontId="11" fillId="0" borderId="48" xfId="0" applyFont="1" applyBorder="1" applyAlignment="1">
      <alignment horizontal="center" vertical="center"/>
    </xf>
    <xf numFmtId="1" fontId="8" fillId="32" borderId="47" xfId="0" applyNumberFormat="1" applyFont="1" applyFill="1" applyBorder="1" applyAlignment="1" applyProtection="1">
      <alignment horizontal="center" vertical="center"/>
      <protection locked="0"/>
    </xf>
    <xf numFmtId="10" fontId="26" fillId="27" borderId="34" xfId="0" applyNumberFormat="1" applyFont="1" applyFill="1" applyBorder="1" applyAlignment="1">
      <alignment horizontal="center" vertical="center"/>
    </xf>
    <xf numFmtId="1" fontId="8" fillId="32" borderId="48" xfId="0" applyNumberFormat="1" applyFont="1" applyFill="1" applyBorder="1" applyAlignment="1" applyProtection="1">
      <alignment horizontal="center" vertical="center"/>
      <protection locked="0"/>
    </xf>
    <xf numFmtId="1" fontId="15" fillId="32" borderId="30" xfId="0" applyNumberFormat="1" applyFont="1" applyFill="1" applyBorder="1" applyAlignment="1" applyProtection="1">
      <alignment horizontal="center" vertical="center"/>
      <protection locked="0"/>
    </xf>
    <xf numFmtId="10" fontId="26" fillId="27" borderId="31" xfId="0" applyNumberFormat="1" applyFont="1" applyFill="1" applyBorder="1" applyAlignment="1">
      <alignment horizontal="center" vertical="center"/>
    </xf>
    <xf numFmtId="1" fontId="8" fillId="0" borderId="47" xfId="0" applyNumberFormat="1" applyFont="1" applyBorder="1" applyAlignment="1">
      <alignment horizontal="center" vertical="center"/>
    </xf>
    <xf numFmtId="1" fontId="8" fillId="0" borderId="48" xfId="0" applyNumberFormat="1" applyFont="1" applyBorder="1" applyAlignment="1">
      <alignment horizontal="center" vertical="center"/>
    </xf>
    <xf numFmtId="1" fontId="8" fillId="32" borderId="30" xfId="397" quotePrefix="1" applyNumberFormat="1" applyFont="1" applyFill="1" applyBorder="1" applyAlignment="1" applyProtection="1">
      <alignment horizontal="center" vertical="center"/>
      <protection locked="0"/>
    </xf>
    <xf numFmtId="1" fontId="15" fillId="32" borderId="31" xfId="0" applyNumberFormat="1" applyFont="1" applyFill="1" applyBorder="1" applyAlignment="1" applyProtection="1">
      <alignment horizontal="center" vertical="center"/>
      <protection locked="0"/>
    </xf>
    <xf numFmtId="0" fontId="9" fillId="0" borderId="57" xfId="0" applyFont="1" applyBorder="1" applyAlignment="1">
      <alignment horizontal="center" vertical="center" wrapText="1"/>
    </xf>
    <xf numFmtId="0" fontId="9" fillId="0" borderId="58" xfId="0" applyFont="1" applyBorder="1" applyAlignment="1">
      <alignment horizontal="center" vertical="center" wrapText="1"/>
    </xf>
    <xf numFmtId="0" fontId="9" fillId="0" borderId="59" xfId="0" applyFont="1" applyBorder="1" applyAlignment="1">
      <alignment horizontal="center" vertical="center" wrapText="1"/>
    </xf>
    <xf numFmtId="0" fontId="8" fillId="71" borderId="19" xfId="0" applyFont="1" applyFill="1" applyBorder="1" applyAlignment="1">
      <alignment horizontal="center" textRotation="90" wrapText="1"/>
    </xf>
    <xf numFmtId="0" fontId="8" fillId="72" borderId="19" xfId="0" applyFont="1" applyFill="1" applyBorder="1" applyAlignment="1">
      <alignment horizontal="center" textRotation="90" wrapText="1"/>
    </xf>
    <xf numFmtId="0" fontId="9" fillId="0" borderId="60" xfId="0" applyFont="1" applyBorder="1" applyAlignment="1">
      <alignment textRotation="90" wrapText="1"/>
    </xf>
    <xf numFmtId="0" fontId="9" fillId="0" borderId="18" xfId="0" applyFont="1" applyBorder="1" applyAlignment="1">
      <alignment horizontal="center" wrapText="1"/>
    </xf>
    <xf numFmtId="0" fontId="9" fillId="0" borderId="57" xfId="0" applyFont="1" applyBorder="1" applyAlignment="1">
      <alignment horizontal="center" wrapText="1"/>
    </xf>
    <xf numFmtId="0" fontId="9" fillId="0" borderId="61" xfId="0" applyFont="1" applyBorder="1" applyAlignment="1">
      <alignment horizontal="center" vertical="center" wrapText="1"/>
    </xf>
    <xf numFmtId="1" fontId="8" fillId="0" borderId="26" xfId="0" applyNumberFormat="1" applyFont="1" applyBorder="1" applyAlignment="1">
      <alignment horizontal="center" vertical="center"/>
    </xf>
    <xf numFmtId="1" fontId="8" fillId="0" borderId="41" xfId="0" applyNumberFormat="1" applyFont="1" applyBorder="1" applyAlignment="1">
      <alignment horizontal="center" vertical="center"/>
    </xf>
    <xf numFmtId="0" fontId="17" fillId="0" borderId="0" xfId="0" applyFont="1" applyAlignment="1">
      <alignment vertical="center"/>
    </xf>
    <xf numFmtId="0" fontId="73" fillId="73" borderId="0" xfId="0" applyFont="1" applyFill="1" applyAlignment="1">
      <alignment horizontal="center" vertical="center"/>
    </xf>
    <xf numFmtId="0" fontId="8" fillId="0" borderId="55" xfId="0" applyFont="1" applyBorder="1" applyAlignment="1">
      <alignment horizontal="center" vertical="center"/>
    </xf>
    <xf numFmtId="0" fontId="16" fillId="0" borderId="19" xfId="496" applyFont="1" applyBorder="1" applyAlignment="1">
      <alignment vertical="center"/>
    </xf>
    <xf numFmtId="0" fontId="73" fillId="0" borderId="19" xfId="0" applyFont="1" applyBorder="1"/>
    <xf numFmtId="0" fontId="71" fillId="75" borderId="19" xfId="0" applyFont="1" applyFill="1" applyBorder="1" applyAlignment="1">
      <alignment horizontal="center" vertical="center"/>
    </xf>
    <xf numFmtId="2" fontId="71" fillId="75" borderId="19" xfId="0" applyNumberFormat="1" applyFont="1" applyFill="1" applyBorder="1" applyAlignment="1">
      <alignment horizontal="center" vertical="center"/>
    </xf>
    <xf numFmtId="0" fontId="71" fillId="0" borderId="19" xfId="0" applyFont="1" applyBorder="1" applyAlignment="1">
      <alignment horizontal="center" vertical="center" wrapText="1"/>
    </xf>
    <xf numFmtId="0" fontId="71" fillId="37" borderId="19" xfId="0" applyFont="1" applyFill="1" applyBorder="1" applyAlignment="1">
      <alignment horizontal="center" vertical="center" wrapText="1"/>
    </xf>
    <xf numFmtId="0" fontId="9" fillId="0" borderId="82" xfId="0" applyFont="1" applyBorder="1" applyAlignment="1">
      <alignment horizontal="center" vertical="center" wrapText="1"/>
    </xf>
    <xf numFmtId="1" fontId="15" fillId="32" borderId="23" xfId="0" applyNumberFormat="1" applyFont="1" applyFill="1" applyBorder="1" applyAlignment="1" applyProtection="1">
      <alignment horizontal="center" vertical="center"/>
      <protection locked="0"/>
    </xf>
    <xf numFmtId="1" fontId="15" fillId="27" borderId="83" xfId="0" applyNumberFormat="1" applyFont="1" applyFill="1" applyBorder="1" applyAlignment="1">
      <alignment horizontal="center" vertical="center"/>
    </xf>
    <xf numFmtId="0" fontId="15" fillId="0" borderId="0" xfId="0" quotePrefix="1" applyFont="1" applyAlignment="1">
      <alignment horizontal="center" vertical="center"/>
    </xf>
    <xf numFmtId="0" fontId="105" fillId="0" borderId="0" xfId="0" applyFont="1"/>
    <xf numFmtId="0" fontId="105" fillId="37" borderId="0" xfId="0" applyFont="1" applyFill="1" applyAlignment="1">
      <alignment horizontal="center" vertical="center"/>
    </xf>
    <xf numFmtId="0" fontId="105" fillId="0" borderId="0" xfId="0" applyFont="1" applyAlignment="1">
      <alignment horizontal="left"/>
    </xf>
    <xf numFmtId="0" fontId="107" fillId="0" borderId="0" xfId="0" applyFont="1"/>
    <xf numFmtId="0" fontId="105" fillId="0" borderId="0" xfId="0" applyFont="1" applyAlignment="1">
      <alignment horizontal="center"/>
    </xf>
    <xf numFmtId="0" fontId="106" fillId="0" borderId="0" xfId="0" applyFont="1"/>
    <xf numFmtId="0" fontId="108" fillId="0" borderId="0" xfId="485" applyFont="1" applyAlignment="1">
      <alignment horizontal="left" vertical="center"/>
    </xf>
    <xf numFmtId="0" fontId="110" fillId="0" borderId="0" xfId="485" applyFont="1" applyAlignment="1">
      <alignment horizontal="left"/>
    </xf>
    <xf numFmtId="0" fontId="111" fillId="0" borderId="0" xfId="0" applyFont="1"/>
    <xf numFmtId="14" fontId="112" fillId="28" borderId="19" xfId="0" applyNumberFormat="1" applyFont="1" applyFill="1" applyBorder="1" applyAlignment="1">
      <alignment horizontal="center" vertical="center"/>
    </xf>
    <xf numFmtId="0" fontId="113" fillId="37" borderId="19" xfId="0" applyFont="1" applyFill="1" applyBorder="1" applyAlignment="1">
      <alignment horizontal="center" vertical="center"/>
    </xf>
    <xf numFmtId="0" fontId="114" fillId="0" borderId="0" xfId="0" applyFont="1" applyAlignment="1">
      <alignment horizontal="left" vertical="top"/>
    </xf>
    <xf numFmtId="0" fontId="113" fillId="0" borderId="0" xfId="0" applyFont="1"/>
    <xf numFmtId="0" fontId="118" fillId="0" borderId="24" xfId="0" applyFont="1" applyBorder="1" applyAlignment="1">
      <alignment horizontal="center" vertical="center" wrapText="1"/>
    </xf>
    <xf numFmtId="0" fontId="115" fillId="0" borderId="21" xfId="0" applyFont="1" applyBorder="1" applyAlignment="1">
      <alignment horizontal="center" vertical="center" wrapText="1"/>
    </xf>
    <xf numFmtId="0" fontId="115" fillId="0" borderId="24" xfId="0" applyFont="1" applyBorder="1" applyAlignment="1">
      <alignment horizontal="center" vertical="center" wrapText="1"/>
    </xf>
    <xf numFmtId="0" fontId="114" fillId="0" borderId="0" xfId="0" applyFont="1" applyAlignment="1">
      <alignment horizontal="center" vertical="center" wrapText="1"/>
    </xf>
    <xf numFmtId="0" fontId="114" fillId="0" borderId="0" xfId="0" applyFont="1" applyAlignment="1">
      <alignment horizontal="left" vertical="center" wrapText="1"/>
    </xf>
    <xf numFmtId="9" fontId="114" fillId="0" borderId="0" xfId="0" applyNumberFormat="1" applyFont="1" applyAlignment="1">
      <alignment horizontal="center" vertical="center" wrapText="1"/>
    </xf>
    <xf numFmtId="10" fontId="114" fillId="0" borderId="0" xfId="0" applyNumberFormat="1" applyFont="1" applyAlignment="1">
      <alignment horizontal="center" vertical="center" wrapText="1"/>
    </xf>
    <xf numFmtId="0" fontId="114" fillId="0" borderId="0" xfId="0" applyFont="1" applyAlignment="1">
      <alignment vertical="center" wrapText="1"/>
    </xf>
    <xf numFmtId="0" fontId="113" fillId="0" borderId="0" xfId="0" quotePrefix="1" applyFont="1"/>
    <xf numFmtId="0" fontId="119" fillId="0" borderId="0" xfId="0" applyFont="1" applyAlignment="1">
      <alignment wrapText="1"/>
    </xf>
    <xf numFmtId="0" fontId="119" fillId="0" borderId="0" xfId="0" applyFont="1"/>
    <xf numFmtId="0" fontId="113" fillId="0" borderId="0" xfId="0" applyFont="1" applyAlignment="1">
      <alignment horizontal="left"/>
    </xf>
    <xf numFmtId="0" fontId="120" fillId="0" borderId="0" xfId="0" applyFont="1"/>
    <xf numFmtId="0" fontId="121" fillId="0" borderId="0" xfId="0" applyFont="1"/>
    <xf numFmtId="0" fontId="122" fillId="0" borderId="0" xfId="0" applyFont="1"/>
    <xf numFmtId="165" fontId="123" fillId="0" borderId="0" xfId="397" applyNumberFormat="1" applyFont="1" applyFill="1" applyBorder="1" applyAlignment="1" applyProtection="1">
      <alignment horizontal="center" wrapText="1"/>
    </xf>
    <xf numFmtId="0" fontId="123" fillId="0" borderId="0" xfId="0" applyFont="1" applyAlignment="1">
      <alignment wrapText="1"/>
    </xf>
    <xf numFmtId="0" fontId="120" fillId="0" borderId="19" xfId="0" applyFont="1" applyBorder="1" applyAlignment="1">
      <alignment horizontal="center"/>
    </xf>
    <xf numFmtId="0" fontId="121" fillId="0" borderId="0" xfId="0" applyFont="1" applyAlignment="1">
      <alignment horizontal="center"/>
    </xf>
    <xf numFmtId="1" fontId="120" fillId="0" borderId="19" xfId="0" applyNumberFormat="1" applyFont="1" applyBorder="1" applyAlignment="1">
      <alignment horizontal="center"/>
    </xf>
    <xf numFmtId="49" fontId="121" fillId="0" borderId="19" xfId="0" applyNumberFormat="1" applyFont="1" applyBorder="1" applyAlignment="1">
      <alignment horizontal="center"/>
    </xf>
    <xf numFmtId="0" fontId="121" fillId="0" borderId="19" xfId="0" applyFont="1" applyBorder="1" applyAlignment="1">
      <alignment horizontal="center"/>
    </xf>
    <xf numFmtId="9" fontId="121" fillId="0" borderId="19" xfId="425" applyFont="1" applyBorder="1" applyAlignment="1" applyProtection="1">
      <alignment horizontal="center"/>
    </xf>
    <xf numFmtId="1" fontId="121" fillId="0" borderId="19" xfId="425" applyNumberFormat="1" applyFont="1" applyBorder="1" applyAlignment="1" applyProtection="1">
      <alignment horizontal="center"/>
    </xf>
    <xf numFmtId="0" fontId="121" fillId="0" borderId="19" xfId="0" applyFont="1" applyBorder="1"/>
    <xf numFmtId="9" fontId="121" fillId="27" borderId="19" xfId="425" applyFont="1" applyFill="1" applyBorder="1" applyAlignment="1" applyProtection="1">
      <alignment horizontal="center"/>
    </xf>
    <xf numFmtId="10" fontId="121" fillId="0" borderId="19" xfId="425" applyNumberFormat="1" applyFont="1" applyBorder="1" applyAlignment="1" applyProtection="1">
      <alignment horizontal="center"/>
    </xf>
    <xf numFmtId="0" fontId="121" fillId="0" borderId="0" xfId="0" applyFont="1" applyAlignment="1">
      <alignment horizontal="left"/>
    </xf>
    <xf numFmtId="0" fontId="121" fillId="0" borderId="0" xfId="289" applyNumberFormat="1" applyFont="1" applyProtection="1"/>
    <xf numFmtId="0" fontId="126" fillId="0" borderId="0" xfId="0" applyFont="1" applyAlignment="1">
      <alignment horizontal="left" vertical="center"/>
    </xf>
    <xf numFmtId="0" fontId="128" fillId="27" borderId="0" xfId="485" applyFont="1" applyFill="1" applyAlignment="1">
      <alignment horizontal="center" vertical="center" wrapText="1"/>
    </xf>
    <xf numFmtId="0" fontId="121" fillId="77" borderId="0" xfId="0" applyFont="1" applyFill="1"/>
    <xf numFmtId="0" fontId="4" fillId="0" borderId="0" xfId="485" applyAlignment="1">
      <alignment vertical="center"/>
    </xf>
    <xf numFmtId="0" fontId="17" fillId="27" borderId="0" xfId="0" applyFont="1" applyFill="1" applyAlignment="1">
      <alignment horizontal="center" vertical="center" wrapText="1"/>
    </xf>
    <xf numFmtId="0" fontId="124" fillId="0" borderId="0" xfId="0" applyFont="1"/>
    <xf numFmtId="0" fontId="24" fillId="0" borderId="0" xfId="0" quotePrefix="1" applyFont="1"/>
    <xf numFmtId="0" fontId="15" fillId="27" borderId="26" xfId="0" applyFont="1" applyFill="1" applyBorder="1" applyAlignment="1">
      <alignment horizontal="center" vertical="center" wrapText="1"/>
    </xf>
    <xf numFmtId="0" fontId="17" fillId="0" borderId="0" xfId="0" applyFont="1" applyAlignment="1">
      <alignment horizontal="center" vertical="center" wrapText="1"/>
    </xf>
    <xf numFmtId="0" fontId="8" fillId="0" borderId="22" xfId="0" applyFont="1" applyBorder="1" applyAlignment="1">
      <alignment horizontal="center" vertical="center" wrapText="1"/>
    </xf>
    <xf numFmtId="0" fontId="8" fillId="27" borderId="19" xfId="0" applyFont="1" applyFill="1" applyBorder="1" applyAlignment="1">
      <alignment horizontal="center" vertical="center" wrapText="1"/>
    </xf>
    <xf numFmtId="0" fontId="9" fillId="0" borderId="21" xfId="485" applyFont="1" applyBorder="1"/>
    <xf numFmtId="0" fontId="12" fillId="27" borderId="0" xfId="0" applyFont="1" applyFill="1" applyAlignment="1">
      <alignment horizontal="left" vertical="center" wrapText="1"/>
    </xf>
    <xf numFmtId="0" fontId="8" fillId="0" borderId="0" xfId="0" applyFont="1" applyAlignment="1">
      <alignment horizontal="center" vertical="center" wrapText="1"/>
    </xf>
    <xf numFmtId="0" fontId="9" fillId="0" borderId="0" xfId="485" applyFont="1"/>
    <xf numFmtId="0" fontId="16" fillId="0" borderId="19" xfId="0" applyFont="1" applyBorder="1" applyAlignment="1">
      <alignment horizontal="center" vertical="center" wrapText="1"/>
    </xf>
    <xf numFmtId="0" fontId="121" fillId="76" borderId="19" xfId="0" applyFont="1" applyFill="1" applyBorder="1" applyAlignment="1">
      <alignment horizontal="center"/>
    </xf>
    <xf numFmtId="1" fontId="121" fillId="76" borderId="19" xfId="425" applyNumberFormat="1" applyFont="1" applyFill="1" applyBorder="1" applyAlignment="1" applyProtection="1">
      <alignment horizontal="center"/>
    </xf>
    <xf numFmtId="9" fontId="121" fillId="76" borderId="19" xfId="425" applyFont="1" applyFill="1" applyBorder="1" applyAlignment="1" applyProtection="1">
      <alignment horizontal="center"/>
    </xf>
    <xf numFmtId="0" fontId="121" fillId="76" borderId="19" xfId="425" applyNumberFormat="1" applyFont="1" applyFill="1" applyBorder="1" applyAlignment="1" applyProtection="1">
      <alignment horizontal="center"/>
    </xf>
    <xf numFmtId="49" fontId="121" fillId="76" borderId="19" xfId="0" applyNumberFormat="1" applyFont="1" applyFill="1" applyBorder="1" applyAlignment="1">
      <alignment horizontal="center"/>
    </xf>
    <xf numFmtId="9" fontId="121" fillId="0" borderId="19" xfId="425" applyFont="1" applyFill="1" applyBorder="1" applyAlignment="1" applyProtection="1">
      <alignment horizontal="center"/>
    </xf>
    <xf numFmtId="1" fontId="121" fillId="0" borderId="19" xfId="425" applyNumberFormat="1" applyFont="1" applyFill="1" applyBorder="1" applyAlignment="1" applyProtection="1">
      <alignment horizontal="center"/>
    </xf>
    <xf numFmtId="0" fontId="20" fillId="0" borderId="0" xfId="0" applyFont="1" applyAlignment="1">
      <alignment vertical="center"/>
    </xf>
    <xf numFmtId="10" fontId="8" fillId="0" borderId="0" xfId="408" applyNumberFormat="1" applyFont="1" applyFill="1" applyBorder="1" applyAlignment="1" applyProtection="1">
      <alignment horizontal="center" vertical="center" wrapText="1"/>
    </xf>
    <xf numFmtId="165" fontId="8" fillId="0" borderId="0" xfId="408" applyNumberFormat="1" applyFont="1" applyFill="1" applyBorder="1" applyAlignment="1" applyProtection="1">
      <alignment horizontal="center" vertical="center" wrapText="1"/>
    </xf>
    <xf numFmtId="10" fontId="20" fillId="0" borderId="0" xfId="0" applyNumberFormat="1" applyFont="1" applyAlignment="1">
      <alignment vertical="center"/>
    </xf>
    <xf numFmtId="0" fontId="71" fillId="76" borderId="19" xfId="0" applyFont="1" applyFill="1" applyBorder="1" applyAlignment="1">
      <alignment horizontal="center" vertical="center" wrapText="1"/>
    </xf>
    <xf numFmtId="0" fontId="20" fillId="0" borderId="0" xfId="0" applyFont="1" applyAlignment="1">
      <alignment horizontal="right"/>
    </xf>
    <xf numFmtId="0" fontId="9" fillId="0" borderId="23" xfId="520" applyFont="1" applyBorder="1" applyAlignment="1">
      <alignment vertical="center"/>
    </xf>
    <xf numFmtId="0" fontId="95" fillId="0" borderId="0" xfId="0" applyFont="1"/>
    <xf numFmtId="14" fontId="15" fillId="0" borderId="0" xfId="0" applyNumberFormat="1" applyFont="1" applyAlignment="1">
      <alignment vertical="center"/>
    </xf>
    <xf numFmtId="0" fontId="8" fillId="0" borderId="0" xfId="520" applyFont="1" applyAlignment="1">
      <alignment vertical="center"/>
    </xf>
    <xf numFmtId="14" fontId="15" fillId="0" borderId="0" xfId="0" applyNumberFormat="1" applyFont="1" applyAlignment="1">
      <alignment horizontal="left" vertical="center"/>
    </xf>
    <xf numFmtId="0" fontId="15" fillId="0" borderId="0" xfId="0" applyFont="1" applyAlignment="1">
      <alignment horizontal="left" vertical="center"/>
    </xf>
    <xf numFmtId="0" fontId="8" fillId="0" borderId="0" xfId="519" applyFont="1" applyAlignment="1">
      <alignment horizontal="center" vertical="center"/>
    </xf>
    <xf numFmtId="168" fontId="15" fillId="0" borderId="0" xfId="0" applyNumberFormat="1" applyFont="1" applyAlignment="1">
      <alignment horizontal="center" vertical="center"/>
    </xf>
    <xf numFmtId="1" fontId="15" fillId="0" borderId="0" xfId="0" applyNumberFormat="1" applyFont="1" applyAlignment="1">
      <alignment vertical="center"/>
    </xf>
    <xf numFmtId="168" fontId="8" fillId="0" borderId="0" xfId="0" applyNumberFormat="1" applyFont="1" applyAlignment="1">
      <alignment horizontal="center" vertical="center"/>
    </xf>
    <xf numFmtId="0" fontId="8" fillId="0" borderId="0" xfId="0" applyFont="1" applyAlignment="1">
      <alignment vertical="center" wrapText="1"/>
    </xf>
    <xf numFmtId="0" fontId="9" fillId="0" borderId="23" xfId="0" applyFont="1" applyBorder="1" applyAlignment="1">
      <alignment vertical="center" wrapText="1"/>
    </xf>
    <xf numFmtId="0" fontId="8" fillId="0" borderId="19" xfId="0" applyFont="1" applyBorder="1" applyAlignment="1">
      <alignment vertical="center" wrapText="1"/>
    </xf>
    <xf numFmtId="168" fontId="26" fillId="0" borderId="19" xfId="0" applyNumberFormat="1" applyFont="1" applyBorder="1" applyAlignment="1">
      <alignment horizontal="center" vertical="center"/>
    </xf>
    <xf numFmtId="14" fontId="15" fillId="0" borderId="19" xfId="0" applyNumberFormat="1" applyFont="1" applyBorder="1" applyAlignment="1">
      <alignment horizontal="center" vertical="center"/>
    </xf>
    <xf numFmtId="0" fontId="15" fillId="0" borderId="19" xfId="0" quotePrefix="1" applyFont="1" applyBorder="1" applyAlignment="1">
      <alignment vertical="center"/>
    </xf>
    <xf numFmtId="0" fontId="17" fillId="0" borderId="0" xfId="0" quotePrefix="1" applyFont="1" applyAlignment="1">
      <alignment vertical="center"/>
    </xf>
    <xf numFmtId="0" fontId="71" fillId="76" borderId="19" xfId="0" applyFont="1" applyFill="1" applyBorder="1" applyAlignment="1">
      <alignment horizontal="left" vertical="center" wrapText="1"/>
    </xf>
    <xf numFmtId="9" fontId="71" fillId="76" borderId="19" xfId="0" applyNumberFormat="1" applyFont="1" applyFill="1" applyBorder="1" applyAlignment="1">
      <alignment horizontal="center" vertical="center"/>
    </xf>
    <xf numFmtId="9" fontId="71" fillId="76" borderId="19" xfId="0" applyNumberFormat="1" applyFont="1" applyFill="1" applyBorder="1" applyAlignment="1">
      <alignment horizontal="center" vertical="center" wrapText="1"/>
    </xf>
    <xf numFmtId="1" fontId="71" fillId="76" borderId="19" xfId="0" applyNumberFormat="1" applyFont="1" applyFill="1" applyBorder="1" applyAlignment="1">
      <alignment horizontal="center" vertical="center"/>
    </xf>
    <xf numFmtId="10" fontId="71" fillId="76" borderId="19" xfId="0" applyNumberFormat="1" applyFont="1" applyFill="1" applyBorder="1" applyAlignment="1">
      <alignment horizontal="center" vertical="center"/>
    </xf>
    <xf numFmtId="0" fontId="71" fillId="76" borderId="19" xfId="0" applyFont="1" applyFill="1" applyBorder="1" applyAlignment="1">
      <alignment horizontal="left" vertical="center"/>
    </xf>
    <xf numFmtId="0" fontId="16" fillId="0" borderId="0" xfId="0" applyFont="1" applyAlignment="1">
      <alignment horizontal="left" vertical="center"/>
    </xf>
    <xf numFmtId="0" fontId="8" fillId="0" borderId="0" xfId="0" applyFont="1" applyAlignment="1">
      <alignment wrapText="1"/>
    </xf>
    <xf numFmtId="0" fontId="15" fillId="0" borderId="19" xfId="0" applyFont="1" applyBorder="1" applyAlignment="1">
      <alignment vertical="center" wrapText="1"/>
    </xf>
    <xf numFmtId="0" fontId="8" fillId="0" borderId="23" xfId="0" applyFont="1" applyBorder="1" applyAlignment="1">
      <alignment wrapText="1"/>
    </xf>
    <xf numFmtId="0" fontId="8" fillId="0" borderId="22" xfId="0" applyFont="1" applyBorder="1" applyAlignment="1">
      <alignment wrapText="1"/>
    </xf>
    <xf numFmtId="0" fontId="15" fillId="0" borderId="19" xfId="0" applyFont="1" applyBorder="1" applyAlignment="1">
      <alignment horizontal="center" wrapText="1"/>
    </xf>
    <xf numFmtId="0" fontId="8" fillId="0" borderId="0" xfId="485" applyFont="1"/>
    <xf numFmtId="0" fontId="20" fillId="0" borderId="0" xfId="0" applyFont="1" applyAlignment="1">
      <alignment wrapText="1"/>
    </xf>
    <xf numFmtId="0" fontId="20" fillId="0" borderId="0" xfId="0" applyFont="1" applyAlignment="1">
      <alignment horizontal="center" wrapText="1"/>
    </xf>
    <xf numFmtId="14" fontId="15" fillId="78" borderId="0" xfId="0" applyNumberFormat="1" applyFont="1" applyFill="1" applyAlignment="1">
      <alignment horizontal="left" vertical="center"/>
    </xf>
    <xf numFmtId="0" fontId="120" fillId="75" borderId="0" xfId="0" applyFont="1" applyFill="1"/>
    <xf numFmtId="0" fontId="121" fillId="75" borderId="0" xfId="0" applyFont="1" applyFill="1"/>
    <xf numFmtId="0" fontId="123" fillId="75" borderId="0" xfId="0" applyFont="1" applyFill="1" applyAlignment="1">
      <alignment wrapText="1"/>
    </xf>
    <xf numFmtId="0" fontId="8" fillId="0" borderId="71" xfId="0" applyFont="1" applyBorder="1" applyAlignment="1">
      <alignment vertical="center"/>
    </xf>
    <xf numFmtId="0" fontId="8" fillId="79" borderId="30" xfId="0" applyFont="1" applyFill="1" applyBorder="1" applyAlignment="1">
      <alignment horizontal="center" vertical="center"/>
    </xf>
    <xf numFmtId="0" fontId="8" fillId="79" borderId="30" xfId="0" applyFont="1" applyFill="1" applyBorder="1" applyAlignment="1">
      <alignment vertical="center"/>
    </xf>
    <xf numFmtId="0" fontId="15" fillId="79" borderId="30" xfId="0" applyFont="1" applyFill="1" applyBorder="1" applyAlignment="1">
      <alignment vertical="center"/>
    </xf>
    <xf numFmtId="0" fontId="15" fillId="79" borderId="31" xfId="0" applyFont="1" applyFill="1" applyBorder="1" applyAlignment="1">
      <alignment horizontal="center" vertical="center"/>
    </xf>
    <xf numFmtId="0" fontId="8" fillId="79" borderId="19" xfId="0" applyFont="1" applyFill="1" applyBorder="1" applyAlignment="1">
      <alignment horizontal="center" vertical="center"/>
    </xf>
    <xf numFmtId="0" fontId="8" fillId="79" borderId="19" xfId="0" applyFont="1" applyFill="1" applyBorder="1" applyAlignment="1">
      <alignment vertical="center"/>
    </xf>
    <xf numFmtId="0" fontId="15" fillId="79" borderId="19" xfId="0" applyFont="1" applyFill="1" applyBorder="1" applyAlignment="1">
      <alignment vertical="center"/>
    </xf>
    <xf numFmtId="0" fontId="15" fillId="79" borderId="34" xfId="0" applyFont="1" applyFill="1" applyBorder="1" applyAlignment="1">
      <alignment horizontal="center" vertical="center"/>
    </xf>
    <xf numFmtId="0" fontId="8" fillId="79" borderId="24" xfId="0" applyFont="1" applyFill="1" applyBorder="1" applyAlignment="1">
      <alignment horizontal="center" vertical="center"/>
    </xf>
    <xf numFmtId="0" fontId="8" fillId="79" borderId="27" xfId="0" applyFont="1" applyFill="1" applyBorder="1" applyAlignment="1">
      <alignment vertical="center"/>
    </xf>
    <xf numFmtId="0" fontId="15" fillId="79" borderId="24" xfId="0" applyFont="1" applyFill="1" applyBorder="1" applyAlignment="1">
      <alignment vertical="center"/>
    </xf>
    <xf numFmtId="0" fontId="15" fillId="79" borderId="38" xfId="0" applyFont="1" applyFill="1" applyBorder="1" applyAlignment="1">
      <alignment horizontal="center" vertical="center"/>
    </xf>
    <xf numFmtId="0" fontId="8" fillId="79" borderId="45" xfId="0" applyFont="1" applyFill="1" applyBorder="1" applyAlignment="1">
      <alignment vertical="center"/>
    </xf>
    <xf numFmtId="0" fontId="8" fillId="79" borderId="27" xfId="0" applyFont="1" applyFill="1" applyBorder="1" applyAlignment="1">
      <alignment horizontal="center" vertical="center"/>
    </xf>
    <xf numFmtId="0" fontId="15" fillId="79" borderId="27" xfId="0" applyFont="1" applyFill="1" applyBorder="1" applyAlignment="1">
      <alignment vertical="center"/>
    </xf>
    <xf numFmtId="0" fontId="15" fillId="79" borderId="44" xfId="0" applyFont="1" applyFill="1" applyBorder="1" applyAlignment="1">
      <alignment horizontal="center" vertical="center"/>
    </xf>
    <xf numFmtId="0" fontId="8" fillId="79" borderId="37" xfId="0" applyFont="1" applyFill="1" applyBorder="1" applyAlignment="1">
      <alignment horizontal="center" vertical="center"/>
    </xf>
    <xf numFmtId="0" fontId="8" fillId="79" borderId="37" xfId="0" applyFont="1" applyFill="1" applyBorder="1" applyAlignment="1">
      <alignment vertical="center"/>
    </xf>
    <xf numFmtId="0" fontId="15" fillId="79" borderId="37" xfId="0" applyFont="1" applyFill="1" applyBorder="1" applyAlignment="1">
      <alignment vertical="center"/>
    </xf>
    <xf numFmtId="0" fontId="15" fillId="79" borderId="39" xfId="0" applyFont="1" applyFill="1" applyBorder="1" applyAlignment="1">
      <alignment horizontal="center" vertical="center"/>
    </xf>
    <xf numFmtId="0" fontId="8" fillId="0" borderId="58" xfId="0" applyFont="1" applyBorder="1" applyAlignment="1">
      <alignment vertical="center"/>
    </xf>
    <xf numFmtId="0" fontId="8" fillId="79" borderId="24" xfId="0" applyFont="1" applyFill="1" applyBorder="1" applyAlignment="1">
      <alignment vertical="center"/>
    </xf>
    <xf numFmtId="0" fontId="8" fillId="79" borderId="36" xfId="0" applyFont="1" applyFill="1" applyBorder="1" applyAlignment="1">
      <alignment horizontal="center" vertical="center"/>
    </xf>
    <xf numFmtId="0" fontId="8" fillId="79" borderId="36" xfId="0" applyFont="1" applyFill="1" applyBorder="1" applyAlignment="1">
      <alignment vertical="center"/>
    </xf>
    <xf numFmtId="0" fontId="15" fillId="79" borderId="36" xfId="0" applyFont="1" applyFill="1" applyBorder="1" applyAlignment="1">
      <alignment vertical="center"/>
    </xf>
    <xf numFmtId="0" fontId="15" fillId="79" borderId="35" xfId="0" applyFont="1" applyFill="1" applyBorder="1" applyAlignment="1">
      <alignment horizontal="center" vertical="center"/>
    </xf>
    <xf numFmtId="0" fontId="8" fillId="0" borderId="52" xfId="0" applyFont="1" applyBorder="1" applyAlignment="1">
      <alignment horizontal="center" vertical="center"/>
    </xf>
    <xf numFmtId="0" fontId="15" fillId="78" borderId="0" xfId="0" applyFont="1" applyFill="1" applyAlignment="1">
      <alignment vertical="center"/>
    </xf>
    <xf numFmtId="0" fontId="8" fillId="0" borderId="29" xfId="485" applyFont="1" applyBorder="1" applyAlignment="1">
      <alignment horizontal="center" vertical="top" wrapText="1"/>
    </xf>
    <xf numFmtId="0" fontId="8" fillId="0" borderId="21" xfId="485" applyFont="1" applyBorder="1" applyAlignment="1">
      <alignment horizontal="center" vertical="top" wrapText="1"/>
    </xf>
    <xf numFmtId="0" fontId="8" fillId="0" borderId="24" xfId="485" applyFont="1" applyBorder="1" applyAlignment="1">
      <alignment horizontal="center" vertical="top" wrapText="1"/>
    </xf>
    <xf numFmtId="0" fontId="8" fillId="0" borderId="24" xfId="485" applyFont="1" applyBorder="1" applyAlignment="1">
      <alignment horizontal="center" vertical="top"/>
    </xf>
    <xf numFmtId="0" fontId="8" fillId="27" borderId="24" xfId="485" applyFont="1" applyFill="1" applyBorder="1" applyAlignment="1">
      <alignment horizontal="center" vertical="top"/>
    </xf>
    <xf numFmtId="0" fontId="8" fillId="27" borderId="21" xfId="485" applyFont="1" applyFill="1" applyBorder="1" applyAlignment="1">
      <alignment horizontal="center" vertical="top" wrapText="1"/>
    </xf>
    <xf numFmtId="0" fontId="8" fillId="27" borderId="42" xfId="0" applyFont="1" applyFill="1" applyBorder="1" applyAlignment="1">
      <alignment horizontal="center" vertical="top" wrapText="1"/>
    </xf>
    <xf numFmtId="0" fontId="8" fillId="27" borderId="25" xfId="0" applyFont="1" applyFill="1" applyBorder="1" applyAlignment="1">
      <alignment horizontal="center" vertical="top" wrapText="1"/>
    </xf>
    <xf numFmtId="0" fontId="8" fillId="27" borderId="27" xfId="0" applyFont="1" applyFill="1" applyBorder="1" applyAlignment="1">
      <alignment horizontal="center" vertical="top" wrapText="1"/>
    </xf>
    <xf numFmtId="0" fontId="8" fillId="27" borderId="27" xfId="485" applyFont="1" applyFill="1" applyBorder="1" applyAlignment="1">
      <alignment horizontal="center" vertical="top" wrapText="1"/>
    </xf>
    <xf numFmtId="0" fontId="8" fillId="27" borderId="25" xfId="485" applyFont="1" applyFill="1" applyBorder="1" applyAlignment="1">
      <alignment horizontal="center" vertical="top" wrapText="1"/>
    </xf>
    <xf numFmtId="0" fontId="9" fillId="27" borderId="19" xfId="485" applyFont="1" applyFill="1" applyBorder="1" applyAlignment="1">
      <alignment horizontal="center" vertical="center" wrapText="1"/>
    </xf>
    <xf numFmtId="0" fontId="4" fillId="0" borderId="0" xfId="0" applyFont="1" applyAlignment="1">
      <alignment vertical="top"/>
    </xf>
    <xf numFmtId="0" fontId="15" fillId="0" borderId="20" xfId="0" applyFont="1" applyBorder="1" applyAlignment="1">
      <alignment horizontal="center" vertical="center" wrapText="1"/>
    </xf>
    <xf numFmtId="0" fontId="15" fillId="0" borderId="20" xfId="0" applyFont="1" applyBorder="1" applyAlignment="1">
      <alignment vertical="center" wrapText="1"/>
    </xf>
    <xf numFmtId="0" fontId="15" fillId="0" borderId="18" xfId="0" applyFont="1" applyBorder="1" applyAlignment="1">
      <alignment vertical="center" wrapText="1"/>
    </xf>
    <xf numFmtId="0" fontId="8" fillId="0" borderId="20" xfId="0" applyFont="1" applyBorder="1" applyAlignment="1">
      <alignment vertical="center" wrapText="1"/>
    </xf>
    <xf numFmtId="0" fontId="102" fillId="0" borderId="20" xfId="0" applyFont="1" applyBorder="1" applyAlignment="1">
      <alignment vertical="center" wrapText="1"/>
    </xf>
    <xf numFmtId="0" fontId="8" fillId="0" borderId="0" xfId="0" applyFont="1" applyAlignment="1">
      <alignment horizontal="center" wrapText="1"/>
    </xf>
    <xf numFmtId="0" fontId="130" fillId="0" borderId="0" xfId="0" applyFont="1" applyAlignment="1">
      <alignment wrapText="1"/>
    </xf>
    <xf numFmtId="0" fontId="104" fillId="0" borderId="0" xfId="0" applyFont="1" applyAlignment="1">
      <alignment horizontal="right" vertical="top"/>
    </xf>
    <xf numFmtId="0" fontId="100" fillId="0" borderId="63" xfId="0" applyFont="1" applyBorder="1" applyAlignment="1">
      <alignment vertical="center" wrapText="1"/>
    </xf>
    <xf numFmtId="10" fontId="103" fillId="0" borderId="33" xfId="397" applyNumberFormat="1" applyFont="1" applyFill="1" applyBorder="1" applyAlignment="1" applyProtection="1">
      <alignment horizontal="center" vertical="center" wrapText="1"/>
    </xf>
    <xf numFmtId="0" fontId="102" fillId="0" borderId="18" xfId="0" applyFont="1" applyBorder="1" applyAlignment="1">
      <alignment vertical="center" wrapText="1"/>
    </xf>
    <xf numFmtId="10" fontId="26" fillId="27" borderId="43" xfId="397" applyNumberFormat="1" applyFont="1" applyFill="1" applyBorder="1" applyAlignment="1" applyProtection="1">
      <alignment horizontal="center" vertical="center" wrapText="1"/>
    </xf>
    <xf numFmtId="0" fontId="8" fillId="0" borderId="18" xfId="0" applyFont="1" applyBorder="1" applyAlignment="1">
      <alignment vertical="center" wrapText="1"/>
    </xf>
    <xf numFmtId="10" fontId="26" fillId="27" borderId="33" xfId="397" applyNumberFormat="1" applyFont="1" applyFill="1" applyBorder="1" applyAlignment="1" applyProtection="1">
      <alignment horizontal="center" vertical="center" wrapText="1"/>
    </xf>
    <xf numFmtId="10" fontId="26" fillId="27" borderId="32" xfId="397" applyNumberFormat="1" applyFont="1" applyFill="1" applyBorder="1" applyAlignment="1" applyProtection="1">
      <alignment horizontal="center" vertical="center" wrapText="1"/>
    </xf>
    <xf numFmtId="1" fontId="26" fillId="28" borderId="33" xfId="0" applyNumberFormat="1" applyFont="1" applyFill="1" applyBorder="1" applyAlignment="1">
      <alignment horizontal="center" vertical="center" wrapText="1"/>
    </xf>
    <xf numFmtId="0" fontId="121" fillId="0" borderId="19" xfId="425" applyNumberFormat="1" applyFont="1" applyFill="1" applyBorder="1" applyAlignment="1" applyProtection="1">
      <alignment horizontal="center"/>
    </xf>
    <xf numFmtId="0" fontId="125" fillId="0" borderId="0" xfId="0" applyFont="1"/>
    <xf numFmtId="165" fontId="8" fillId="80" borderId="69" xfId="566" applyNumberFormat="1" applyFont="1" applyFill="1" applyBorder="1" applyAlignment="1" applyProtection="1">
      <alignment horizontal="center" vertical="center"/>
    </xf>
    <xf numFmtId="9" fontId="8" fillId="80" borderId="20" xfId="566" applyFont="1" applyFill="1" applyBorder="1" applyAlignment="1" applyProtection="1">
      <alignment horizontal="center" vertical="center"/>
    </xf>
    <xf numFmtId="165" fontId="8" fillId="81" borderId="64" xfId="566" applyNumberFormat="1" applyFont="1" applyFill="1" applyBorder="1" applyAlignment="1" applyProtection="1">
      <alignment horizontal="center" vertical="center"/>
    </xf>
    <xf numFmtId="165" fontId="8" fillId="81" borderId="32" xfId="566" applyNumberFormat="1" applyFont="1" applyFill="1" applyBorder="1" applyAlignment="1" applyProtection="1">
      <alignment horizontal="center" vertical="center"/>
    </xf>
    <xf numFmtId="165" fontId="8" fillId="0" borderId="69" xfId="566" applyNumberFormat="1" applyFont="1" applyFill="1" applyBorder="1" applyAlignment="1" applyProtection="1">
      <alignment horizontal="center" vertical="center"/>
    </xf>
    <xf numFmtId="165" fontId="8" fillId="0" borderId="33" xfId="566" applyNumberFormat="1" applyFont="1" applyFill="1" applyBorder="1" applyAlignment="1" applyProtection="1">
      <alignment horizontal="center" vertical="top"/>
    </xf>
    <xf numFmtId="165" fontId="8" fillId="83" borderId="68" xfId="566" applyNumberFormat="1" applyFont="1" applyFill="1" applyBorder="1" applyAlignment="1" applyProtection="1">
      <alignment horizontal="center" vertical="center"/>
    </xf>
    <xf numFmtId="165" fontId="8" fillId="83" borderId="33" xfId="566" applyNumberFormat="1" applyFont="1" applyFill="1" applyBorder="1" applyAlignment="1" applyProtection="1">
      <alignment horizontal="center" vertical="center"/>
    </xf>
    <xf numFmtId="165" fontId="8" fillId="83" borderId="69" xfId="566" applyNumberFormat="1" applyFont="1" applyFill="1" applyBorder="1" applyAlignment="1" applyProtection="1">
      <alignment horizontal="center" vertical="center"/>
    </xf>
    <xf numFmtId="165" fontId="8" fillId="83" borderId="20" xfId="566" applyNumberFormat="1" applyFont="1" applyFill="1" applyBorder="1" applyAlignment="1" applyProtection="1">
      <alignment horizontal="center" vertical="center"/>
    </xf>
    <xf numFmtId="0" fontId="8" fillId="84" borderId="0" xfId="520" applyFont="1" applyFill="1" applyAlignment="1">
      <alignment vertical="center"/>
    </xf>
    <xf numFmtId="1" fontId="26" fillId="32" borderId="20" xfId="0" applyNumberFormat="1" applyFont="1" applyFill="1" applyBorder="1" applyAlignment="1" applyProtection="1">
      <alignment horizontal="center" vertical="center"/>
      <protection locked="0"/>
    </xf>
    <xf numFmtId="1" fontId="9" fillId="32" borderId="20" xfId="0" applyNumberFormat="1" applyFont="1" applyFill="1" applyBorder="1" applyAlignment="1" applyProtection="1">
      <alignment horizontal="center" vertical="center"/>
      <protection locked="0"/>
    </xf>
    <xf numFmtId="1" fontId="103" fillId="32" borderId="20" xfId="0" applyNumberFormat="1" applyFont="1" applyFill="1" applyBorder="1" applyAlignment="1" applyProtection="1">
      <alignment horizontal="center" vertical="center"/>
      <protection locked="0"/>
    </xf>
    <xf numFmtId="0" fontId="15" fillId="38" borderId="19" xfId="0" applyFont="1" applyFill="1" applyBorder="1" applyAlignment="1" applyProtection="1">
      <alignment horizontal="center" vertical="center" wrapText="1"/>
      <protection locked="0"/>
    </xf>
    <xf numFmtId="0" fontId="15" fillId="38" borderId="26" xfId="0" applyFont="1" applyFill="1" applyBorder="1" applyAlignment="1" applyProtection="1">
      <alignment horizontal="center" vertical="center" wrapText="1"/>
      <protection locked="0"/>
    </xf>
    <xf numFmtId="0" fontId="15" fillId="32" borderId="19" xfId="0" applyFont="1" applyFill="1" applyBorder="1" applyAlignment="1" applyProtection="1">
      <alignment horizontal="center" vertical="center" wrapText="1"/>
      <protection locked="0"/>
    </xf>
    <xf numFmtId="0" fontId="19" fillId="0" borderId="0" xfId="485" applyFont="1" applyAlignment="1">
      <alignment horizontal="center" vertical="center"/>
    </xf>
    <xf numFmtId="0" fontId="8" fillId="0" borderId="23" xfId="485" applyFont="1" applyBorder="1"/>
    <xf numFmtId="0" fontId="8" fillId="0" borderId="22" xfId="485" applyFont="1" applyBorder="1"/>
    <xf numFmtId="0" fontId="17" fillId="0" borderId="0" xfId="0" applyFont="1" applyAlignment="1">
      <alignment vertical="top" wrapText="1"/>
    </xf>
    <xf numFmtId="0" fontId="98" fillId="0" borderId="0" xfId="0" applyFont="1"/>
    <xf numFmtId="0" fontId="139" fillId="0" borderId="0" xfId="0" applyFont="1" applyAlignment="1">
      <alignment horizontal="left"/>
    </xf>
    <xf numFmtId="0" fontId="12" fillId="0" borderId="84" xfId="0" applyFont="1" applyBorder="1" applyAlignment="1">
      <alignment horizontal="center" vertical="center" wrapText="1"/>
    </xf>
    <xf numFmtId="0" fontId="12" fillId="0" borderId="71" xfId="0" applyFont="1" applyBorder="1" applyAlignment="1">
      <alignment horizontal="center" vertical="center" wrapText="1"/>
    </xf>
    <xf numFmtId="0" fontId="19" fillId="0" borderId="0" xfId="0" applyFont="1" applyAlignment="1">
      <alignment horizontal="left" vertical="center"/>
    </xf>
    <xf numFmtId="0" fontId="140" fillId="0" borderId="19" xfId="0" applyFont="1" applyBorder="1" applyAlignment="1">
      <alignment horizontal="left" vertical="top"/>
    </xf>
    <xf numFmtId="0" fontId="140" fillId="0" borderId="19" xfId="0" applyFont="1" applyBorder="1" applyAlignment="1">
      <alignment horizontal="left" vertical="top" wrapText="1"/>
    </xf>
    <xf numFmtId="0" fontId="140" fillId="0" borderId="19" xfId="0" applyFont="1" applyBorder="1" applyAlignment="1">
      <alignment horizontal="center" vertical="center" wrapText="1"/>
    </xf>
    <xf numFmtId="0" fontId="140" fillId="0" borderId="0" xfId="0" applyFont="1"/>
    <xf numFmtId="0" fontId="140" fillId="0" borderId="19" xfId="0" applyFont="1" applyBorder="1" applyAlignment="1">
      <alignment horizontal="left" vertical="center"/>
    </xf>
    <xf numFmtId="0" fontId="140" fillId="85" borderId="19" xfId="0" applyFont="1" applyFill="1" applyBorder="1" applyAlignment="1">
      <alignment horizontal="left" vertical="center"/>
    </xf>
    <xf numFmtId="0" fontId="140" fillId="75" borderId="19" xfId="0" applyFont="1" applyFill="1" applyBorder="1"/>
    <xf numFmtId="0" fontId="140" fillId="75" borderId="19" xfId="0" quotePrefix="1" applyFont="1" applyFill="1" applyBorder="1"/>
    <xf numFmtId="0" fontId="140" fillId="85" borderId="19" xfId="0" applyFont="1" applyFill="1" applyBorder="1"/>
    <xf numFmtId="0" fontId="140" fillId="0" borderId="19" xfId="0" applyFont="1" applyBorder="1" applyAlignment="1">
      <alignment horizontal="center" vertical="center"/>
    </xf>
    <xf numFmtId="0" fontId="140" fillId="0" borderId="0" xfId="0" applyFont="1" applyAlignment="1">
      <alignment horizontal="center" vertical="center"/>
    </xf>
    <xf numFmtId="0" fontId="102" fillId="0" borderId="0" xfId="0" applyFont="1"/>
    <xf numFmtId="0" fontId="12" fillId="0" borderId="85" xfId="0" applyFont="1" applyBorder="1" applyAlignment="1">
      <alignment horizontal="center" vertical="center" wrapText="1"/>
    </xf>
    <xf numFmtId="49" fontId="19" fillId="38" borderId="46" xfId="485" applyNumberFormat="1" applyFont="1" applyFill="1" applyBorder="1" applyAlignment="1" applyProtection="1">
      <alignment horizontal="left" vertical="center" wrapText="1"/>
      <protection locked="0"/>
    </xf>
    <xf numFmtId="49" fontId="19" fillId="38" borderId="36" xfId="485" applyNumberFormat="1" applyFont="1" applyFill="1" applyBorder="1" applyAlignment="1" applyProtection="1">
      <alignment vertical="center" wrapText="1"/>
      <protection locked="0"/>
    </xf>
    <xf numFmtId="0" fontId="19" fillId="86" borderId="36" xfId="0" applyFont="1" applyFill="1" applyBorder="1" applyAlignment="1" applyProtection="1">
      <alignment horizontal="left" vertical="center" wrapText="1"/>
      <protection locked="0"/>
    </xf>
    <xf numFmtId="49" fontId="19" fillId="38" borderId="36" xfId="485" applyNumberFormat="1" applyFont="1" applyFill="1" applyBorder="1" applyAlignment="1" applyProtection="1">
      <alignment horizontal="center" vertical="center" wrapText="1"/>
      <protection locked="0"/>
    </xf>
    <xf numFmtId="1" fontId="19" fillId="87" borderId="36" xfId="485" applyNumberFormat="1" applyFont="1" applyFill="1" applyBorder="1" applyAlignment="1" applyProtection="1">
      <alignment horizontal="center" vertical="center" wrapText="1"/>
      <protection locked="0"/>
    </xf>
    <xf numFmtId="49" fontId="19" fillId="38" borderId="35" xfId="485" applyNumberFormat="1" applyFont="1" applyFill="1" applyBorder="1" applyAlignment="1" applyProtection="1">
      <alignment vertical="center" wrapText="1"/>
      <protection locked="0"/>
    </xf>
    <xf numFmtId="49" fontId="19" fillId="38" borderId="48" xfId="485" applyNumberFormat="1" applyFont="1" applyFill="1" applyBorder="1" applyAlignment="1" applyProtection="1">
      <alignment horizontal="left" vertical="center" wrapText="1"/>
      <protection locked="0"/>
    </xf>
    <xf numFmtId="49" fontId="19" fillId="38" borderId="30" xfId="485" applyNumberFormat="1" applyFont="1" applyFill="1" applyBorder="1" applyAlignment="1" applyProtection="1">
      <alignment vertical="center" wrapText="1"/>
      <protection locked="0"/>
    </xf>
    <xf numFmtId="0" fontId="19" fillId="86" borderId="30" xfId="0" applyFont="1" applyFill="1" applyBorder="1" applyAlignment="1" applyProtection="1">
      <alignment horizontal="left" vertical="center" wrapText="1"/>
      <protection locked="0"/>
    </xf>
    <xf numFmtId="49" fontId="19" fillId="38" borderId="30" xfId="485" applyNumberFormat="1" applyFont="1" applyFill="1" applyBorder="1" applyAlignment="1" applyProtection="1">
      <alignment horizontal="center" vertical="center" wrapText="1"/>
      <protection locked="0"/>
    </xf>
    <xf numFmtId="1" fontId="19" fillId="38" borderId="30" xfId="485" applyNumberFormat="1" applyFont="1" applyFill="1" applyBorder="1" applyAlignment="1" applyProtection="1">
      <alignment horizontal="center" vertical="center" wrapText="1"/>
      <protection locked="0"/>
    </xf>
    <xf numFmtId="49" fontId="19" fillId="38" borderId="31" xfId="485" applyNumberFormat="1" applyFont="1" applyFill="1" applyBorder="1" applyAlignment="1" applyProtection="1">
      <alignment vertical="center" wrapText="1"/>
      <protection locked="0"/>
    </xf>
    <xf numFmtId="0" fontId="12" fillId="0" borderId="0" xfId="0" applyFont="1" applyAlignment="1">
      <alignment vertical="center"/>
    </xf>
    <xf numFmtId="49" fontId="19" fillId="38" borderId="49" xfId="485" applyNumberFormat="1" applyFont="1" applyFill="1" applyBorder="1" applyAlignment="1" applyProtection="1">
      <alignment horizontal="left" vertical="center" wrapText="1"/>
      <protection locked="0"/>
    </xf>
    <xf numFmtId="49" fontId="19" fillId="38" borderId="27" xfId="485" applyNumberFormat="1" applyFont="1" applyFill="1" applyBorder="1" applyAlignment="1" applyProtection="1">
      <alignment vertical="center" wrapText="1"/>
      <protection locked="0"/>
    </xf>
    <xf numFmtId="0" fontId="19" fillId="86" borderId="27" xfId="0" applyFont="1" applyFill="1" applyBorder="1" applyAlignment="1" applyProtection="1">
      <alignment horizontal="left" vertical="center" wrapText="1"/>
      <protection locked="0"/>
    </xf>
    <xf numFmtId="49" fontId="19" fillId="38" borderId="27" xfId="485" applyNumberFormat="1" applyFont="1" applyFill="1" applyBorder="1" applyAlignment="1" applyProtection="1">
      <alignment horizontal="center" vertical="center" wrapText="1"/>
      <protection locked="0"/>
    </xf>
    <xf numFmtId="1" fontId="19" fillId="87" borderId="27" xfId="485" applyNumberFormat="1" applyFont="1" applyFill="1" applyBorder="1" applyAlignment="1" applyProtection="1">
      <alignment horizontal="center" vertical="center" wrapText="1"/>
      <protection locked="0"/>
    </xf>
    <xf numFmtId="49" fontId="19" fillId="38" borderId="44" xfId="485" applyNumberFormat="1" applyFont="1" applyFill="1" applyBorder="1" applyAlignment="1" applyProtection="1">
      <alignment vertical="center" wrapText="1"/>
      <protection locked="0"/>
    </xf>
    <xf numFmtId="1" fontId="12" fillId="0" borderId="33" xfId="0" applyNumberFormat="1" applyFont="1" applyBorder="1" applyAlignment="1">
      <alignment horizontal="center" vertical="center"/>
    </xf>
    <xf numFmtId="1" fontId="9" fillId="28" borderId="33" xfId="0" applyNumberFormat="1" applyFont="1" applyFill="1" applyBorder="1" applyAlignment="1">
      <alignment horizontal="center" vertical="center" wrapText="1"/>
    </xf>
    <xf numFmtId="0" fontId="17" fillId="0" borderId="19" xfId="0" applyFont="1" applyBorder="1" applyAlignment="1">
      <alignment vertical="center" wrapText="1"/>
    </xf>
    <xf numFmtId="10" fontId="9" fillId="27" borderId="20" xfId="397" applyNumberFormat="1" applyFont="1" applyFill="1" applyBorder="1" applyAlignment="1" applyProtection="1">
      <alignment horizontal="center" vertical="center" wrapText="1"/>
    </xf>
    <xf numFmtId="0" fontId="73" fillId="0" borderId="19" xfId="0" applyFont="1" applyBorder="1" applyAlignment="1">
      <alignment horizontal="center" vertical="center" wrapText="1"/>
    </xf>
    <xf numFmtId="1" fontId="73" fillId="0" borderId="19" xfId="0" applyNumberFormat="1" applyFont="1" applyBorder="1" applyAlignment="1">
      <alignment horizontal="center" vertical="center" wrapText="1"/>
    </xf>
    <xf numFmtId="2" fontId="73" fillId="0" borderId="19" xfId="0" applyNumberFormat="1" applyFont="1" applyBorder="1" applyAlignment="1">
      <alignment horizontal="center" vertical="center" wrapText="1"/>
    </xf>
    <xf numFmtId="0" fontId="73" fillId="0" borderId="0" xfId="0" applyFont="1" applyAlignment="1">
      <alignment vertical="center" wrapText="1"/>
    </xf>
    <xf numFmtId="2" fontId="73" fillId="71" borderId="19" xfId="0" applyNumberFormat="1" applyFont="1" applyFill="1" applyBorder="1" applyAlignment="1">
      <alignment horizontal="center" vertical="center" wrapText="1"/>
    </xf>
    <xf numFmtId="0" fontId="5" fillId="0" borderId="19" xfId="485" applyFont="1" applyBorder="1" applyAlignment="1">
      <alignment horizontal="left" vertical="center" wrapText="1"/>
    </xf>
    <xf numFmtId="0" fontId="17" fillId="0" borderId="19" xfId="0" applyFont="1" applyBorder="1" applyAlignment="1">
      <alignment horizontal="center" vertical="center" wrapText="1"/>
    </xf>
    <xf numFmtId="0" fontId="73" fillId="35" borderId="19" xfId="0" applyFont="1" applyFill="1" applyBorder="1" applyAlignment="1">
      <alignment horizontal="center" vertical="center" wrapText="1"/>
    </xf>
    <xf numFmtId="2" fontId="73" fillId="35" borderId="19" xfId="0" applyNumberFormat="1" applyFont="1" applyFill="1" applyBorder="1" applyAlignment="1">
      <alignment horizontal="center" vertical="center" wrapText="1"/>
    </xf>
    <xf numFmtId="0" fontId="73" fillId="0" borderId="19" xfId="0" applyFont="1" applyBorder="1" applyAlignment="1">
      <alignment vertical="center" wrapText="1"/>
    </xf>
    <xf numFmtId="0" fontId="73" fillId="0" borderId="19" xfId="0" applyFont="1" applyBorder="1" applyAlignment="1">
      <alignment horizontal="left" vertical="top" wrapText="1"/>
    </xf>
    <xf numFmtId="0" fontId="73" fillId="0" borderId="0" xfId="0" applyFont="1" applyAlignment="1">
      <alignment vertical="top"/>
    </xf>
    <xf numFmtId="0" fontId="16" fillId="0" borderId="19" xfId="0" applyFont="1" applyBorder="1" applyAlignment="1">
      <alignment horizontal="center" vertical="top"/>
    </xf>
    <xf numFmtId="10" fontId="121" fillId="76" borderId="19" xfId="425" applyNumberFormat="1" applyFont="1" applyFill="1" applyBorder="1" applyAlignment="1" applyProtection="1">
      <alignment horizontal="center"/>
    </xf>
    <xf numFmtId="49" fontId="121" fillId="75" borderId="19" xfId="0" applyNumberFormat="1" applyFont="1" applyFill="1" applyBorder="1" applyAlignment="1">
      <alignment horizontal="center"/>
    </xf>
    <xf numFmtId="0" fontId="121" fillId="75" borderId="19" xfId="0" applyFont="1" applyFill="1" applyBorder="1" applyAlignment="1">
      <alignment horizontal="center"/>
    </xf>
    <xf numFmtId="9" fontId="121" fillId="75" borderId="19" xfId="425" applyFont="1" applyFill="1" applyBorder="1" applyAlignment="1" applyProtection="1">
      <alignment horizontal="center"/>
    </xf>
    <xf numFmtId="10" fontId="121" fillId="75" borderId="19" xfId="425" applyNumberFormat="1" applyFont="1" applyFill="1" applyBorder="1" applyAlignment="1" applyProtection="1">
      <alignment horizontal="center"/>
    </xf>
    <xf numFmtId="1" fontId="121" fillId="75" borderId="19" xfId="425" applyNumberFormat="1" applyFont="1" applyFill="1" applyBorder="1" applyAlignment="1" applyProtection="1">
      <alignment horizontal="center"/>
    </xf>
    <xf numFmtId="0" fontId="15" fillId="75" borderId="19" xfId="0" applyFont="1" applyFill="1" applyBorder="1" applyAlignment="1">
      <alignment horizontal="center"/>
    </xf>
    <xf numFmtId="0" fontId="121" fillId="75" borderId="19" xfId="425" applyNumberFormat="1" applyFont="1" applyFill="1" applyBorder="1" applyAlignment="1" applyProtection="1">
      <alignment horizontal="center"/>
    </xf>
    <xf numFmtId="0" fontId="12" fillId="27" borderId="0" xfId="0" applyFont="1" applyFill="1" applyAlignment="1">
      <alignment horizontal="center" vertical="center" wrapText="1"/>
    </xf>
    <xf numFmtId="0" fontId="102" fillId="0" borderId="0" xfId="0" applyFont="1" applyAlignment="1">
      <alignment horizontal="center" vertical="center"/>
    </xf>
    <xf numFmtId="0" fontId="143" fillId="0" borderId="0" xfId="0" applyFont="1"/>
    <xf numFmtId="0" fontId="144" fillId="0" borderId="0" xfId="0" applyFont="1"/>
    <xf numFmtId="0" fontId="144" fillId="0" borderId="20" xfId="0" applyFont="1" applyBorder="1" applyAlignment="1">
      <alignment horizontal="center" vertical="center"/>
    </xf>
    <xf numFmtId="0" fontId="145" fillId="0" borderId="30" xfId="0" applyFont="1" applyBorder="1" applyAlignment="1">
      <alignment horizontal="center" vertical="center" wrapText="1"/>
    </xf>
    <xf numFmtId="0" fontId="145" fillId="0" borderId="31" xfId="0" applyFont="1" applyBorder="1" applyAlignment="1">
      <alignment horizontal="center" vertical="center" wrapText="1"/>
    </xf>
    <xf numFmtId="49" fontId="19" fillId="38" borderId="27" xfId="485" applyNumberFormat="1" applyFont="1" applyFill="1" applyBorder="1" applyAlignment="1" applyProtection="1">
      <alignment horizontal="left" vertical="center" wrapText="1"/>
      <protection locked="0"/>
    </xf>
    <xf numFmtId="1" fontId="19" fillId="38" borderId="27" xfId="485" applyNumberFormat="1" applyFont="1" applyFill="1" applyBorder="1" applyAlignment="1" applyProtection="1">
      <alignment horizontal="center" vertical="center"/>
      <protection locked="0"/>
    </xf>
    <xf numFmtId="1" fontId="19" fillId="38" borderId="44" xfId="485" applyNumberFormat="1" applyFont="1" applyFill="1" applyBorder="1" applyAlignment="1" applyProtection="1">
      <alignment horizontal="center" vertical="center"/>
      <protection locked="0"/>
    </xf>
    <xf numFmtId="49" fontId="19" fillId="38" borderId="30" xfId="485" applyNumberFormat="1" applyFont="1" applyFill="1" applyBorder="1" applyAlignment="1" applyProtection="1">
      <alignment horizontal="left" vertical="center" wrapText="1"/>
      <protection locked="0"/>
    </xf>
    <xf numFmtId="1" fontId="19" fillId="38" borderId="30" xfId="485" applyNumberFormat="1" applyFont="1" applyFill="1" applyBorder="1" applyAlignment="1" applyProtection="1">
      <alignment horizontal="center" vertical="center"/>
      <protection locked="0"/>
    </xf>
    <xf numFmtId="1" fontId="19" fillId="38" borderId="31" xfId="485" applyNumberFormat="1" applyFont="1" applyFill="1" applyBorder="1" applyAlignment="1" applyProtection="1">
      <alignment horizontal="center" vertical="center"/>
      <protection locked="0"/>
    </xf>
    <xf numFmtId="0" fontId="146" fillId="0" borderId="18" xfId="0" applyFont="1" applyBorder="1" applyAlignment="1">
      <alignment vertical="center" wrapText="1"/>
    </xf>
    <xf numFmtId="1" fontId="149" fillId="32" borderId="20" xfId="0" applyNumberFormat="1" applyFont="1" applyFill="1" applyBorder="1" applyAlignment="1" applyProtection="1">
      <alignment horizontal="center" vertical="center"/>
      <protection locked="0"/>
    </xf>
    <xf numFmtId="1" fontId="149" fillId="28" borderId="20" xfId="0" applyNumberFormat="1" applyFont="1" applyFill="1" applyBorder="1" applyAlignment="1">
      <alignment horizontal="center" vertical="center" wrapText="1"/>
    </xf>
    <xf numFmtId="0" fontId="146" fillId="0" borderId="20" xfId="0" applyFont="1" applyBorder="1" applyAlignment="1">
      <alignment vertical="center" wrapText="1"/>
    </xf>
    <xf numFmtId="10" fontId="149" fillId="27" borderId="33" xfId="397" applyNumberFormat="1" applyFont="1" applyFill="1" applyBorder="1" applyAlignment="1" applyProtection="1">
      <alignment horizontal="center" vertical="center" wrapText="1"/>
    </xf>
    <xf numFmtId="49" fontId="15" fillId="75" borderId="19" xfId="0" applyNumberFormat="1" applyFont="1" applyFill="1" applyBorder="1" applyAlignment="1">
      <alignment horizontal="center"/>
    </xf>
    <xf numFmtId="49" fontId="15" fillId="76" borderId="19" xfId="0" applyNumberFormat="1" applyFont="1" applyFill="1" applyBorder="1" applyAlignment="1">
      <alignment horizontal="center"/>
    </xf>
    <xf numFmtId="0" fontId="15" fillId="76" borderId="19" xfId="0" applyFont="1" applyFill="1" applyBorder="1" applyAlignment="1">
      <alignment horizontal="center"/>
    </xf>
    <xf numFmtId="1" fontId="73" fillId="71" borderId="19" xfId="0" applyNumberFormat="1" applyFont="1" applyFill="1" applyBorder="1" applyAlignment="1">
      <alignment horizontal="center" vertical="center" wrapText="1"/>
    </xf>
    <xf numFmtId="49" fontId="4" fillId="38" borderId="23" xfId="485" applyNumberFormat="1" applyFill="1" applyBorder="1" applyAlignment="1" applyProtection="1">
      <alignment horizontal="left" vertical="center"/>
      <protection locked="0"/>
    </xf>
    <xf numFmtId="49" fontId="4" fillId="38" borderId="22" xfId="485" applyNumberFormat="1" applyFill="1" applyBorder="1" applyAlignment="1" applyProtection="1">
      <alignment horizontal="left" vertical="center"/>
      <protection locked="0"/>
    </xf>
    <xf numFmtId="49" fontId="4" fillId="38" borderId="26" xfId="485" applyNumberFormat="1" applyFill="1" applyBorder="1" applyAlignment="1" applyProtection="1">
      <alignment horizontal="left" vertical="center"/>
      <protection locked="0"/>
    </xf>
    <xf numFmtId="0" fontId="17" fillId="0" borderId="0" xfId="0" applyFont="1" applyAlignment="1">
      <alignment horizontal="left" vertical="top" wrapText="1"/>
    </xf>
    <xf numFmtId="0" fontId="15" fillId="27" borderId="19" xfId="0" applyFont="1" applyFill="1" applyBorder="1" applyAlignment="1">
      <alignment vertical="center" wrapText="1"/>
    </xf>
    <xf numFmtId="0" fontId="15" fillId="27" borderId="19" xfId="0" applyFont="1" applyFill="1" applyBorder="1"/>
    <xf numFmtId="0" fontId="127" fillId="0" borderId="0" xfId="0" applyFont="1" applyAlignment="1">
      <alignment horizontal="center" vertical="top"/>
    </xf>
    <xf numFmtId="0" fontId="15" fillId="0" borderId="0" xfId="0" applyFont="1" applyAlignment="1">
      <alignment horizontal="center" vertical="top"/>
    </xf>
    <xf numFmtId="0" fontId="4" fillId="0" borderId="23" xfId="485" applyBorder="1" applyAlignment="1">
      <alignment vertical="center"/>
    </xf>
    <xf numFmtId="0" fontId="17" fillId="0" borderId="22" xfId="0" applyFont="1" applyBorder="1" applyAlignment="1">
      <alignment vertical="center"/>
    </xf>
    <xf numFmtId="0" fontId="17" fillId="0" borderId="26" xfId="0" applyFont="1" applyBorder="1" applyAlignment="1">
      <alignment vertical="center"/>
    </xf>
    <xf numFmtId="0" fontId="17" fillId="27" borderId="23" xfId="0" applyFont="1" applyFill="1" applyBorder="1" applyAlignment="1">
      <alignment horizontal="center" vertical="center" wrapText="1"/>
    </xf>
    <xf numFmtId="0" fontId="17" fillId="27" borderId="26" xfId="0" applyFont="1" applyFill="1" applyBorder="1" applyAlignment="1">
      <alignment horizontal="center" vertical="center" wrapText="1"/>
    </xf>
    <xf numFmtId="14" fontId="4" fillId="38" borderId="23" xfId="485" applyNumberFormat="1" applyFill="1" applyBorder="1" applyAlignment="1" applyProtection="1">
      <alignment horizontal="center" vertical="center"/>
      <protection locked="0"/>
    </xf>
    <xf numFmtId="14" fontId="4" fillId="38" borderId="26" xfId="485" applyNumberFormat="1" applyFill="1" applyBorder="1" applyAlignment="1" applyProtection="1">
      <alignment horizontal="center" vertical="center"/>
      <protection locked="0"/>
    </xf>
    <xf numFmtId="14" fontId="4" fillId="0" borderId="23" xfId="485" applyNumberFormat="1" applyBorder="1" applyAlignment="1">
      <alignment horizontal="center" vertical="center"/>
    </xf>
    <xf numFmtId="14" fontId="4" fillId="0" borderId="26" xfId="485" applyNumberFormat="1" applyBorder="1" applyAlignment="1">
      <alignment horizontal="center" vertical="center"/>
    </xf>
    <xf numFmtId="1" fontId="4" fillId="38" borderId="23" xfId="485" applyNumberFormat="1" applyFill="1" applyBorder="1" applyAlignment="1" applyProtection="1">
      <alignment horizontal="left" vertical="center"/>
      <protection locked="0"/>
    </xf>
    <xf numFmtId="1" fontId="4" fillId="38" borderId="22" xfId="485" applyNumberFormat="1" applyFill="1" applyBorder="1" applyAlignment="1" applyProtection="1">
      <alignment horizontal="left" vertical="center"/>
      <protection locked="0"/>
    </xf>
    <xf numFmtId="1" fontId="4" fillId="38" borderId="26" xfId="485" applyNumberFormat="1" applyFill="1" applyBorder="1" applyAlignment="1" applyProtection="1">
      <alignment horizontal="left" vertical="center"/>
      <protection locked="0"/>
    </xf>
    <xf numFmtId="0" fontId="4" fillId="0" borderId="23" xfId="485" applyBorder="1" applyAlignment="1">
      <alignment horizontal="center" vertical="center" wrapText="1"/>
    </xf>
    <xf numFmtId="0" fontId="4" fillId="0" borderId="22" xfId="485" applyBorder="1" applyAlignment="1">
      <alignment horizontal="center" vertical="center" wrapText="1"/>
    </xf>
    <xf numFmtId="0" fontId="4" fillId="0" borderId="26" xfId="485" applyBorder="1" applyAlignment="1">
      <alignment horizontal="center" vertical="center" wrapText="1"/>
    </xf>
    <xf numFmtId="0" fontId="26" fillId="0" borderId="24" xfId="0" applyFont="1" applyBorder="1" applyAlignment="1">
      <alignment horizontal="center" vertical="center" wrapText="1"/>
    </xf>
    <xf numFmtId="0" fontId="26" fillId="0" borderId="45" xfId="0" applyFont="1" applyBorder="1" applyAlignment="1">
      <alignment horizontal="center" vertical="center" wrapText="1"/>
    </xf>
    <xf numFmtId="0" fontId="26" fillId="0" borderId="27" xfId="0" applyFont="1" applyBorder="1" applyAlignment="1">
      <alignment horizontal="center" vertical="center" wrapText="1"/>
    </xf>
    <xf numFmtId="0" fontId="15" fillId="0" borderId="24" xfId="0" applyFont="1" applyBorder="1" applyAlignment="1">
      <alignment horizontal="center" vertical="top" wrapText="1"/>
    </xf>
    <xf numFmtId="0" fontId="15" fillId="0" borderId="27" xfId="0" applyFont="1" applyBorder="1" applyAlignment="1">
      <alignment horizontal="center" vertical="top" wrapText="1"/>
    </xf>
    <xf numFmtId="0" fontId="4" fillId="0" borderId="19" xfId="485" applyBorder="1" applyAlignment="1">
      <alignment horizontal="center" vertical="center"/>
    </xf>
    <xf numFmtId="0" fontId="4" fillId="38" borderId="23" xfId="485" applyFill="1" applyBorder="1" applyAlignment="1" applyProtection="1">
      <alignment horizontal="center" vertical="center"/>
      <protection locked="0"/>
    </xf>
    <xf numFmtId="0" fontId="4" fillId="38" borderId="22" xfId="485" applyFill="1" applyBorder="1" applyAlignment="1" applyProtection="1">
      <alignment horizontal="center" vertical="center"/>
      <protection locked="0"/>
    </xf>
    <xf numFmtId="0" fontId="4" fillId="38" borderId="26" xfId="485" applyFill="1" applyBorder="1" applyAlignment="1" applyProtection="1">
      <alignment horizontal="center" vertical="center"/>
      <protection locked="0"/>
    </xf>
    <xf numFmtId="0" fontId="26" fillId="0" borderId="23" xfId="0" applyFont="1" applyBorder="1" applyAlignment="1">
      <alignment horizontal="center" vertical="center" wrapText="1"/>
    </xf>
    <xf numFmtId="0" fontId="26" fillId="0" borderId="22" xfId="0" applyFont="1" applyBorder="1" applyAlignment="1">
      <alignment horizontal="center" vertical="center" wrapText="1"/>
    </xf>
    <xf numFmtId="0" fontId="26" fillId="0" borderId="26" xfId="0" applyFont="1" applyBorder="1" applyAlignment="1">
      <alignment horizontal="center" vertical="center" wrapText="1"/>
    </xf>
    <xf numFmtId="0" fontId="125" fillId="0" borderId="21" xfId="0" applyFont="1" applyBorder="1" applyAlignment="1">
      <alignment horizontal="center" vertical="center" wrapText="1"/>
    </xf>
    <xf numFmtId="0" fontId="24" fillId="0" borderId="28" xfId="0" applyFont="1" applyBorder="1" applyAlignment="1">
      <alignment horizontal="center" vertical="center" wrapText="1"/>
    </xf>
    <xf numFmtId="0" fontId="24" fillId="0" borderId="29" xfId="0" applyFont="1" applyBorder="1" applyAlignment="1">
      <alignment horizontal="center" vertical="center" wrapText="1"/>
    </xf>
    <xf numFmtId="0" fontId="8" fillId="0" borderId="22" xfId="0" applyFont="1" applyBorder="1" applyAlignment="1">
      <alignment horizontal="center" vertical="top" wrapText="1"/>
    </xf>
    <xf numFmtId="0" fontId="8" fillId="0" borderId="0" xfId="0" applyFont="1" applyAlignment="1">
      <alignment horizontal="justify" wrapText="1"/>
    </xf>
    <xf numFmtId="0" fontId="98" fillId="0" borderId="0" xfId="0" applyFont="1" applyAlignment="1">
      <alignment horizontal="justify"/>
    </xf>
    <xf numFmtId="0" fontId="41" fillId="0" borderId="0" xfId="0" applyFont="1" applyAlignment="1">
      <alignment horizontal="left"/>
    </xf>
    <xf numFmtId="0" fontId="8" fillId="0" borderId="0" xfId="0" applyFont="1" applyAlignment="1">
      <alignment horizontal="justify" vertical="top" wrapText="1"/>
    </xf>
    <xf numFmtId="0" fontId="132" fillId="0" borderId="0" xfId="0" applyFont="1" applyAlignment="1">
      <alignment horizontal="justify" vertical="top"/>
    </xf>
    <xf numFmtId="0" fontId="15" fillId="0" borderId="0" xfId="0" applyFont="1" applyAlignment="1">
      <alignment horizontal="justify" wrapText="1"/>
    </xf>
    <xf numFmtId="0" fontId="15" fillId="0" borderId="0" xfId="0" applyFont="1" applyAlignment="1">
      <alignment horizontal="justify" vertical="center" wrapText="1"/>
    </xf>
    <xf numFmtId="0" fontId="8" fillId="27" borderId="23" xfId="0" applyFont="1" applyFill="1" applyBorder="1" applyAlignment="1">
      <alignment horizontal="left" vertical="center" wrapText="1"/>
    </xf>
    <xf numFmtId="0" fontId="8" fillId="0" borderId="22" xfId="0" applyFont="1" applyBorder="1" applyAlignment="1">
      <alignment horizontal="left" vertical="center" wrapText="1"/>
    </xf>
    <xf numFmtId="0" fontId="8" fillId="0" borderId="26" xfId="0" applyFont="1" applyBorder="1" applyAlignment="1">
      <alignment horizontal="left" vertical="center" wrapText="1"/>
    </xf>
    <xf numFmtId="0" fontId="102" fillId="27" borderId="19" xfId="0" applyFont="1" applyFill="1" applyBorder="1" applyAlignment="1">
      <alignment horizontal="left" vertical="center" wrapText="1"/>
    </xf>
    <xf numFmtId="0" fontId="8" fillId="27" borderId="19" xfId="0" applyFont="1" applyFill="1" applyBorder="1" applyAlignment="1">
      <alignment horizontal="left" vertical="center" wrapText="1"/>
    </xf>
    <xf numFmtId="0" fontId="8" fillId="27" borderId="19" xfId="0" applyFont="1" applyFill="1" applyBorder="1" applyAlignment="1">
      <alignment horizontal="left" vertical="center"/>
    </xf>
    <xf numFmtId="0" fontId="12" fillId="0" borderId="19" xfId="0" applyFont="1" applyBorder="1" applyAlignment="1">
      <alignment horizontal="left" vertical="center" wrapText="1"/>
    </xf>
    <xf numFmtId="0" fontId="9" fillId="27" borderId="23" xfId="485" applyFont="1" applyFill="1" applyBorder="1" applyAlignment="1">
      <alignment horizontal="center" vertical="center" wrapText="1"/>
    </xf>
    <xf numFmtId="0" fontId="9" fillId="27" borderId="22" xfId="485" applyFont="1" applyFill="1" applyBorder="1" applyAlignment="1">
      <alignment horizontal="center" vertical="center" wrapText="1"/>
    </xf>
    <xf numFmtId="0" fontId="9" fillId="27" borderId="26" xfId="485" applyFont="1" applyFill="1" applyBorder="1" applyAlignment="1">
      <alignment horizontal="center" vertical="center" wrapText="1"/>
    </xf>
    <xf numFmtId="0" fontId="8" fillId="32" borderId="23" xfId="0" applyFont="1" applyFill="1" applyBorder="1" applyAlignment="1" applyProtection="1">
      <alignment horizontal="center" vertical="center" wrapText="1"/>
      <protection locked="0"/>
    </xf>
    <xf numFmtId="0" fontId="8" fillId="32" borderId="22" xfId="0" applyFont="1" applyFill="1" applyBorder="1" applyAlignment="1" applyProtection="1">
      <alignment horizontal="center" vertical="center" wrapText="1"/>
      <protection locked="0"/>
    </xf>
    <xf numFmtId="0" fontId="8" fillId="32" borderId="26" xfId="0" applyFont="1" applyFill="1" applyBorder="1" applyAlignment="1" applyProtection="1">
      <alignment horizontal="center" vertical="center" wrapText="1"/>
      <protection locked="0"/>
    </xf>
    <xf numFmtId="0" fontId="12" fillId="27" borderId="19" xfId="0" applyFont="1" applyFill="1" applyBorder="1" applyAlignment="1">
      <alignment horizontal="left" vertical="center" wrapText="1"/>
    </xf>
    <xf numFmtId="0" fontId="15" fillId="0" borderId="0" xfId="0" applyFont="1" applyAlignment="1">
      <alignment horizontal="justify" vertical="top" wrapText="1"/>
    </xf>
    <xf numFmtId="0" fontId="0" fillId="0" borderId="0" xfId="0" applyAlignment="1">
      <alignment horizontal="justify" vertical="top"/>
    </xf>
    <xf numFmtId="0" fontId="8" fillId="0" borderId="0" xfId="0" applyFont="1" applyAlignment="1">
      <alignment horizontal="justify" vertical="center" wrapText="1"/>
    </xf>
    <xf numFmtId="0" fontId="8" fillId="0" borderId="23"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26" xfId="0" applyFont="1" applyBorder="1" applyAlignment="1">
      <alignment horizontal="center" vertical="center" wrapText="1"/>
    </xf>
    <xf numFmtId="0" fontId="15" fillId="38" borderId="23" xfId="0" applyFont="1" applyFill="1" applyBorder="1" applyAlignment="1" applyProtection="1">
      <alignment horizontal="center" vertical="center" wrapText="1"/>
      <protection locked="0"/>
    </xf>
    <xf numFmtId="0" fontId="15" fillId="38" borderId="26" xfId="0" applyFont="1" applyFill="1" applyBorder="1" applyAlignment="1" applyProtection="1">
      <alignment horizontal="center" vertical="center" wrapText="1"/>
      <protection locked="0"/>
    </xf>
    <xf numFmtId="0" fontId="12" fillId="27" borderId="19" xfId="0" quotePrefix="1" applyFont="1" applyFill="1" applyBorder="1" applyAlignment="1">
      <alignment horizontal="left" vertical="center" wrapText="1"/>
    </xf>
    <xf numFmtId="0" fontId="15" fillId="0" borderId="23" xfId="0" applyFont="1" applyBorder="1" applyAlignment="1">
      <alignment horizontal="center" vertical="center" wrapText="1"/>
    </xf>
    <xf numFmtId="0" fontId="15" fillId="0" borderId="26" xfId="0" applyFont="1" applyBorder="1" applyAlignment="1">
      <alignment horizontal="center" vertical="center" wrapText="1"/>
    </xf>
    <xf numFmtId="0" fontId="29" fillId="27" borderId="19" xfId="0" applyFont="1" applyFill="1" applyBorder="1" applyAlignment="1">
      <alignment vertical="center" wrapText="1"/>
    </xf>
    <xf numFmtId="0" fontId="29" fillId="27" borderId="19" xfId="0" applyFont="1" applyFill="1" applyBorder="1"/>
    <xf numFmtId="0" fontId="15" fillId="0" borderId="51" xfId="0" applyFont="1" applyBorder="1" applyAlignment="1">
      <alignment horizontal="center" vertical="top" wrapText="1"/>
    </xf>
    <xf numFmtId="0" fontId="15" fillId="0" borderId="0" xfId="0" applyFont="1" applyAlignment="1">
      <alignment horizontal="center" vertical="top" wrapText="1"/>
    </xf>
    <xf numFmtId="0" fontId="15" fillId="0" borderId="62" xfId="0" applyFont="1" applyBorder="1" applyAlignment="1">
      <alignment horizontal="center" vertical="top" wrapText="1"/>
    </xf>
    <xf numFmtId="0" fontId="15" fillId="0" borderId="25" xfId="0" applyFont="1" applyBorder="1" applyAlignment="1">
      <alignment horizontal="center" vertical="top" wrapText="1"/>
    </xf>
    <xf numFmtId="0" fontId="15" fillId="0" borderId="63" xfId="0" applyFont="1" applyBorder="1" applyAlignment="1">
      <alignment horizontal="center" vertical="top" wrapText="1"/>
    </xf>
    <xf numFmtId="0" fontId="15" fillId="0" borderId="42" xfId="0" applyFont="1" applyBorder="1" applyAlignment="1">
      <alignment horizontal="center" vertical="top" wrapText="1"/>
    </xf>
    <xf numFmtId="0" fontId="8" fillId="0" borderId="23" xfId="0" applyFont="1" applyBorder="1" applyAlignment="1">
      <alignment horizontal="left" vertical="center" wrapText="1"/>
    </xf>
    <xf numFmtId="0" fontId="4" fillId="0" borderId="22" xfId="0" applyFont="1" applyBorder="1" applyAlignment="1">
      <alignment horizontal="left" vertical="center" wrapText="1"/>
    </xf>
    <xf numFmtId="0" fontId="4" fillId="0" borderId="26" xfId="0" applyFont="1" applyBorder="1" applyAlignment="1">
      <alignment horizontal="left" vertical="center" wrapText="1"/>
    </xf>
    <xf numFmtId="0" fontId="17" fillId="0" borderId="0" xfId="0" applyFont="1" applyAlignment="1">
      <alignment horizontal="center" vertical="center" wrapText="1"/>
    </xf>
    <xf numFmtId="0" fontId="29" fillId="27" borderId="23" xfId="0" applyFont="1" applyFill="1" applyBorder="1" applyAlignment="1">
      <alignment vertical="center" wrapText="1"/>
    </xf>
    <xf numFmtId="0" fontId="29" fillId="27" borderId="22" xfId="0" applyFont="1" applyFill="1" applyBorder="1" applyAlignment="1">
      <alignment vertical="center" wrapText="1"/>
    </xf>
    <xf numFmtId="0" fontId="29" fillId="27" borderId="26" xfId="0" applyFont="1" applyFill="1" applyBorder="1"/>
    <xf numFmtId="0" fontId="102" fillId="0" borderId="0" xfId="0" applyFont="1" applyAlignment="1">
      <alignment horizontal="left" wrapText="1"/>
    </xf>
    <xf numFmtId="0" fontId="0" fillId="0" borderId="0" xfId="0" applyAlignment="1">
      <alignment horizontal="left" wrapText="1"/>
    </xf>
    <xf numFmtId="0" fontId="145" fillId="0" borderId="46" xfId="0" applyFont="1" applyBorder="1" applyAlignment="1">
      <alignment horizontal="center" vertical="center" wrapText="1"/>
    </xf>
    <xf numFmtId="0" fontId="145" fillId="0" borderId="48" xfId="0" applyFont="1" applyBorder="1" applyAlignment="1">
      <alignment horizontal="center" vertical="center" wrapText="1"/>
    </xf>
    <xf numFmtId="0" fontId="145" fillId="0" borderId="36" xfId="0" applyFont="1" applyBorder="1" applyAlignment="1">
      <alignment horizontal="center" vertical="center" wrapText="1"/>
    </xf>
    <xf numFmtId="0" fontId="145" fillId="0" borderId="30" xfId="0" applyFont="1" applyBorder="1" applyAlignment="1">
      <alignment horizontal="center" vertical="center" wrapText="1"/>
    </xf>
    <xf numFmtId="0" fontId="145" fillId="0" borderId="35" xfId="0" applyFont="1" applyBorder="1" applyAlignment="1">
      <alignment horizontal="center" vertical="center" wrapText="1"/>
    </xf>
    <xf numFmtId="0" fontId="19" fillId="0" borderId="0" xfId="0" applyFont="1" applyAlignment="1">
      <alignment horizontal="left" vertical="center" wrapText="1"/>
    </xf>
    <xf numFmtId="0" fontId="100" fillId="0" borderId="0" xfId="0" applyFont="1" applyAlignment="1">
      <alignment horizontal="justify" vertical="center"/>
    </xf>
    <xf numFmtId="0" fontId="102" fillId="0" borderId="0" xfId="0" applyFont="1" applyAlignment="1">
      <alignment horizontal="justify" vertical="justify" wrapText="1"/>
    </xf>
    <xf numFmtId="0" fontId="0" fillId="0" borderId="0" xfId="0" applyAlignment="1">
      <alignment horizontal="justify" vertical="justify" wrapText="1"/>
    </xf>
    <xf numFmtId="165" fontId="8" fillId="80" borderId="60" xfId="566" applyNumberFormat="1" applyFont="1" applyFill="1" applyBorder="1" applyAlignment="1" applyProtection="1">
      <alignment horizontal="center" vertical="center"/>
    </xf>
    <xf numFmtId="165" fontId="8" fillId="80" borderId="64" xfId="566" applyNumberFormat="1" applyFont="1" applyFill="1" applyBorder="1" applyAlignment="1" applyProtection="1">
      <alignment horizontal="center" vertical="center"/>
    </xf>
    <xf numFmtId="165" fontId="8" fillId="80" borderId="65" xfId="566" applyNumberFormat="1" applyFont="1" applyFill="1" applyBorder="1" applyAlignment="1" applyProtection="1">
      <alignment horizontal="center" vertical="center"/>
    </xf>
    <xf numFmtId="165" fontId="8" fillId="80" borderId="66" xfId="566" applyNumberFormat="1" applyFont="1" applyFill="1" applyBorder="1" applyAlignment="1" applyProtection="1">
      <alignment horizontal="center" vertical="center"/>
    </xf>
    <xf numFmtId="165" fontId="8" fillId="0" borderId="20" xfId="566" applyNumberFormat="1" applyFont="1" applyFill="1" applyBorder="1" applyAlignment="1" applyProtection="1">
      <alignment horizontal="center" vertical="center"/>
    </xf>
    <xf numFmtId="165" fontId="8" fillId="0" borderId="32" xfId="566" applyNumberFormat="1" applyFont="1" applyFill="1" applyBorder="1" applyAlignment="1" applyProtection="1">
      <alignment horizontal="center" wrapText="1"/>
    </xf>
    <xf numFmtId="165" fontId="8" fillId="0" borderId="43" xfId="566" applyNumberFormat="1" applyFont="1" applyFill="1" applyBorder="1" applyAlignment="1" applyProtection="1">
      <alignment horizontal="center" wrapText="1"/>
    </xf>
    <xf numFmtId="0" fontId="19" fillId="32" borderId="32" xfId="0" applyFont="1" applyFill="1" applyBorder="1" applyAlignment="1" applyProtection="1">
      <alignment horizontal="left" vertical="center" wrapText="1"/>
      <protection locked="0"/>
    </xf>
    <xf numFmtId="0" fontId="12" fillId="39" borderId="20" xfId="0" applyFont="1" applyFill="1" applyBorder="1" applyAlignment="1" applyProtection="1">
      <alignment horizontal="left" vertical="center" wrapText="1"/>
      <protection locked="0"/>
    </xf>
    <xf numFmtId="0" fontId="19" fillId="32" borderId="32" xfId="0" quotePrefix="1" applyFont="1" applyFill="1" applyBorder="1" applyAlignment="1" applyProtection="1">
      <alignment horizontal="left" vertical="center" wrapText="1"/>
      <protection locked="0"/>
    </xf>
    <xf numFmtId="0" fontId="8" fillId="0" borderId="60" xfId="0" applyFont="1" applyBorder="1" applyAlignment="1">
      <alignment horizontal="left" vertical="center" wrapText="1" readingOrder="1"/>
    </xf>
    <xf numFmtId="0" fontId="8" fillId="0" borderId="64" xfId="0" applyFont="1" applyBorder="1" applyAlignment="1">
      <alignment horizontal="left" vertical="center" wrapText="1" readingOrder="1"/>
    </xf>
    <xf numFmtId="0" fontId="8" fillId="0" borderId="65" xfId="0" applyFont="1" applyBorder="1" applyAlignment="1">
      <alignment horizontal="left" vertical="center" wrapText="1" readingOrder="1"/>
    </xf>
    <xf numFmtId="0" fontId="8" fillId="0" borderId="66" xfId="0" applyFont="1" applyBorder="1" applyAlignment="1">
      <alignment horizontal="left" vertical="center" wrapText="1" readingOrder="1"/>
    </xf>
    <xf numFmtId="0" fontId="8" fillId="0" borderId="67" xfId="0" applyFont="1" applyBorder="1" applyAlignment="1">
      <alignment horizontal="left" vertical="center" wrapText="1" readingOrder="1"/>
    </xf>
    <xf numFmtId="0" fontId="8" fillId="0" borderId="68" xfId="0" applyFont="1" applyBorder="1" applyAlignment="1">
      <alignment horizontal="left" vertical="center" wrapText="1" readingOrder="1"/>
    </xf>
    <xf numFmtId="0" fontId="8" fillId="0" borderId="32" xfId="0" applyFont="1" applyBorder="1" applyAlignment="1">
      <alignment horizontal="left" vertical="center" wrapText="1" readingOrder="1"/>
    </xf>
    <xf numFmtId="0" fontId="8" fillId="0" borderId="43" xfId="0" applyFont="1" applyBorder="1" applyAlignment="1">
      <alignment horizontal="left" vertical="center" wrapText="1" readingOrder="1"/>
    </xf>
    <xf numFmtId="0" fontId="8" fillId="0" borderId="33" xfId="0" applyFont="1" applyBorder="1" applyAlignment="1">
      <alignment horizontal="left" vertical="center" wrapText="1" readingOrder="1"/>
    </xf>
    <xf numFmtId="0" fontId="8" fillId="27" borderId="60" xfId="0" applyFont="1" applyFill="1" applyBorder="1" applyAlignment="1">
      <alignment horizontal="left" vertical="center" wrapText="1" readingOrder="1"/>
    </xf>
    <xf numFmtId="0" fontId="8" fillId="27" borderId="64" xfId="0" applyFont="1" applyFill="1" applyBorder="1" applyAlignment="1">
      <alignment horizontal="left" vertical="center" wrapText="1" readingOrder="1"/>
    </xf>
    <xf numFmtId="0" fontId="8" fillId="27" borderId="65" xfId="0" applyFont="1" applyFill="1" applyBorder="1" applyAlignment="1">
      <alignment horizontal="left" vertical="center" wrapText="1" readingOrder="1"/>
    </xf>
    <xf numFmtId="0" fontId="8" fillId="27" borderId="66" xfId="0" applyFont="1" applyFill="1" applyBorder="1" applyAlignment="1">
      <alignment horizontal="left" vertical="center" wrapText="1" readingOrder="1"/>
    </xf>
    <xf numFmtId="0" fontId="8" fillId="27" borderId="67" xfId="0" applyFont="1" applyFill="1" applyBorder="1" applyAlignment="1">
      <alignment horizontal="left" vertical="center" wrapText="1" readingOrder="1"/>
    </xf>
    <xf numFmtId="0" fontId="8" fillId="27" borderId="68" xfId="0" applyFont="1" applyFill="1" applyBorder="1" applyAlignment="1">
      <alignment horizontal="left" vertical="center" wrapText="1" readingOrder="1"/>
    </xf>
    <xf numFmtId="0" fontId="59" fillId="0" borderId="60" xfId="0" applyFont="1" applyBorder="1" applyAlignment="1">
      <alignment horizontal="center" vertical="center" wrapText="1"/>
    </xf>
    <xf numFmtId="0" fontId="59" fillId="0" borderId="64" xfId="0" applyFont="1" applyBorder="1" applyAlignment="1">
      <alignment horizontal="center" vertical="center" wrapText="1"/>
    </xf>
    <xf numFmtId="0" fontId="59" fillId="0" borderId="65" xfId="0" applyFont="1" applyBorder="1" applyAlignment="1">
      <alignment horizontal="center" vertical="center" wrapText="1"/>
    </xf>
    <xf numFmtId="0" fontId="59" fillId="0" borderId="66" xfId="0" applyFont="1" applyBorder="1" applyAlignment="1">
      <alignment horizontal="center" vertical="center" wrapText="1"/>
    </xf>
    <xf numFmtId="0" fontId="59" fillId="0" borderId="67" xfId="0" applyFont="1" applyBorder="1" applyAlignment="1">
      <alignment horizontal="center" vertical="center" wrapText="1"/>
    </xf>
    <xf numFmtId="0" fontId="59" fillId="0" borderId="68" xfId="0" applyFont="1" applyBorder="1" applyAlignment="1">
      <alignment horizontal="center" vertical="center" wrapText="1"/>
    </xf>
    <xf numFmtId="9" fontId="148" fillId="0" borderId="32" xfId="0" applyNumberFormat="1" applyFont="1" applyBorder="1" applyAlignment="1">
      <alignment horizontal="center" vertical="center" wrapText="1"/>
    </xf>
    <xf numFmtId="9" fontId="148" fillId="0" borderId="43" xfId="0" applyNumberFormat="1" applyFont="1" applyBorder="1" applyAlignment="1">
      <alignment horizontal="center" vertical="center" wrapText="1"/>
    </xf>
    <xf numFmtId="9" fontId="148" fillId="0" borderId="33" xfId="0" applyNumberFormat="1" applyFont="1" applyBorder="1" applyAlignment="1">
      <alignment horizontal="center" vertical="center" wrapText="1"/>
    </xf>
    <xf numFmtId="0" fontId="148" fillId="0" borderId="60" xfId="0" applyFont="1" applyBorder="1" applyAlignment="1">
      <alignment horizontal="center" vertical="center" wrapText="1"/>
    </xf>
    <xf numFmtId="0" fontId="148" fillId="0" borderId="64" xfId="0" applyFont="1" applyBorder="1" applyAlignment="1">
      <alignment horizontal="center" vertical="center" wrapText="1"/>
    </xf>
    <xf numFmtId="0" fontId="148" fillId="0" borderId="65" xfId="0" applyFont="1" applyBorder="1" applyAlignment="1">
      <alignment horizontal="center" vertical="center" wrapText="1"/>
    </xf>
    <xf numFmtId="0" fontId="148" fillId="0" borderId="66" xfId="0" applyFont="1" applyBorder="1" applyAlignment="1">
      <alignment horizontal="center" vertical="center" wrapText="1"/>
    </xf>
    <xf numFmtId="0" fontId="148" fillId="0" borderId="67" xfId="0" applyFont="1" applyBorder="1" applyAlignment="1">
      <alignment horizontal="center" vertical="center" wrapText="1"/>
    </xf>
    <xf numFmtId="0" fontId="148" fillId="0" borderId="68"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43" xfId="0" applyFont="1" applyBorder="1" applyAlignment="1">
      <alignment horizontal="center" vertical="center" wrapText="1"/>
    </xf>
    <xf numFmtId="0" fontId="59" fillId="0" borderId="33" xfId="0" applyFont="1" applyBorder="1" applyAlignment="1">
      <alignment horizontal="center" vertical="center" wrapText="1"/>
    </xf>
    <xf numFmtId="49" fontId="31" fillId="0" borderId="32" xfId="0" applyNumberFormat="1" applyFont="1" applyBorder="1" applyAlignment="1">
      <alignment horizontal="center" vertical="center" wrapText="1" readingOrder="1"/>
    </xf>
    <xf numFmtId="49" fontId="31" fillId="0" borderId="43" xfId="0" applyNumberFormat="1" applyFont="1" applyBorder="1" applyAlignment="1">
      <alignment horizontal="center" vertical="center" wrapText="1" readingOrder="1"/>
    </xf>
    <xf numFmtId="49" fontId="31" fillId="0" borderId="33" xfId="0" applyNumberFormat="1" applyFont="1" applyBorder="1" applyAlignment="1">
      <alignment horizontal="center" vertical="center" wrapText="1" readingOrder="1"/>
    </xf>
    <xf numFmtId="165" fontId="8" fillId="82" borderId="18" xfId="566" applyNumberFormat="1" applyFont="1" applyFill="1" applyBorder="1" applyAlignment="1" applyProtection="1">
      <alignment horizontal="left" vertical="center" wrapText="1"/>
    </xf>
    <xf numFmtId="165" fontId="8" fillId="82" borderId="81" xfId="566" applyNumberFormat="1" applyFont="1" applyFill="1" applyBorder="1" applyAlignment="1" applyProtection="1">
      <alignment horizontal="left" vertical="center" wrapText="1"/>
    </xf>
    <xf numFmtId="165" fontId="8" fillId="82" borderId="69" xfId="566" applyNumberFormat="1" applyFont="1" applyFill="1" applyBorder="1" applyAlignment="1" applyProtection="1">
      <alignment horizontal="left" vertical="center" wrapText="1"/>
    </xf>
    <xf numFmtId="0" fontId="15" fillId="0" borderId="0" xfId="0" applyFont="1" applyAlignment="1">
      <alignment horizontal="left" vertical="center" wrapText="1"/>
    </xf>
    <xf numFmtId="0" fontId="15" fillId="0" borderId="0" xfId="0" applyFont="1" applyAlignment="1">
      <alignment horizontal="left" vertical="center"/>
    </xf>
    <xf numFmtId="0" fontId="15" fillId="0" borderId="0" xfId="0" applyFont="1" applyAlignment="1">
      <alignment horizontal="justify" vertical="justify" wrapText="1"/>
    </xf>
    <xf numFmtId="0" fontId="30" fillId="34" borderId="20" xfId="0" applyFont="1" applyFill="1" applyBorder="1" applyAlignment="1">
      <alignment horizontal="center" vertical="center" wrapText="1"/>
    </xf>
    <xf numFmtId="0" fontId="102" fillId="0" borderId="32" xfId="0" applyFont="1" applyBorder="1" applyAlignment="1">
      <alignment horizontal="center" vertical="center" wrapText="1" readingOrder="1"/>
    </xf>
    <xf numFmtId="0" fontId="102" fillId="0" borderId="43" xfId="0" applyFont="1" applyBorder="1" applyAlignment="1">
      <alignment horizontal="center" vertical="center" wrapText="1" readingOrder="1"/>
    </xf>
    <xf numFmtId="0" fontId="102" fillId="0" borderId="33" xfId="0" applyFont="1" applyBorder="1" applyAlignment="1">
      <alignment horizontal="center" vertical="center" wrapText="1" readingOrder="1"/>
    </xf>
    <xf numFmtId="9" fontId="59" fillId="0" borderId="32" xfId="0" applyNumberFormat="1" applyFont="1" applyBorder="1" applyAlignment="1">
      <alignment horizontal="center" vertical="center" wrapText="1"/>
    </xf>
    <xf numFmtId="9" fontId="59" fillId="0" borderId="43" xfId="0" applyNumberFormat="1" applyFont="1" applyBorder="1" applyAlignment="1">
      <alignment horizontal="center" vertical="center" wrapText="1"/>
    </xf>
    <xf numFmtId="9" fontId="59" fillId="0" borderId="33" xfId="0" applyNumberFormat="1" applyFont="1" applyBorder="1" applyAlignment="1">
      <alignment horizontal="center" vertical="center" wrapText="1"/>
    </xf>
    <xf numFmtId="165" fontId="8" fillId="83" borderId="60" xfId="566" applyNumberFormat="1" applyFont="1" applyFill="1" applyBorder="1" applyAlignment="1" applyProtection="1">
      <alignment horizontal="center" vertical="center"/>
    </xf>
    <xf numFmtId="165" fontId="8" fillId="83" borderId="64" xfId="566" applyNumberFormat="1" applyFont="1" applyFill="1" applyBorder="1" applyAlignment="1" applyProtection="1">
      <alignment horizontal="center" vertical="center"/>
    </xf>
    <xf numFmtId="165" fontId="8" fillId="83" borderId="67" xfId="566" applyNumberFormat="1" applyFont="1" applyFill="1" applyBorder="1" applyAlignment="1" applyProtection="1">
      <alignment horizontal="center" vertical="center"/>
    </xf>
    <xf numFmtId="165" fontId="8" fillId="83" borderId="68" xfId="566" applyNumberFormat="1" applyFont="1" applyFill="1" applyBorder="1" applyAlignment="1" applyProtection="1">
      <alignment horizontal="center" vertical="center"/>
    </xf>
    <xf numFmtId="49" fontId="133" fillId="0" borderId="32" xfId="0" applyNumberFormat="1" applyFont="1" applyBorder="1" applyAlignment="1">
      <alignment horizontal="center" vertical="center" wrapText="1" readingOrder="1"/>
    </xf>
    <xf numFmtId="49" fontId="133" fillId="0" borderId="43" xfId="0" applyNumberFormat="1" applyFont="1" applyBorder="1" applyAlignment="1">
      <alignment horizontal="center" vertical="center" wrapText="1" readingOrder="1"/>
    </xf>
    <xf numFmtId="49" fontId="133" fillId="0" borderId="33" xfId="0" applyNumberFormat="1" applyFont="1" applyBorder="1" applyAlignment="1">
      <alignment horizontal="center" vertical="center" wrapText="1" readingOrder="1"/>
    </xf>
    <xf numFmtId="0" fontId="147" fillId="0" borderId="69" xfId="0" applyFont="1" applyBorder="1" applyAlignment="1">
      <alignment horizontal="center" vertical="center" wrapText="1"/>
    </xf>
    <xf numFmtId="0" fontId="147" fillId="0" borderId="20" xfId="0" applyFont="1" applyBorder="1" applyAlignment="1">
      <alignment horizontal="center" vertical="center" wrapText="1"/>
    </xf>
    <xf numFmtId="0" fontId="15" fillId="0" borderId="32" xfId="0" applyFont="1" applyBorder="1" applyAlignment="1">
      <alignment vertical="center" wrapText="1"/>
    </xf>
    <xf numFmtId="0" fontId="15" fillId="0" borderId="43" xfId="0" applyFont="1" applyBorder="1" applyAlignment="1">
      <alignment vertical="center" wrapText="1"/>
    </xf>
    <xf numFmtId="0" fontId="15" fillId="0" borderId="33" xfId="0" applyFont="1" applyBorder="1" applyAlignment="1">
      <alignment vertical="center" wrapText="1"/>
    </xf>
    <xf numFmtId="1" fontId="26" fillId="28" borderId="20" xfId="0" applyNumberFormat="1" applyFont="1" applyFill="1" applyBorder="1" applyAlignment="1">
      <alignment horizontal="center" vertical="center" wrapText="1"/>
    </xf>
    <xf numFmtId="1" fontId="26" fillId="28" borderId="32" xfId="0" applyNumberFormat="1" applyFont="1" applyFill="1" applyBorder="1" applyAlignment="1">
      <alignment horizontal="center" vertical="center" wrapText="1"/>
    </xf>
    <xf numFmtId="0" fontId="30" fillId="34" borderId="64" xfId="0" applyFont="1" applyFill="1" applyBorder="1" applyAlignment="1">
      <alignment horizontal="center" vertical="center" wrapText="1"/>
    </xf>
    <xf numFmtId="0" fontId="30" fillId="34" borderId="66" xfId="0" applyFont="1" applyFill="1" applyBorder="1" applyAlignment="1">
      <alignment horizontal="center" vertical="center" wrapText="1"/>
    </xf>
    <xf numFmtId="0" fontId="30" fillId="34" borderId="33" xfId="0" applyFont="1" applyFill="1" applyBorder="1" applyAlignment="1">
      <alignment horizontal="center" vertical="center" wrapText="1"/>
    </xf>
    <xf numFmtId="1" fontId="26" fillId="28" borderId="43" xfId="0" applyNumberFormat="1" applyFont="1" applyFill="1" applyBorder="1" applyAlignment="1">
      <alignment horizontal="center" vertical="center" wrapText="1"/>
    </xf>
    <xf numFmtId="1" fontId="26" fillId="28" borderId="33" xfId="0" applyNumberFormat="1" applyFont="1" applyFill="1" applyBorder="1" applyAlignment="1">
      <alignment horizontal="center" vertical="center" wrapText="1"/>
    </xf>
    <xf numFmtId="0" fontId="30" fillId="34" borderId="32" xfId="0" applyFont="1" applyFill="1" applyBorder="1" applyAlignment="1">
      <alignment horizontal="center" vertical="center" wrapText="1"/>
    </xf>
    <xf numFmtId="0" fontId="30" fillId="34" borderId="43" xfId="0" applyFont="1" applyFill="1" applyBorder="1" applyAlignment="1">
      <alignment horizontal="center" vertical="center" wrapText="1"/>
    </xf>
    <xf numFmtId="0" fontId="46" fillId="0" borderId="64" xfId="0" applyFont="1" applyBorder="1"/>
    <xf numFmtId="0" fontId="46" fillId="0" borderId="66" xfId="0" applyFont="1" applyBorder="1"/>
    <xf numFmtId="0" fontId="46" fillId="0" borderId="68" xfId="0" applyFont="1" applyBorder="1"/>
    <xf numFmtId="0" fontId="8" fillId="0" borderId="60" xfId="0" quotePrefix="1" applyFont="1" applyBorder="1" applyAlignment="1">
      <alignment horizontal="left" vertical="center" wrapText="1" readingOrder="1"/>
    </xf>
    <xf numFmtId="0" fontId="8" fillId="0" borderId="64" xfId="0" quotePrefix="1" applyFont="1" applyBorder="1" applyAlignment="1">
      <alignment horizontal="left" vertical="center" wrapText="1" readingOrder="1"/>
    </xf>
    <xf numFmtId="0" fontId="8" fillId="0" borderId="65" xfId="0" quotePrefix="1" applyFont="1" applyBorder="1" applyAlignment="1">
      <alignment horizontal="left" vertical="center" wrapText="1" readingOrder="1"/>
    </xf>
    <xf numFmtId="0" fontId="8" fillId="0" borderId="66" xfId="0" quotePrefix="1" applyFont="1" applyBorder="1" applyAlignment="1">
      <alignment horizontal="left" vertical="center" wrapText="1" readingOrder="1"/>
    </xf>
    <xf numFmtId="0" fontId="8" fillId="0" borderId="67" xfId="0" quotePrefix="1" applyFont="1" applyBorder="1" applyAlignment="1">
      <alignment horizontal="left" vertical="center" wrapText="1" readingOrder="1"/>
    </xf>
    <xf numFmtId="0" fontId="8" fillId="0" borderId="68" xfId="0" quotePrefix="1" applyFont="1" applyBorder="1" applyAlignment="1">
      <alignment horizontal="left" vertical="center" wrapText="1" readingOrder="1"/>
    </xf>
    <xf numFmtId="0" fontId="8" fillId="27" borderId="60" xfId="0" quotePrefix="1" applyFont="1" applyFill="1" applyBorder="1" applyAlignment="1">
      <alignment horizontal="left" vertical="center" wrapText="1" readingOrder="1"/>
    </xf>
    <xf numFmtId="0" fontId="8" fillId="27" borderId="64" xfId="0" quotePrefix="1" applyFont="1" applyFill="1" applyBorder="1" applyAlignment="1">
      <alignment horizontal="left" vertical="center" wrapText="1" readingOrder="1"/>
    </xf>
    <xf numFmtId="0" fontId="8" fillId="27" borderId="65" xfId="0" quotePrefix="1" applyFont="1" applyFill="1" applyBorder="1" applyAlignment="1">
      <alignment horizontal="left" vertical="center" wrapText="1" readingOrder="1"/>
    </xf>
    <xf numFmtId="0" fontId="8" fillId="27" borderId="66" xfId="0" quotePrefix="1" applyFont="1" applyFill="1" applyBorder="1" applyAlignment="1">
      <alignment horizontal="left" vertical="center" wrapText="1" readingOrder="1"/>
    </xf>
    <xf numFmtId="0" fontId="8" fillId="27" borderId="67" xfId="0" quotePrefix="1" applyFont="1" applyFill="1" applyBorder="1" applyAlignment="1">
      <alignment horizontal="left" vertical="center" wrapText="1" readingOrder="1"/>
    </xf>
    <xf numFmtId="0" fontId="8" fillId="27" borderId="68" xfId="0" quotePrefix="1" applyFont="1" applyFill="1" applyBorder="1" applyAlignment="1">
      <alignment horizontal="left" vertical="center" wrapText="1" readingOrder="1"/>
    </xf>
    <xf numFmtId="0" fontId="148" fillId="0" borderId="32" xfId="0" applyFont="1" applyBorder="1" applyAlignment="1">
      <alignment horizontal="center" vertical="center" wrapText="1"/>
    </xf>
    <xf numFmtId="0" fontId="148" fillId="0" borderId="43" xfId="0" applyFont="1" applyBorder="1" applyAlignment="1">
      <alignment horizontal="center" vertical="center" wrapText="1"/>
    </xf>
    <xf numFmtId="0" fontId="148" fillId="0" borderId="33" xfId="0" applyFont="1" applyBorder="1" applyAlignment="1">
      <alignment horizontal="center" vertical="center" wrapText="1"/>
    </xf>
    <xf numFmtId="0" fontId="30" fillId="34" borderId="69" xfId="0" applyFont="1" applyFill="1" applyBorder="1" applyAlignment="1">
      <alignment horizontal="center" vertical="center" wrapText="1"/>
    </xf>
    <xf numFmtId="0" fontId="102" fillId="0" borderId="20" xfId="0" applyFont="1" applyBorder="1" applyAlignment="1">
      <alignment horizontal="center" vertical="center" wrapText="1" readingOrder="1"/>
    </xf>
    <xf numFmtId="0" fontId="8" fillId="0" borderId="20" xfId="0" applyFont="1" applyBorder="1" applyAlignment="1">
      <alignment horizontal="center" vertical="center" wrapText="1" readingOrder="1"/>
    </xf>
    <xf numFmtId="0" fontId="8" fillId="0" borderId="20" xfId="0" applyFont="1" applyBorder="1" applyAlignment="1">
      <alignment horizontal="left" vertical="center" wrapText="1" readingOrder="1"/>
    </xf>
    <xf numFmtId="0" fontId="46" fillId="0" borderId="64" xfId="0" applyFont="1" applyBorder="1" applyAlignment="1">
      <alignment horizontal="left" vertical="center" wrapText="1" readingOrder="1"/>
    </xf>
    <xf numFmtId="0" fontId="46" fillId="0" borderId="66" xfId="0" applyFont="1" applyBorder="1" applyAlignment="1">
      <alignment horizontal="left" vertical="center" wrapText="1" readingOrder="1"/>
    </xf>
    <xf numFmtId="0" fontId="46" fillId="0" borderId="68" xfId="0" applyFont="1" applyBorder="1" applyAlignment="1">
      <alignment horizontal="left" vertical="center" wrapText="1" readingOrder="1"/>
    </xf>
    <xf numFmtId="9" fontId="134" fillId="0" borderId="32" xfId="0" applyNumberFormat="1" applyFont="1" applyBorder="1" applyAlignment="1">
      <alignment horizontal="center" vertical="center" wrapText="1"/>
    </xf>
    <xf numFmtId="0" fontId="134" fillId="0" borderId="43" xfId="0" applyFont="1" applyBorder="1" applyAlignment="1">
      <alignment horizontal="center" vertical="center" wrapText="1"/>
    </xf>
    <xf numFmtId="0" fontId="134" fillId="0" borderId="33" xfId="0" applyFont="1" applyBorder="1" applyAlignment="1">
      <alignment horizontal="center" vertical="center" wrapText="1"/>
    </xf>
    <xf numFmtId="0" fontId="98" fillId="0" borderId="64" xfId="0" applyFont="1" applyBorder="1"/>
    <xf numFmtId="0" fontId="98" fillId="0" borderId="66" xfId="0" applyFont="1" applyBorder="1"/>
    <xf numFmtId="0" fontId="98" fillId="0" borderId="68" xfId="0" applyFont="1" applyBorder="1"/>
    <xf numFmtId="49" fontId="15" fillId="0" borderId="20" xfId="0" applyNumberFormat="1" applyFont="1" applyBorder="1" applyAlignment="1">
      <alignment horizontal="center" vertical="center" wrapText="1" readingOrder="1"/>
    </xf>
    <xf numFmtId="0" fontId="98" fillId="0" borderId="64" xfId="0" applyFont="1" applyBorder="1" applyAlignment="1">
      <alignment horizontal="left" vertical="center" wrapText="1" readingOrder="1"/>
    </xf>
    <xf numFmtId="0" fontId="98" fillId="0" borderId="66" xfId="0" applyFont="1" applyBorder="1" applyAlignment="1">
      <alignment horizontal="left" vertical="center" wrapText="1" readingOrder="1"/>
    </xf>
    <xf numFmtId="0" fontId="98" fillId="0" borderId="68" xfId="0" applyFont="1" applyBorder="1" applyAlignment="1">
      <alignment horizontal="left" vertical="center" wrapText="1" readingOrder="1"/>
    </xf>
    <xf numFmtId="0" fontId="29" fillId="0" borderId="18" xfId="0" applyFont="1" applyBorder="1" applyAlignment="1">
      <alignment horizontal="center" vertical="center"/>
    </xf>
    <xf numFmtId="0" fontId="29" fillId="0" borderId="69" xfId="0" applyFont="1" applyBorder="1" applyAlignment="1">
      <alignment horizontal="center" vertical="center"/>
    </xf>
    <xf numFmtId="0" fontId="19" fillId="32" borderId="43" xfId="0" applyFont="1" applyFill="1" applyBorder="1" applyAlignment="1" applyProtection="1">
      <alignment horizontal="left" vertical="center" wrapText="1"/>
      <protection locked="0"/>
    </xf>
    <xf numFmtId="0" fontId="19" fillId="32" borderId="33" xfId="0" applyFont="1" applyFill="1" applyBorder="1" applyAlignment="1" applyProtection="1">
      <alignment horizontal="left" vertical="center" wrapText="1"/>
      <protection locked="0"/>
    </xf>
    <xf numFmtId="0" fontId="29" fillId="0" borderId="32" xfId="0" applyFont="1" applyBorder="1" applyAlignment="1">
      <alignment horizontal="center" vertical="center" wrapText="1"/>
    </xf>
    <xf numFmtId="0" fontId="24" fillId="0" borderId="33" xfId="0" applyFont="1" applyBorder="1" applyAlignment="1">
      <alignment horizontal="center" vertical="center" wrapText="1"/>
    </xf>
    <xf numFmtId="49" fontId="8" fillId="0" borderId="20" xfId="0" applyNumberFormat="1" applyFont="1" applyBorder="1" applyAlignment="1">
      <alignment horizontal="center" vertical="center" wrapText="1" readingOrder="1"/>
    </xf>
    <xf numFmtId="0" fontId="29" fillId="0" borderId="33" xfId="0" applyFont="1" applyBorder="1" applyAlignment="1">
      <alignment horizontal="center" vertical="center" wrapText="1"/>
    </xf>
    <xf numFmtId="0" fontId="29" fillId="0" borderId="60" xfId="0" applyFont="1" applyBorder="1" applyAlignment="1">
      <alignment horizontal="center" vertical="center" wrapText="1"/>
    </xf>
    <xf numFmtId="0" fontId="24" fillId="0" borderId="64" xfId="0" applyFont="1" applyBorder="1" applyAlignment="1">
      <alignment horizontal="center" vertical="center" wrapText="1"/>
    </xf>
    <xf numFmtId="0" fontId="24" fillId="0" borderId="67" xfId="0" applyFont="1" applyBorder="1" applyAlignment="1">
      <alignment horizontal="center" vertical="center" wrapText="1"/>
    </xf>
    <xf numFmtId="0" fontId="24" fillId="0" borderId="68" xfId="0" applyFont="1" applyBorder="1" applyAlignment="1">
      <alignment horizontal="center" vertical="center" wrapText="1"/>
    </xf>
    <xf numFmtId="0" fontId="29" fillId="0" borderId="64" xfId="0" applyFont="1" applyBorder="1" applyAlignment="1">
      <alignment horizontal="center" vertical="center" wrapText="1"/>
    </xf>
    <xf numFmtId="0" fontId="29" fillId="0" borderId="67" xfId="0" applyFont="1" applyBorder="1" applyAlignment="1">
      <alignment horizontal="center" vertical="center" wrapText="1"/>
    </xf>
    <xf numFmtId="0" fontId="29" fillId="0" borderId="68" xfId="0" applyFont="1" applyBorder="1" applyAlignment="1">
      <alignment horizontal="center" vertical="center" wrapText="1"/>
    </xf>
    <xf numFmtId="0" fontId="60" fillId="0" borderId="32" xfId="0" applyFont="1" applyBorder="1" applyAlignment="1">
      <alignment horizontal="center" vertical="center" wrapText="1"/>
    </xf>
    <xf numFmtId="0" fontId="60" fillId="0" borderId="33" xfId="0" applyFont="1" applyBorder="1" applyAlignment="1">
      <alignment horizontal="center" vertical="center" wrapText="1"/>
    </xf>
    <xf numFmtId="0" fontId="60" fillId="0" borderId="20" xfId="0" applyFont="1" applyBorder="1" applyAlignment="1">
      <alignment horizontal="center" vertical="center" wrapText="1"/>
    </xf>
    <xf numFmtId="0" fontId="134" fillId="0" borderId="32" xfId="0" applyFont="1" applyBorder="1" applyAlignment="1">
      <alignment horizontal="center" vertical="center" wrapText="1"/>
    </xf>
    <xf numFmtId="0" fontId="12" fillId="28" borderId="23" xfId="485" applyFont="1" applyFill="1" applyBorder="1" applyAlignment="1">
      <alignment horizontal="left" vertical="center"/>
    </xf>
    <xf numFmtId="0" fontId="12" fillId="28" borderId="22" xfId="485" applyFont="1" applyFill="1" applyBorder="1" applyAlignment="1">
      <alignment horizontal="left" vertical="center"/>
    </xf>
    <xf numFmtId="0" fontId="29" fillId="28" borderId="22" xfId="0" applyFont="1" applyFill="1" applyBorder="1" applyAlignment="1">
      <alignment horizontal="left"/>
    </xf>
    <xf numFmtId="0" fontId="0" fillId="0" borderId="26" xfId="0" applyBorder="1" applyAlignment="1">
      <alignment horizontal="left"/>
    </xf>
    <xf numFmtId="0" fontId="29" fillId="0" borderId="20" xfId="0" applyFont="1" applyBorder="1" applyAlignment="1">
      <alignment horizontal="center" vertical="center" wrapText="1"/>
    </xf>
    <xf numFmtId="0" fontId="0" fillId="0" borderId="20" xfId="0" applyBorder="1" applyAlignment="1">
      <alignment horizontal="center" vertical="center" wrapText="1"/>
    </xf>
    <xf numFmtId="0" fontId="24" fillId="0" borderId="20" xfId="0" applyFont="1" applyBorder="1" applyAlignment="1">
      <alignment horizontal="center" vertical="center" wrapText="1"/>
    </xf>
    <xf numFmtId="9" fontId="134" fillId="0" borderId="43" xfId="0" applyNumberFormat="1" applyFont="1" applyBorder="1" applyAlignment="1">
      <alignment horizontal="center" vertical="center" wrapText="1"/>
    </xf>
    <xf numFmtId="9" fontId="134" fillId="0" borderId="33" xfId="0" applyNumberFormat="1" applyFont="1" applyBorder="1" applyAlignment="1">
      <alignment horizontal="center" vertical="center" wrapText="1"/>
    </xf>
    <xf numFmtId="0" fontId="150" fillId="32" borderId="32" xfId="0" applyFont="1" applyFill="1" applyBorder="1" applyAlignment="1" applyProtection="1">
      <alignment horizontal="left" vertical="center" wrapText="1"/>
      <protection locked="0"/>
    </xf>
    <xf numFmtId="0" fontId="151" fillId="39" borderId="20" xfId="0" applyFont="1" applyFill="1" applyBorder="1" applyAlignment="1" applyProtection="1">
      <alignment horizontal="left" vertical="center" wrapText="1"/>
      <protection locked="0"/>
    </xf>
    <xf numFmtId="0" fontId="146" fillId="0" borderId="32" xfId="0" applyFont="1" applyBorder="1" applyAlignment="1">
      <alignment horizontal="center" vertical="center" wrapText="1" readingOrder="1"/>
    </xf>
    <xf numFmtId="0" fontId="146" fillId="0" borderId="43" xfId="0" applyFont="1" applyBorder="1" applyAlignment="1">
      <alignment horizontal="center" vertical="center" wrapText="1" readingOrder="1"/>
    </xf>
    <xf numFmtId="0" fontId="146" fillId="0" borderId="33" xfId="0" applyFont="1" applyBorder="1" applyAlignment="1">
      <alignment horizontal="center" vertical="center" wrapText="1" readingOrder="1"/>
    </xf>
    <xf numFmtId="0" fontId="146" fillId="0" borderId="60" xfId="0" applyFont="1" applyBorder="1" applyAlignment="1">
      <alignment horizontal="left" vertical="center" wrapText="1" readingOrder="1"/>
    </xf>
    <xf numFmtId="0" fontId="146" fillId="0" borderId="64" xfId="0" applyFont="1" applyBorder="1" applyAlignment="1">
      <alignment horizontal="left" vertical="center" wrapText="1" readingOrder="1"/>
    </xf>
    <xf numFmtId="0" fontId="146" fillId="0" borderId="65" xfId="0" applyFont="1" applyBorder="1" applyAlignment="1">
      <alignment horizontal="left" vertical="center" wrapText="1" readingOrder="1"/>
    </xf>
    <xf numFmtId="0" fontId="146" fillId="0" borderId="66" xfId="0" applyFont="1" applyBorder="1" applyAlignment="1">
      <alignment horizontal="left" vertical="center" wrapText="1" readingOrder="1"/>
    </xf>
    <xf numFmtId="0" fontId="146" fillId="0" borderId="67" xfId="0" applyFont="1" applyBorder="1" applyAlignment="1">
      <alignment horizontal="left" vertical="center" wrapText="1" readingOrder="1"/>
    </xf>
    <xf numFmtId="0" fontId="146" fillId="0" borderId="68" xfId="0" applyFont="1" applyBorder="1" applyAlignment="1">
      <alignment horizontal="left" vertical="center" wrapText="1" readingOrder="1"/>
    </xf>
    <xf numFmtId="0" fontId="146" fillId="0" borderId="32" xfId="0" applyFont="1" applyBorder="1" applyAlignment="1">
      <alignment horizontal="left" vertical="center" wrapText="1" readingOrder="1"/>
    </xf>
    <xf numFmtId="0" fontId="146" fillId="0" borderId="43" xfId="0" applyFont="1" applyBorder="1" applyAlignment="1">
      <alignment horizontal="left" vertical="center" wrapText="1" readingOrder="1"/>
    </xf>
    <xf numFmtId="0" fontId="146" fillId="0" borderId="33" xfId="0" applyFont="1" applyBorder="1" applyAlignment="1">
      <alignment horizontal="left" vertical="center" wrapText="1" readingOrder="1"/>
    </xf>
    <xf numFmtId="49" fontId="147" fillId="0" borderId="32" xfId="0" applyNumberFormat="1" applyFont="1" applyBorder="1" applyAlignment="1">
      <alignment horizontal="center" vertical="center" wrapText="1" readingOrder="1"/>
    </xf>
    <xf numFmtId="49" fontId="147" fillId="0" borderId="43" xfId="0" applyNumberFormat="1" applyFont="1" applyBorder="1" applyAlignment="1">
      <alignment horizontal="center" vertical="center" wrapText="1" readingOrder="1"/>
    </xf>
    <xf numFmtId="49" fontId="147" fillId="0" borderId="33" xfId="0" applyNumberFormat="1" applyFont="1" applyBorder="1" applyAlignment="1">
      <alignment horizontal="center" vertical="center" wrapText="1" readingOrder="1"/>
    </xf>
    <xf numFmtId="0" fontId="146" fillId="27" borderId="60" xfId="0" applyFont="1" applyFill="1" applyBorder="1" applyAlignment="1">
      <alignment horizontal="left" vertical="center" wrapText="1" readingOrder="1"/>
    </xf>
    <xf numFmtId="0" fontId="146" fillId="27" borderId="64" xfId="0" applyFont="1" applyFill="1" applyBorder="1" applyAlignment="1">
      <alignment horizontal="left" vertical="center" wrapText="1" readingOrder="1"/>
    </xf>
    <xf numFmtId="0" fontId="146" fillId="27" borderId="65" xfId="0" applyFont="1" applyFill="1" applyBorder="1" applyAlignment="1">
      <alignment horizontal="left" vertical="center" wrapText="1" readingOrder="1"/>
    </xf>
    <xf numFmtId="0" fontId="146" fillId="27" borderId="66" xfId="0" applyFont="1" applyFill="1" applyBorder="1" applyAlignment="1">
      <alignment horizontal="left" vertical="center" wrapText="1" readingOrder="1"/>
    </xf>
    <xf numFmtId="0" fontId="146" fillId="27" borderId="67" xfId="0" applyFont="1" applyFill="1" applyBorder="1" applyAlignment="1">
      <alignment horizontal="left" vertical="center" wrapText="1" readingOrder="1"/>
    </xf>
    <xf numFmtId="0" fontId="146" fillId="27" borderId="68" xfId="0" applyFont="1" applyFill="1" applyBorder="1" applyAlignment="1">
      <alignment horizontal="left" vertical="center" wrapText="1" readingOrder="1"/>
    </xf>
    <xf numFmtId="0" fontId="121" fillId="0" borderId="0" xfId="0" applyFont="1" applyAlignment="1">
      <alignment horizontal="left"/>
    </xf>
    <xf numFmtId="0" fontId="26" fillId="0" borderId="0" xfId="0" applyFont="1" applyAlignment="1">
      <alignment horizontal="left" vertical="top" wrapText="1"/>
    </xf>
    <xf numFmtId="0" fontId="121" fillId="0" borderId="0" xfId="0" applyFont="1" applyAlignment="1">
      <alignment wrapText="1"/>
    </xf>
    <xf numFmtId="0" fontId="121" fillId="0" borderId="0" xfId="0" applyFont="1"/>
    <xf numFmtId="0" fontId="109" fillId="28" borderId="23" xfId="485" applyFont="1" applyFill="1" applyBorder="1" applyAlignment="1">
      <alignment horizontal="left" vertical="center"/>
    </xf>
    <xf numFmtId="0" fontId="109" fillId="28" borderId="22" xfId="485" applyFont="1" applyFill="1" applyBorder="1" applyAlignment="1">
      <alignment horizontal="left" vertical="center"/>
    </xf>
    <xf numFmtId="0" fontId="109" fillId="28" borderId="26" xfId="485" applyFont="1" applyFill="1" applyBorder="1" applyAlignment="1">
      <alignment horizontal="left" vertical="center"/>
    </xf>
    <xf numFmtId="0" fontId="115" fillId="0" borderId="19" xfId="0" applyFont="1" applyBorder="1" applyAlignment="1">
      <alignment horizontal="center" vertical="center" wrapText="1"/>
    </xf>
    <xf numFmtId="0" fontId="117" fillId="0" borderId="24" xfId="0" applyFont="1" applyBorder="1" applyAlignment="1">
      <alignment horizontal="center" vertical="center" wrapText="1"/>
    </xf>
    <xf numFmtId="0" fontId="115" fillId="0" borderId="24" xfId="0" applyFont="1" applyBorder="1" applyAlignment="1">
      <alignment horizontal="center" vertical="center" wrapText="1"/>
    </xf>
    <xf numFmtId="0" fontId="117" fillId="0" borderId="45" xfId="0" applyFont="1" applyBorder="1" applyAlignment="1">
      <alignment horizontal="center" vertical="center" wrapText="1"/>
    </xf>
    <xf numFmtId="0" fontId="116" fillId="0" borderId="19" xfId="0" applyFont="1" applyBorder="1" applyAlignment="1">
      <alignment horizontal="center" vertical="center" wrapText="1"/>
    </xf>
    <xf numFmtId="0" fontId="115" fillId="0" borderId="23" xfId="0" applyFont="1" applyBorder="1" applyAlignment="1">
      <alignment horizontal="center" vertical="center" wrapText="1"/>
    </xf>
    <xf numFmtId="0" fontId="115" fillId="0" borderId="63" xfId="0" applyFont="1" applyBorder="1" applyAlignment="1">
      <alignment horizontal="center" vertical="center" wrapText="1"/>
    </xf>
    <xf numFmtId="0" fontId="24" fillId="30" borderId="21" xfId="0" applyFont="1" applyFill="1" applyBorder="1" applyAlignment="1">
      <alignment horizontal="center" vertical="center"/>
    </xf>
    <xf numFmtId="0" fontId="24" fillId="30" borderId="28" xfId="0" applyFont="1" applyFill="1" applyBorder="1" applyAlignment="1">
      <alignment horizontal="center" vertical="center"/>
    </xf>
    <xf numFmtId="0" fontId="24" fillId="30" borderId="29" xfId="0" applyFont="1" applyFill="1" applyBorder="1" applyAlignment="1">
      <alignment horizontal="center" vertical="center"/>
    </xf>
    <xf numFmtId="0" fontId="24" fillId="29" borderId="25" xfId="0" applyFont="1" applyFill="1" applyBorder="1" applyAlignment="1">
      <alignment horizontal="center" vertical="center" wrapText="1"/>
    </xf>
    <xf numFmtId="0" fontId="24" fillId="29" borderId="63" xfId="0" applyFont="1" applyFill="1" applyBorder="1" applyAlignment="1">
      <alignment horizontal="center" vertical="center" wrapText="1"/>
    </xf>
    <xf numFmtId="0" fontId="24" fillId="29" borderId="42" xfId="0" applyFont="1" applyFill="1" applyBorder="1" applyAlignment="1">
      <alignment horizontal="center" vertical="center" wrapText="1"/>
    </xf>
    <xf numFmtId="0" fontId="8" fillId="0" borderId="49" xfId="0" applyFont="1" applyBorder="1" applyAlignment="1">
      <alignment horizontal="center" textRotation="90" wrapText="1"/>
    </xf>
    <xf numFmtId="0" fontId="8" fillId="0" borderId="47" xfId="0" applyFont="1" applyBorder="1" applyAlignment="1">
      <alignment horizontal="center" textRotation="90" wrapText="1"/>
    </xf>
    <xf numFmtId="0" fontId="8" fillId="27" borderId="27" xfId="0" applyFont="1" applyFill="1" applyBorder="1" applyAlignment="1">
      <alignment horizontal="center" textRotation="90" wrapText="1"/>
    </xf>
    <xf numFmtId="0" fontId="8" fillId="27" borderId="19" xfId="0" applyFont="1" applyFill="1" applyBorder="1" applyAlignment="1">
      <alignment horizontal="center" textRotation="90" wrapText="1"/>
    </xf>
    <xf numFmtId="0" fontId="8" fillId="27" borderId="49" xfId="0" applyFont="1" applyFill="1" applyBorder="1" applyAlignment="1">
      <alignment horizontal="center" textRotation="90" wrapText="1"/>
    </xf>
    <xf numFmtId="0" fontId="8" fillId="27" borderId="47" xfId="0" applyFont="1" applyFill="1" applyBorder="1" applyAlignment="1">
      <alignment horizontal="center" textRotation="90" wrapText="1"/>
    </xf>
    <xf numFmtId="0" fontId="8" fillId="27" borderId="25" xfId="0" applyFont="1" applyFill="1" applyBorder="1" applyAlignment="1">
      <alignment horizontal="center" textRotation="90" wrapText="1"/>
    </xf>
    <xf numFmtId="0" fontId="8" fillId="27" borderId="23" xfId="0" applyFont="1" applyFill="1" applyBorder="1" applyAlignment="1">
      <alignment horizontal="center" textRotation="90" wrapText="1"/>
    </xf>
    <xf numFmtId="0" fontId="8" fillId="27" borderId="19" xfId="0" applyFont="1" applyFill="1" applyBorder="1" applyAlignment="1">
      <alignment horizontal="center" textRotation="90"/>
    </xf>
    <xf numFmtId="0" fontId="9" fillId="0" borderId="57" xfId="0" applyFont="1" applyBorder="1" applyAlignment="1">
      <alignment horizontal="center" vertical="center" wrapText="1"/>
    </xf>
    <xf numFmtId="0" fontId="9" fillId="0" borderId="58" xfId="0" applyFont="1" applyBorder="1" applyAlignment="1">
      <alignment horizontal="center" vertical="center" wrapText="1"/>
    </xf>
    <xf numFmtId="0" fontId="9" fillId="0" borderId="59" xfId="0" applyFont="1" applyBorder="1" applyAlignment="1">
      <alignment horizontal="center" vertical="center" wrapText="1"/>
    </xf>
    <xf numFmtId="0" fontId="9" fillId="35" borderId="32" xfId="0" applyFont="1" applyFill="1" applyBorder="1" applyAlignment="1">
      <alignment horizontal="center" vertical="top" wrapText="1"/>
    </xf>
    <xf numFmtId="0" fontId="9" fillId="35" borderId="43" xfId="0" applyFont="1" applyFill="1" applyBorder="1" applyAlignment="1">
      <alignment horizontal="center" vertical="top" wrapText="1"/>
    </xf>
    <xf numFmtId="0" fontId="9" fillId="35" borderId="33" xfId="0" applyFont="1" applyFill="1" applyBorder="1" applyAlignment="1">
      <alignment horizontal="center" vertical="top" wrapText="1"/>
    </xf>
    <xf numFmtId="0" fontId="9" fillId="27" borderId="18" xfId="0" applyFont="1" applyFill="1" applyBorder="1" applyAlignment="1">
      <alignment horizontal="center" vertical="center" wrapText="1"/>
    </xf>
    <xf numFmtId="0" fontId="9" fillId="27" borderId="81" xfId="0" applyFont="1" applyFill="1" applyBorder="1" applyAlignment="1">
      <alignment horizontal="center" vertical="center" wrapText="1"/>
    </xf>
    <xf numFmtId="0" fontId="9" fillId="27" borderId="69" xfId="0" applyFont="1" applyFill="1" applyBorder="1" applyAlignment="1">
      <alignment horizontal="center" vertical="center" wrapText="1"/>
    </xf>
    <xf numFmtId="0" fontId="9" fillId="35" borderId="32" xfId="0" applyFont="1" applyFill="1" applyBorder="1" applyAlignment="1">
      <alignment horizontal="center" vertical="center" wrapText="1"/>
    </xf>
    <xf numFmtId="0" fontId="9" fillId="35" borderId="43" xfId="0" applyFont="1" applyFill="1" applyBorder="1" applyAlignment="1">
      <alignment horizontal="center" vertical="center" wrapText="1"/>
    </xf>
    <xf numFmtId="0" fontId="9" fillId="35" borderId="33" xfId="0" applyFont="1" applyFill="1" applyBorder="1" applyAlignment="1">
      <alignment horizontal="center" vertical="center" wrapText="1"/>
    </xf>
    <xf numFmtId="0" fontId="12" fillId="28" borderId="26" xfId="485" applyFont="1" applyFill="1" applyBorder="1" applyAlignment="1">
      <alignment horizontal="left" vertical="center"/>
    </xf>
    <xf numFmtId="0" fontId="29" fillId="40" borderId="23" xfId="0" applyFont="1" applyFill="1" applyBorder="1" applyAlignment="1">
      <alignment horizontal="left" vertical="center"/>
    </xf>
    <xf numFmtId="0" fontId="29" fillId="40" borderId="22" xfId="0" applyFont="1" applyFill="1" applyBorder="1" applyAlignment="1">
      <alignment horizontal="left" vertical="center"/>
    </xf>
    <xf numFmtId="0" fontId="29" fillId="40" borderId="26" xfId="0" applyFont="1" applyFill="1" applyBorder="1" applyAlignment="1">
      <alignment horizontal="left" vertical="center"/>
    </xf>
    <xf numFmtId="14" fontId="29" fillId="28" borderId="19" xfId="0" applyNumberFormat="1" applyFont="1" applyFill="1" applyBorder="1" applyAlignment="1">
      <alignment horizontal="center" vertical="center"/>
    </xf>
    <xf numFmtId="0" fontId="24" fillId="34" borderId="21" xfId="0" applyFont="1" applyFill="1" applyBorder="1" applyAlignment="1">
      <alignment horizontal="center" vertical="center"/>
    </xf>
    <xf numFmtId="0" fontId="24" fillId="34" borderId="28" xfId="0" applyFont="1" applyFill="1" applyBorder="1" applyAlignment="1">
      <alignment horizontal="center" vertical="center"/>
    </xf>
    <xf numFmtId="0" fontId="24" fillId="34" borderId="29" xfId="0" applyFont="1" applyFill="1" applyBorder="1" applyAlignment="1">
      <alignment horizontal="center" vertical="center"/>
    </xf>
    <xf numFmtId="0" fontId="15" fillId="34" borderId="25" xfId="0" applyFont="1" applyFill="1" applyBorder="1" applyAlignment="1">
      <alignment horizontal="center" vertical="center" wrapText="1"/>
    </xf>
    <xf numFmtId="0" fontId="15" fillId="34" borderId="63" xfId="0" applyFont="1" applyFill="1" applyBorder="1" applyAlignment="1">
      <alignment horizontal="center" vertical="center" wrapText="1"/>
    </xf>
    <xf numFmtId="0" fontId="15" fillId="34" borderId="42" xfId="0" applyFont="1" applyFill="1" applyBorder="1" applyAlignment="1">
      <alignment horizontal="center" vertical="center" wrapText="1"/>
    </xf>
    <xf numFmtId="0" fontId="24" fillId="31" borderId="25" xfId="0" applyFont="1" applyFill="1" applyBorder="1" applyAlignment="1">
      <alignment horizontal="center" vertical="center"/>
    </xf>
    <xf numFmtId="0" fontId="24" fillId="31" borderId="63" xfId="0" applyFont="1" applyFill="1" applyBorder="1" applyAlignment="1">
      <alignment horizontal="center" vertical="center"/>
    </xf>
    <xf numFmtId="0" fontId="24" fillId="31" borderId="42" xfId="0" applyFont="1" applyFill="1" applyBorder="1" applyAlignment="1">
      <alignment horizontal="center" vertical="center"/>
    </xf>
    <xf numFmtId="0" fontId="8" fillId="71" borderId="27" xfId="0" applyFont="1" applyFill="1" applyBorder="1" applyAlignment="1">
      <alignment horizontal="center" vertical="center" wrapText="1"/>
    </xf>
    <xf numFmtId="0" fontId="8" fillId="71" borderId="19" xfId="0" applyFont="1" applyFill="1" applyBorder="1" applyAlignment="1">
      <alignment horizontal="center" vertical="center" wrapText="1"/>
    </xf>
    <xf numFmtId="0" fontId="8" fillId="72" borderId="27" xfId="0" applyFont="1" applyFill="1" applyBorder="1" applyAlignment="1">
      <alignment horizontal="center" vertical="center" wrapText="1"/>
    </xf>
    <xf numFmtId="0" fontId="8" fillId="72" borderId="19" xfId="0" applyFont="1" applyFill="1" applyBorder="1" applyAlignment="1">
      <alignment horizontal="center" vertical="center" wrapText="1"/>
    </xf>
    <xf numFmtId="0" fontId="8" fillId="71" borderId="19" xfId="0" applyFont="1" applyFill="1" applyBorder="1" applyAlignment="1">
      <alignment horizontal="center" textRotation="90" wrapText="1"/>
    </xf>
    <xf numFmtId="0" fontId="8" fillId="72" borderId="19" xfId="0" applyFont="1" applyFill="1" applyBorder="1" applyAlignment="1">
      <alignment horizontal="center" textRotation="90" wrapText="1"/>
    </xf>
    <xf numFmtId="0" fontId="24" fillId="30" borderId="25" xfId="0" applyFont="1" applyFill="1" applyBorder="1" applyAlignment="1">
      <alignment horizontal="center" vertical="center"/>
    </xf>
    <xf numFmtId="0" fontId="24" fillId="30" borderId="63" xfId="0" applyFont="1" applyFill="1" applyBorder="1" applyAlignment="1">
      <alignment horizontal="center" vertical="center"/>
    </xf>
    <xf numFmtId="0" fontId="24" fillId="30" borderId="42" xfId="0" applyFont="1" applyFill="1" applyBorder="1" applyAlignment="1">
      <alignment horizontal="center" vertical="center"/>
    </xf>
    <xf numFmtId="0" fontId="9" fillId="27" borderId="44" xfId="0" applyFont="1" applyFill="1" applyBorder="1" applyAlignment="1">
      <alignment horizontal="center" textRotation="90" wrapText="1"/>
    </xf>
    <xf numFmtId="0" fontId="9" fillId="27" borderId="34" xfId="0" applyFont="1" applyFill="1" applyBorder="1" applyAlignment="1">
      <alignment horizontal="center" textRotation="90" wrapText="1"/>
    </xf>
    <xf numFmtId="165" fontId="19" fillId="29" borderId="21" xfId="397" applyNumberFormat="1" applyFont="1" applyFill="1" applyBorder="1" applyAlignment="1" applyProtection="1">
      <alignment horizontal="center" vertical="center" wrapText="1"/>
    </xf>
    <xf numFmtId="0" fontId="24" fillId="29" borderId="28" xfId="0" applyFont="1" applyFill="1" applyBorder="1" applyAlignment="1">
      <alignment horizontal="center" vertical="center"/>
    </xf>
    <xf numFmtId="0" fontId="24" fillId="29" borderId="29" xfId="0" applyFont="1" applyFill="1" applyBorder="1" applyAlignment="1">
      <alignment horizontal="center" vertical="center"/>
    </xf>
    <xf numFmtId="0" fontId="24" fillId="31" borderId="21" xfId="0" applyFont="1" applyFill="1" applyBorder="1" applyAlignment="1">
      <alignment horizontal="center" vertical="center"/>
    </xf>
    <xf numFmtId="0" fontId="24" fillId="31" borderId="28" xfId="0" applyFont="1" applyFill="1" applyBorder="1" applyAlignment="1">
      <alignment horizontal="center" vertical="center"/>
    </xf>
    <xf numFmtId="0" fontId="24" fillId="31" borderId="29" xfId="0" applyFont="1" applyFill="1" applyBorder="1" applyAlignment="1">
      <alignment horizontal="center" vertical="center"/>
    </xf>
    <xf numFmtId="0" fontId="8" fillId="27" borderId="71" xfId="0" applyFont="1" applyFill="1" applyBorder="1" applyAlignment="1">
      <alignment horizontal="center" textRotation="90" wrapText="1"/>
    </xf>
    <xf numFmtId="0" fontId="8" fillId="27" borderId="45" xfId="0" applyFont="1" applyFill="1" applyBorder="1" applyAlignment="1">
      <alignment horizontal="center" textRotation="90" wrapText="1"/>
    </xf>
    <xf numFmtId="0" fontId="15" fillId="0" borderId="19" xfId="0" applyFont="1" applyBorder="1" applyAlignment="1">
      <alignment horizontal="center" vertical="center"/>
    </xf>
    <xf numFmtId="0" fontId="18" fillId="0" borderId="19" xfId="0" applyFont="1" applyBorder="1" applyAlignment="1">
      <alignment vertical="center"/>
    </xf>
    <xf numFmtId="0" fontId="0" fillId="0" borderId="19" xfId="0" applyBorder="1"/>
    <xf numFmtId="0" fontId="26" fillId="0" borderId="21" xfId="0" applyFont="1" applyBorder="1" applyAlignment="1">
      <alignment vertical="center"/>
    </xf>
    <xf numFmtId="0" fontId="18" fillId="0" borderId="28" xfId="0" applyFont="1" applyBorder="1"/>
    <xf numFmtId="0" fontId="18" fillId="0" borderId="29" xfId="0" applyFont="1" applyBorder="1"/>
    <xf numFmtId="0" fontId="8" fillId="0" borderId="0" xfId="0" applyFont="1" applyAlignment="1">
      <alignment horizontal="left"/>
    </xf>
    <xf numFmtId="0" fontId="8" fillId="0" borderId="0" xfId="0" applyFont="1" applyAlignment="1">
      <alignment horizontal="left" wrapText="1"/>
    </xf>
    <xf numFmtId="0" fontId="98" fillId="0" borderId="0" xfId="0" applyFont="1" applyAlignment="1">
      <alignment horizontal="left" wrapText="1"/>
    </xf>
    <xf numFmtId="0" fontId="0" fillId="0" borderId="0" xfId="0" applyAlignment="1">
      <alignment horizontal="left"/>
    </xf>
    <xf numFmtId="0" fontId="15" fillId="0" borderId="23" xfId="0" applyFont="1" applyBorder="1" applyAlignment="1">
      <alignment horizontal="left" vertical="center"/>
    </xf>
    <xf numFmtId="0" fontId="15" fillId="0" borderId="22" xfId="0" applyFont="1" applyBorder="1" applyAlignment="1">
      <alignment horizontal="left" vertical="center"/>
    </xf>
    <xf numFmtId="0" fontId="15" fillId="0" borderId="26" xfId="0" applyFont="1" applyBorder="1" applyAlignment="1">
      <alignment horizontal="left" vertical="center"/>
    </xf>
    <xf numFmtId="0" fontId="15" fillId="0" borderId="23" xfId="0" applyFont="1" applyBorder="1" applyAlignment="1">
      <alignment horizontal="left" vertical="center" wrapText="1"/>
    </xf>
    <xf numFmtId="0" fontId="15" fillId="0" borderId="22" xfId="0" applyFont="1" applyBorder="1" applyAlignment="1">
      <alignment horizontal="left" vertical="center" wrapText="1"/>
    </xf>
    <xf numFmtId="0" fontId="15" fillId="0" borderId="26" xfId="0" applyFont="1" applyBorder="1" applyAlignment="1">
      <alignment horizontal="left" vertical="center" wrapText="1"/>
    </xf>
    <xf numFmtId="0" fontId="0" fillId="0" borderId="22" xfId="0" applyBorder="1" applyAlignment="1">
      <alignment horizontal="left" vertical="center"/>
    </xf>
    <xf numFmtId="0" fontId="0" fillId="0" borderId="26" xfId="0" applyBorder="1" applyAlignment="1">
      <alignment horizontal="left" vertical="center"/>
    </xf>
    <xf numFmtId="0" fontId="8" fillId="0" borderId="70" xfId="0" applyFont="1" applyBorder="1" applyAlignment="1">
      <alignment horizontal="center" textRotation="90" wrapText="1"/>
    </xf>
    <xf numFmtId="0" fontId="8" fillId="0" borderId="53" xfId="0" applyFont="1" applyBorder="1" applyAlignment="1">
      <alignment horizontal="center" textRotation="90" wrapText="1"/>
    </xf>
    <xf numFmtId="1" fontId="8" fillId="0" borderId="67" xfId="0" applyNumberFormat="1" applyFont="1" applyBorder="1" applyAlignment="1">
      <alignment horizontal="center" vertical="center"/>
    </xf>
    <xf numFmtId="1" fontId="8" fillId="0" borderId="56" xfId="0" applyNumberFormat="1" applyFont="1" applyBorder="1" applyAlignment="1">
      <alignment horizontal="center" vertical="center"/>
    </xf>
    <xf numFmtId="1" fontId="8" fillId="0" borderId="68" xfId="0" applyNumberFormat="1" applyFont="1" applyBorder="1" applyAlignment="1">
      <alignment horizontal="center" vertical="center"/>
    </xf>
    <xf numFmtId="0" fontId="8" fillId="0" borderId="57" xfId="0" applyFont="1" applyBorder="1" applyAlignment="1">
      <alignment horizontal="center" vertical="center"/>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15" fillId="31" borderId="23" xfId="0" applyFont="1" applyFill="1" applyBorder="1" applyAlignment="1">
      <alignment horizontal="center" vertical="center" wrapText="1"/>
    </xf>
    <xf numFmtId="0" fontId="15" fillId="31" borderId="22" xfId="0" applyFont="1" applyFill="1" applyBorder="1" applyAlignment="1">
      <alignment horizontal="center" vertical="center" wrapText="1"/>
    </xf>
    <xf numFmtId="0" fontId="15" fillId="31" borderId="26" xfId="0" applyFont="1" applyFill="1" applyBorder="1" applyAlignment="1">
      <alignment horizontal="center" vertical="center" wrapText="1"/>
    </xf>
    <xf numFmtId="0" fontId="15" fillId="31" borderId="27" xfId="0" applyFont="1" applyFill="1" applyBorder="1" applyAlignment="1">
      <alignment horizontal="center" vertical="center" wrapText="1"/>
    </xf>
    <xf numFmtId="0" fontId="18" fillId="31" borderId="27" xfId="0" applyFont="1" applyFill="1" applyBorder="1" applyAlignment="1">
      <alignment horizontal="center" vertical="center" wrapText="1"/>
    </xf>
    <xf numFmtId="0" fontId="15" fillId="31" borderId="19" xfId="0" applyFont="1" applyFill="1" applyBorder="1" applyAlignment="1">
      <alignment horizontal="center" vertical="center" wrapText="1"/>
    </xf>
    <xf numFmtId="0" fontId="18" fillId="31" borderId="19" xfId="0" applyFont="1" applyFill="1" applyBorder="1" applyAlignment="1">
      <alignment horizontal="center" vertical="center" wrapText="1"/>
    </xf>
    <xf numFmtId="0" fontId="15" fillId="29" borderId="19" xfId="0" applyFont="1" applyFill="1" applyBorder="1" applyAlignment="1">
      <alignment horizontal="center" vertical="center" wrapText="1"/>
    </xf>
    <xf numFmtId="0" fontId="18" fillId="29" borderId="19" xfId="0" applyFont="1" applyFill="1" applyBorder="1" applyAlignment="1">
      <alignment horizontal="center" vertical="center" wrapText="1"/>
    </xf>
    <xf numFmtId="0" fontId="15" fillId="0" borderId="23" xfId="0" applyFont="1" applyBorder="1" applyAlignment="1">
      <alignment horizontal="center" vertical="center"/>
    </xf>
    <xf numFmtId="0" fontId="15" fillId="0" borderId="26" xfId="0" applyFont="1" applyBorder="1" applyAlignment="1">
      <alignment horizontal="center" vertical="center"/>
    </xf>
    <xf numFmtId="0" fontId="15" fillId="30" borderId="19" xfId="0" applyFont="1" applyFill="1" applyBorder="1" applyAlignment="1">
      <alignment horizontal="center" vertical="center" wrapText="1"/>
    </xf>
    <xf numFmtId="0" fontId="18" fillId="30" borderId="19" xfId="0" applyFont="1" applyFill="1" applyBorder="1" applyAlignment="1">
      <alignment horizontal="center" vertical="center" wrapText="1"/>
    </xf>
    <xf numFmtId="0" fontId="15" fillId="0" borderId="22" xfId="0" applyFont="1" applyBorder="1" applyAlignment="1">
      <alignment horizontal="center" vertical="center"/>
    </xf>
    <xf numFmtId="0" fontId="8" fillId="27" borderId="44" xfId="0" applyFont="1" applyFill="1" applyBorder="1" applyAlignment="1">
      <alignment horizontal="center" textRotation="90" wrapText="1"/>
    </xf>
    <xf numFmtId="0" fontId="8" fillId="27" borderId="34" xfId="0" applyFont="1" applyFill="1" applyBorder="1" applyAlignment="1">
      <alignment horizontal="center" textRotation="90" wrapText="1"/>
    </xf>
    <xf numFmtId="0" fontId="26" fillId="0" borderId="19" xfId="0" applyFont="1" applyBorder="1" applyAlignment="1">
      <alignment horizontal="center" vertical="center"/>
    </xf>
    <xf numFmtId="0" fontId="18" fillId="0" borderId="19" xfId="0" applyFont="1" applyBorder="1"/>
    <xf numFmtId="0" fontId="26" fillId="0" borderId="23" xfId="0" applyFont="1" applyBorder="1" applyAlignment="1">
      <alignment horizontal="center" vertical="center"/>
    </xf>
    <xf numFmtId="0" fontId="58" fillId="0" borderId="22" xfId="0" applyFont="1" applyBorder="1" applyAlignment="1">
      <alignment vertical="center"/>
    </xf>
    <xf numFmtId="0" fontId="58" fillId="0" borderId="26" xfId="0" applyFont="1" applyBorder="1" applyAlignment="1">
      <alignment vertical="center"/>
    </xf>
    <xf numFmtId="1" fontId="26" fillId="35" borderId="23" xfId="0" applyNumberFormat="1" applyFont="1" applyFill="1" applyBorder="1" applyAlignment="1">
      <alignment horizontal="center" vertical="center"/>
    </xf>
    <xf numFmtId="1" fontId="26" fillId="35" borderId="22" xfId="0" applyNumberFormat="1" applyFont="1" applyFill="1" applyBorder="1" applyAlignment="1">
      <alignment horizontal="center" vertical="center"/>
    </xf>
    <xf numFmtId="1" fontId="26" fillId="35" borderId="26" xfId="0" applyNumberFormat="1" applyFont="1" applyFill="1" applyBorder="1" applyAlignment="1">
      <alignment horizontal="center" vertical="center"/>
    </xf>
    <xf numFmtId="0" fontId="57" fillId="74" borderId="23" xfId="0" applyFont="1" applyFill="1" applyBorder="1" applyAlignment="1">
      <alignment horizontal="center" vertical="center"/>
    </xf>
    <xf numFmtId="0" fontId="57" fillId="74" borderId="22" xfId="0" applyFont="1" applyFill="1" applyBorder="1" applyAlignment="1">
      <alignment horizontal="center" vertical="center"/>
    </xf>
    <xf numFmtId="0" fontId="57" fillId="74" borderId="26" xfId="0" applyFont="1" applyFill="1" applyBorder="1" applyAlignment="1">
      <alignment horizontal="center" vertical="center"/>
    </xf>
    <xf numFmtId="0" fontId="26" fillId="0" borderId="19" xfId="0" applyFont="1" applyBorder="1" applyAlignment="1">
      <alignment horizontal="center" vertical="center" wrapText="1"/>
    </xf>
    <xf numFmtId="0" fontId="15" fillId="29" borderId="43" xfId="0" applyFont="1" applyFill="1" applyBorder="1" applyAlignment="1">
      <alignment horizontal="center" vertical="center" wrapText="1"/>
    </xf>
    <xf numFmtId="49" fontId="15" fillId="33" borderId="43" xfId="0" applyNumberFormat="1" applyFont="1" applyFill="1" applyBorder="1" applyAlignment="1">
      <alignment horizontal="center" vertical="center" wrapText="1"/>
    </xf>
    <xf numFmtId="0" fontId="26" fillId="0" borderId="21" xfId="0" applyFont="1" applyBorder="1" applyAlignment="1">
      <alignment horizontal="center" vertical="center" wrapText="1"/>
    </xf>
    <xf numFmtId="0" fontId="26" fillId="0" borderId="25" xfId="0" applyFont="1" applyBorder="1" applyAlignment="1">
      <alignment horizontal="center" vertical="center"/>
    </xf>
    <xf numFmtId="0" fontId="71" fillId="0" borderId="27" xfId="0" applyFont="1" applyBorder="1" applyAlignment="1">
      <alignment horizontal="center" vertical="center"/>
    </xf>
    <xf numFmtId="0" fontId="20" fillId="0" borderId="0" xfId="0" applyFont="1" applyAlignment="1">
      <alignment horizontal="center" vertical="center"/>
    </xf>
    <xf numFmtId="0" fontId="24" fillId="0" borderId="19"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19" xfId="0" applyBorder="1" applyProtection="1">
      <protection locked="0"/>
    </xf>
    <xf numFmtId="0" fontId="29" fillId="0" borderId="19" xfId="0" applyFont="1" applyBorder="1" applyAlignment="1">
      <alignment horizontal="center" vertical="center" wrapText="1"/>
    </xf>
    <xf numFmtId="0" fontId="14" fillId="0" borderId="19" xfId="0" applyFont="1" applyBorder="1" applyAlignment="1">
      <alignment horizontal="center" vertical="center"/>
    </xf>
    <xf numFmtId="0" fontId="29" fillId="0" borderId="19" xfId="0" applyFont="1" applyBorder="1" applyAlignment="1">
      <alignment horizontal="center" vertical="center"/>
    </xf>
    <xf numFmtId="0" fontId="29" fillId="0" borderId="19" xfId="0" applyFont="1" applyBorder="1" applyAlignment="1">
      <alignment horizontal="left" vertical="center" wrapText="1"/>
    </xf>
    <xf numFmtId="0" fontId="14" fillId="0" borderId="19" xfId="0" applyFont="1" applyBorder="1" applyAlignment="1">
      <alignment horizontal="left" vertical="center"/>
    </xf>
    <xf numFmtId="0" fontId="73" fillId="34" borderId="21" xfId="0" applyFont="1" applyFill="1" applyBorder="1" applyAlignment="1">
      <alignment horizontal="center"/>
    </xf>
    <xf numFmtId="0" fontId="73" fillId="34" borderId="29" xfId="0" applyFont="1" applyFill="1" applyBorder="1" applyAlignment="1">
      <alignment horizontal="center"/>
    </xf>
    <xf numFmtId="0" fontId="150" fillId="32" borderId="32" xfId="0" quotePrefix="1" applyFont="1" applyFill="1" applyBorder="1" applyAlignment="1" applyProtection="1">
      <alignment horizontal="left" vertical="center" wrapText="1"/>
      <protection locked="0"/>
    </xf>
  </cellXfs>
  <cellStyles count="575">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3" xfId="10" xr:uid="{00000000-0005-0000-0000-000009000000}"/>
    <cellStyle name="20 % - Akzent1 4" xfId="11" xr:uid="{00000000-0005-0000-0000-00000A000000}"/>
    <cellStyle name="20 % - Akzent1 4 2" xfId="12" xr:uid="{00000000-0005-0000-0000-00000B000000}"/>
    <cellStyle name="20 % - Akzent1 4 3" xfId="13" xr:uid="{00000000-0005-0000-0000-00000C000000}"/>
    <cellStyle name="20 % - Akzent1 5" xfId="14" xr:uid="{00000000-0005-0000-0000-00000D000000}"/>
    <cellStyle name="20 % - Akzent1 6" xfId="15" xr:uid="{00000000-0005-0000-0000-00000E000000}"/>
    <cellStyle name="20 % - Akzent1 7" xfId="16" xr:uid="{00000000-0005-0000-0000-00000F000000}"/>
    <cellStyle name="20 % - Akzent2 2" xfId="17" xr:uid="{00000000-0005-0000-0000-000010000000}"/>
    <cellStyle name="20 % - Akzent2 2 2" xfId="18" xr:uid="{00000000-0005-0000-0000-000011000000}"/>
    <cellStyle name="20 % - Akzent2 2 3" xfId="19" xr:uid="{00000000-0005-0000-0000-000012000000}"/>
    <cellStyle name="20 % - Akzent2 2 3 2" xfId="20" xr:uid="{00000000-0005-0000-0000-000013000000}"/>
    <cellStyle name="20 % - Akzent2 2 3 2 2" xfId="21" xr:uid="{00000000-0005-0000-0000-000014000000}"/>
    <cellStyle name="20 % - Akzent2 2 3 3" xfId="22" xr:uid="{00000000-0005-0000-0000-000015000000}"/>
    <cellStyle name="20 % - Akzent2 2 4" xfId="23" xr:uid="{00000000-0005-0000-0000-000016000000}"/>
    <cellStyle name="20 % - Akzent2 3" xfId="24" xr:uid="{00000000-0005-0000-0000-000017000000}"/>
    <cellStyle name="20 % - Akzent2 3 2" xfId="25" xr:uid="{00000000-0005-0000-0000-000018000000}"/>
    <cellStyle name="20 % - Akzent2 3 3" xfId="26" xr:uid="{00000000-0005-0000-0000-000019000000}"/>
    <cellStyle name="20 % - Akzent2 4" xfId="27" xr:uid="{00000000-0005-0000-0000-00001A000000}"/>
    <cellStyle name="20 % - Akzent2 4 2" xfId="28" xr:uid="{00000000-0005-0000-0000-00001B000000}"/>
    <cellStyle name="20 % - Akzent2 4 3" xfId="29" xr:uid="{00000000-0005-0000-0000-00001C000000}"/>
    <cellStyle name="20 % - Akzent2 5" xfId="30" xr:uid="{00000000-0005-0000-0000-00001D000000}"/>
    <cellStyle name="20 % - Akzent2 6" xfId="31" xr:uid="{00000000-0005-0000-0000-00001E000000}"/>
    <cellStyle name="20 % - Akzent2 7" xfId="32" xr:uid="{00000000-0005-0000-0000-00001F000000}"/>
    <cellStyle name="20 % - Akzent3 2" xfId="33" xr:uid="{00000000-0005-0000-0000-000020000000}"/>
    <cellStyle name="20 % - Akzent3 2 2" xfId="34" xr:uid="{00000000-0005-0000-0000-000021000000}"/>
    <cellStyle name="20 % - Akzent3 2 3" xfId="35" xr:uid="{00000000-0005-0000-0000-000022000000}"/>
    <cellStyle name="20 % - Akzent3 2 3 2" xfId="36" xr:uid="{00000000-0005-0000-0000-000023000000}"/>
    <cellStyle name="20 % - Akzent3 2 3 2 2" xfId="37" xr:uid="{00000000-0005-0000-0000-000024000000}"/>
    <cellStyle name="20 % - Akzent3 2 3 3" xfId="38" xr:uid="{00000000-0005-0000-0000-000025000000}"/>
    <cellStyle name="20 % - Akzent3 2 4" xfId="39" xr:uid="{00000000-0005-0000-0000-000026000000}"/>
    <cellStyle name="20 % - Akzent3 3" xfId="40" xr:uid="{00000000-0005-0000-0000-000027000000}"/>
    <cellStyle name="20 % - Akzent3 3 2" xfId="41" xr:uid="{00000000-0005-0000-0000-000028000000}"/>
    <cellStyle name="20 % - Akzent3 3 3" xfId="42" xr:uid="{00000000-0005-0000-0000-000029000000}"/>
    <cellStyle name="20 % - Akzent3 4" xfId="43" xr:uid="{00000000-0005-0000-0000-00002A000000}"/>
    <cellStyle name="20 % - Akzent3 4 2" xfId="44" xr:uid="{00000000-0005-0000-0000-00002B000000}"/>
    <cellStyle name="20 % - Akzent3 4 3" xfId="45" xr:uid="{00000000-0005-0000-0000-00002C000000}"/>
    <cellStyle name="20 % - Akzent3 5" xfId="46" xr:uid="{00000000-0005-0000-0000-00002D000000}"/>
    <cellStyle name="20 % - Akzent3 6" xfId="47" xr:uid="{00000000-0005-0000-0000-00002E000000}"/>
    <cellStyle name="20 % - Akzent3 7" xfId="48" xr:uid="{00000000-0005-0000-0000-00002F000000}"/>
    <cellStyle name="20 % - Akzent4 2" xfId="49" xr:uid="{00000000-0005-0000-0000-000030000000}"/>
    <cellStyle name="20 % - Akzent4 2 2" xfId="50" xr:uid="{00000000-0005-0000-0000-000031000000}"/>
    <cellStyle name="20 % - Akzent4 2 3" xfId="51" xr:uid="{00000000-0005-0000-0000-000032000000}"/>
    <cellStyle name="20 % - Akzent4 2 3 2" xfId="52" xr:uid="{00000000-0005-0000-0000-000033000000}"/>
    <cellStyle name="20 % - Akzent4 2 3 2 2" xfId="53" xr:uid="{00000000-0005-0000-0000-000034000000}"/>
    <cellStyle name="20 % - Akzent4 2 3 3" xfId="54" xr:uid="{00000000-0005-0000-0000-000035000000}"/>
    <cellStyle name="20 % - Akzent4 2 4" xfId="55" xr:uid="{00000000-0005-0000-0000-000036000000}"/>
    <cellStyle name="20 % - Akzent4 3" xfId="56" xr:uid="{00000000-0005-0000-0000-000037000000}"/>
    <cellStyle name="20 % - Akzent4 3 2" xfId="57" xr:uid="{00000000-0005-0000-0000-000038000000}"/>
    <cellStyle name="20 % - Akzent4 3 3" xfId="58" xr:uid="{00000000-0005-0000-0000-000039000000}"/>
    <cellStyle name="20 % - Akzent4 4" xfId="59" xr:uid="{00000000-0005-0000-0000-00003A000000}"/>
    <cellStyle name="20 % - Akzent4 4 2" xfId="60" xr:uid="{00000000-0005-0000-0000-00003B000000}"/>
    <cellStyle name="20 % - Akzent4 4 3" xfId="61" xr:uid="{00000000-0005-0000-0000-00003C000000}"/>
    <cellStyle name="20 % - Akzent4 5" xfId="62" xr:uid="{00000000-0005-0000-0000-00003D000000}"/>
    <cellStyle name="20 % - Akzent4 6" xfId="63" xr:uid="{00000000-0005-0000-0000-00003E000000}"/>
    <cellStyle name="20 % - Akzent4 7" xfId="64" xr:uid="{00000000-0005-0000-0000-00003F000000}"/>
    <cellStyle name="20 % - Akzent5 2" xfId="65" xr:uid="{00000000-0005-0000-0000-000040000000}"/>
    <cellStyle name="20 % - Akzent5 2 2" xfId="66" xr:uid="{00000000-0005-0000-0000-000041000000}"/>
    <cellStyle name="20 % - Akzent5 2 2 2" xfId="67" xr:uid="{00000000-0005-0000-0000-000042000000}"/>
    <cellStyle name="20 % - Akzent5 2 3" xfId="68" xr:uid="{00000000-0005-0000-0000-000043000000}"/>
    <cellStyle name="20 % - Akzent5 3" xfId="69" xr:uid="{00000000-0005-0000-0000-000044000000}"/>
    <cellStyle name="20 % - Akzent5 3 2" xfId="70" xr:uid="{00000000-0005-0000-0000-000045000000}"/>
    <cellStyle name="20 % - Akzent5 3 3" xfId="71" xr:uid="{00000000-0005-0000-0000-000046000000}"/>
    <cellStyle name="20 % - Akzent5 4" xfId="72" xr:uid="{00000000-0005-0000-0000-000047000000}"/>
    <cellStyle name="20 % - Akzent5 4 2" xfId="73" xr:uid="{00000000-0005-0000-0000-000048000000}"/>
    <cellStyle name="20 % - Akzent5 4 3" xfId="74" xr:uid="{00000000-0005-0000-0000-000049000000}"/>
    <cellStyle name="20 % - Akzent5 5" xfId="75" xr:uid="{00000000-0005-0000-0000-00004A000000}"/>
    <cellStyle name="20 % - Akzent5 6" xfId="76" xr:uid="{00000000-0005-0000-0000-00004B000000}"/>
    <cellStyle name="20 % - Akzent5 7" xfId="77" xr:uid="{00000000-0005-0000-0000-00004C000000}"/>
    <cellStyle name="20 % - Akzent6 2" xfId="78" xr:uid="{00000000-0005-0000-0000-00004D000000}"/>
    <cellStyle name="20 % - Akzent6 3" xfId="79" xr:uid="{00000000-0005-0000-0000-00004E000000}"/>
    <cellStyle name="20 % - Akzent6 3 2" xfId="80" xr:uid="{00000000-0005-0000-0000-00004F000000}"/>
    <cellStyle name="20 % - Akzent6 3 3" xfId="81" xr:uid="{00000000-0005-0000-0000-000050000000}"/>
    <cellStyle name="20 % - Akzent6 4" xfId="82" xr:uid="{00000000-0005-0000-0000-000051000000}"/>
    <cellStyle name="20 % - Akzent6 4 2" xfId="83" xr:uid="{00000000-0005-0000-0000-000052000000}"/>
    <cellStyle name="20 % - Akzent6 4 3" xfId="84" xr:uid="{00000000-0005-0000-0000-000053000000}"/>
    <cellStyle name="20 % - Akzent6 5" xfId="85" xr:uid="{00000000-0005-0000-0000-000054000000}"/>
    <cellStyle name="20 % - Akzent6 6" xfId="86" xr:uid="{00000000-0005-0000-0000-000055000000}"/>
    <cellStyle name="20 % - Akzent6 7" xfId="87" xr:uid="{00000000-0005-0000-0000-000056000000}"/>
    <cellStyle name="40 % - Akzent1 2" xfId="88" xr:uid="{00000000-0005-0000-0000-000057000000}"/>
    <cellStyle name="40 % - Akzent1 2 2" xfId="89" xr:uid="{00000000-0005-0000-0000-000058000000}"/>
    <cellStyle name="40 % - Akzent1 2 3" xfId="90" xr:uid="{00000000-0005-0000-0000-000059000000}"/>
    <cellStyle name="40 % - Akzent1 3" xfId="91" xr:uid="{00000000-0005-0000-0000-00005A000000}"/>
    <cellStyle name="40 % - Akzent1 3 2" xfId="92" xr:uid="{00000000-0005-0000-0000-00005B000000}"/>
    <cellStyle name="40 % - Akzent1 3 3" xfId="93" xr:uid="{00000000-0005-0000-0000-00005C000000}"/>
    <cellStyle name="40 % - Akzent1 4" xfId="94" xr:uid="{00000000-0005-0000-0000-00005D000000}"/>
    <cellStyle name="40 % - Akzent1 4 2" xfId="95" xr:uid="{00000000-0005-0000-0000-00005E000000}"/>
    <cellStyle name="40 % - Akzent1 4 3" xfId="96" xr:uid="{00000000-0005-0000-0000-00005F000000}"/>
    <cellStyle name="40 % - Akzent1 5" xfId="97" xr:uid="{00000000-0005-0000-0000-000060000000}"/>
    <cellStyle name="40 % - Akzent1 6" xfId="98" xr:uid="{00000000-0005-0000-0000-000061000000}"/>
    <cellStyle name="40 % - Akzent1 7" xfId="99" xr:uid="{00000000-0005-0000-0000-000062000000}"/>
    <cellStyle name="40 % - Akzent2 2" xfId="100" xr:uid="{00000000-0005-0000-0000-000063000000}"/>
    <cellStyle name="40 % - Akzent2 3" xfId="101" xr:uid="{00000000-0005-0000-0000-000064000000}"/>
    <cellStyle name="40 % - Akzent2 3 2" xfId="102" xr:uid="{00000000-0005-0000-0000-000065000000}"/>
    <cellStyle name="40 % - Akzent2 3 3" xfId="103" xr:uid="{00000000-0005-0000-0000-000066000000}"/>
    <cellStyle name="40 % - Akzent2 4" xfId="104" xr:uid="{00000000-0005-0000-0000-000067000000}"/>
    <cellStyle name="40 % - Akzent2 4 2" xfId="105" xr:uid="{00000000-0005-0000-0000-000068000000}"/>
    <cellStyle name="40 % - Akzent2 4 3" xfId="106" xr:uid="{00000000-0005-0000-0000-000069000000}"/>
    <cellStyle name="40 % - Akzent2 5" xfId="107" xr:uid="{00000000-0005-0000-0000-00006A000000}"/>
    <cellStyle name="40 % - Akzent2 6" xfId="108" xr:uid="{00000000-0005-0000-0000-00006B000000}"/>
    <cellStyle name="40 % - Akzent2 7" xfId="109" xr:uid="{00000000-0005-0000-0000-00006C000000}"/>
    <cellStyle name="40 % - Akzent3 2" xfId="110" xr:uid="{00000000-0005-0000-0000-00006D000000}"/>
    <cellStyle name="40 % - Akzent3 2 2" xfId="111" xr:uid="{00000000-0005-0000-0000-00006E000000}"/>
    <cellStyle name="40 % - Akzent3 2 3" xfId="112" xr:uid="{00000000-0005-0000-0000-00006F000000}"/>
    <cellStyle name="40 % - Akzent3 2 3 2" xfId="113" xr:uid="{00000000-0005-0000-0000-000070000000}"/>
    <cellStyle name="40 % - Akzent3 2 3 2 2" xfId="114" xr:uid="{00000000-0005-0000-0000-000071000000}"/>
    <cellStyle name="40 % - Akzent3 2 3 3" xfId="115" xr:uid="{00000000-0005-0000-0000-000072000000}"/>
    <cellStyle name="40 % - Akzent3 2 4" xfId="116" xr:uid="{00000000-0005-0000-0000-000073000000}"/>
    <cellStyle name="40 % - Akzent3 3" xfId="117" xr:uid="{00000000-0005-0000-0000-000074000000}"/>
    <cellStyle name="40 % - Akzent3 3 2" xfId="118" xr:uid="{00000000-0005-0000-0000-000075000000}"/>
    <cellStyle name="40 % - Akzent3 3 3" xfId="119" xr:uid="{00000000-0005-0000-0000-000076000000}"/>
    <cellStyle name="40 % - Akzent3 4" xfId="120" xr:uid="{00000000-0005-0000-0000-000077000000}"/>
    <cellStyle name="40 % - Akzent3 4 2" xfId="121" xr:uid="{00000000-0005-0000-0000-000078000000}"/>
    <cellStyle name="40 % - Akzent3 4 3" xfId="122" xr:uid="{00000000-0005-0000-0000-000079000000}"/>
    <cellStyle name="40 % - Akzent3 5" xfId="123" xr:uid="{00000000-0005-0000-0000-00007A000000}"/>
    <cellStyle name="40 % - Akzent3 6" xfId="124" xr:uid="{00000000-0005-0000-0000-00007B000000}"/>
    <cellStyle name="40 % - Akzent3 7" xfId="125" xr:uid="{00000000-0005-0000-0000-00007C000000}"/>
    <cellStyle name="40 % - Akzent4 2" xfId="126" xr:uid="{00000000-0005-0000-0000-00007D000000}"/>
    <cellStyle name="40 % - Akzent4 2 2" xfId="127" xr:uid="{00000000-0005-0000-0000-00007E000000}"/>
    <cellStyle name="40 % - Akzent4 2 2 2" xfId="128" xr:uid="{00000000-0005-0000-0000-00007F000000}"/>
    <cellStyle name="40 % - Akzent4 2 3" xfId="129" xr:uid="{00000000-0005-0000-0000-000080000000}"/>
    <cellStyle name="40 % - Akzent4 3" xfId="130" xr:uid="{00000000-0005-0000-0000-000081000000}"/>
    <cellStyle name="40 % - Akzent4 3 2" xfId="131" xr:uid="{00000000-0005-0000-0000-000082000000}"/>
    <cellStyle name="40 % - Akzent4 3 3" xfId="132" xr:uid="{00000000-0005-0000-0000-000083000000}"/>
    <cellStyle name="40 % - Akzent4 4" xfId="133" xr:uid="{00000000-0005-0000-0000-000084000000}"/>
    <cellStyle name="40 % - Akzent4 4 2" xfId="134" xr:uid="{00000000-0005-0000-0000-000085000000}"/>
    <cellStyle name="40 % - Akzent4 4 3" xfId="135" xr:uid="{00000000-0005-0000-0000-000086000000}"/>
    <cellStyle name="40 % - Akzent4 5" xfId="136" xr:uid="{00000000-0005-0000-0000-000087000000}"/>
    <cellStyle name="40 % - Akzent4 6" xfId="137" xr:uid="{00000000-0005-0000-0000-000088000000}"/>
    <cellStyle name="40 % - Akzent4 7" xfId="138" xr:uid="{00000000-0005-0000-0000-000089000000}"/>
    <cellStyle name="40 % - Akzent5 2" xfId="139" xr:uid="{00000000-0005-0000-0000-00008A000000}"/>
    <cellStyle name="40 % - Akzent5 2 2" xfId="140" xr:uid="{00000000-0005-0000-0000-00008B000000}"/>
    <cellStyle name="40 % - Akzent5 2 3" xfId="141" xr:uid="{00000000-0005-0000-0000-00008C000000}"/>
    <cellStyle name="40 % - Akzent5 3" xfId="142" xr:uid="{00000000-0005-0000-0000-00008D000000}"/>
    <cellStyle name="40 % - Akzent5 3 2" xfId="143" xr:uid="{00000000-0005-0000-0000-00008E000000}"/>
    <cellStyle name="40 % - Akzent5 3 3" xfId="144" xr:uid="{00000000-0005-0000-0000-00008F000000}"/>
    <cellStyle name="40 % - Akzent5 4" xfId="145" xr:uid="{00000000-0005-0000-0000-000090000000}"/>
    <cellStyle name="40 % - Akzent5 4 2" xfId="146" xr:uid="{00000000-0005-0000-0000-000091000000}"/>
    <cellStyle name="40 % - Akzent5 4 3" xfId="147" xr:uid="{00000000-0005-0000-0000-000092000000}"/>
    <cellStyle name="40 % - Akzent5 5" xfId="148" xr:uid="{00000000-0005-0000-0000-000093000000}"/>
    <cellStyle name="40 % - Akzent5 6" xfId="149" xr:uid="{00000000-0005-0000-0000-000094000000}"/>
    <cellStyle name="40 % - Akzent5 7" xfId="150" xr:uid="{00000000-0005-0000-0000-000095000000}"/>
    <cellStyle name="40 % - Akzent6 2" xfId="151" xr:uid="{00000000-0005-0000-0000-000096000000}"/>
    <cellStyle name="40 % - Akzent6 2 2" xfId="152" xr:uid="{00000000-0005-0000-0000-000097000000}"/>
    <cellStyle name="40 % - Akzent6 2 2 2" xfId="153" xr:uid="{00000000-0005-0000-0000-000098000000}"/>
    <cellStyle name="40 % - Akzent6 2 3" xfId="154" xr:uid="{00000000-0005-0000-0000-000099000000}"/>
    <cellStyle name="40 % - Akzent6 3" xfId="155" xr:uid="{00000000-0005-0000-0000-00009A000000}"/>
    <cellStyle name="40 % - Akzent6 3 2" xfId="156" xr:uid="{00000000-0005-0000-0000-00009B000000}"/>
    <cellStyle name="40 % - Akzent6 3 3" xfId="157" xr:uid="{00000000-0005-0000-0000-00009C000000}"/>
    <cellStyle name="40 % - Akzent6 4" xfId="158" xr:uid="{00000000-0005-0000-0000-00009D000000}"/>
    <cellStyle name="40 % - Akzent6 4 2" xfId="159" xr:uid="{00000000-0005-0000-0000-00009E000000}"/>
    <cellStyle name="40 % - Akzent6 4 3" xfId="160" xr:uid="{00000000-0005-0000-0000-00009F000000}"/>
    <cellStyle name="40 % - Akzent6 5" xfId="161" xr:uid="{00000000-0005-0000-0000-0000A0000000}"/>
    <cellStyle name="40 % - Akzent6 6" xfId="162" xr:uid="{00000000-0005-0000-0000-0000A1000000}"/>
    <cellStyle name="40 % - Akzent6 7" xfId="163" xr:uid="{00000000-0005-0000-0000-0000A2000000}"/>
    <cellStyle name="60 % - Akzent1 2" xfId="164" xr:uid="{00000000-0005-0000-0000-0000A3000000}"/>
    <cellStyle name="60 % - Akzent1 2 2" xfId="165" xr:uid="{00000000-0005-0000-0000-0000A4000000}"/>
    <cellStyle name="60 % - Akzent1 2 2 2" xfId="166" xr:uid="{00000000-0005-0000-0000-0000A5000000}"/>
    <cellStyle name="60 % - Akzent1 2 3" xfId="167" xr:uid="{00000000-0005-0000-0000-0000A6000000}"/>
    <cellStyle name="60 % - Akzent1 3" xfId="168" xr:uid="{00000000-0005-0000-0000-0000A7000000}"/>
    <cellStyle name="60 % - Akzent1 4" xfId="169" xr:uid="{00000000-0005-0000-0000-0000A8000000}"/>
    <cellStyle name="60 % - Akzent1 5" xfId="170" xr:uid="{00000000-0005-0000-0000-0000A9000000}"/>
    <cellStyle name="60 % - Akzent1 6" xfId="171" xr:uid="{00000000-0005-0000-0000-0000AA000000}"/>
    <cellStyle name="60 % - Akzent2 2" xfId="172" xr:uid="{00000000-0005-0000-0000-0000AB000000}"/>
    <cellStyle name="60 % - Akzent2 3" xfId="173" xr:uid="{00000000-0005-0000-0000-0000AC000000}"/>
    <cellStyle name="60 % - Akzent2 4" xfId="174" xr:uid="{00000000-0005-0000-0000-0000AD000000}"/>
    <cellStyle name="60 % - Akzent2 5" xfId="175" xr:uid="{00000000-0005-0000-0000-0000AE000000}"/>
    <cellStyle name="60 % - Akzent2 6" xfId="176" xr:uid="{00000000-0005-0000-0000-0000AF000000}"/>
    <cellStyle name="60 % - Akzent3 2" xfId="177" xr:uid="{00000000-0005-0000-0000-0000B0000000}"/>
    <cellStyle name="60 % - Akzent3 3" xfId="178" xr:uid="{00000000-0005-0000-0000-0000B1000000}"/>
    <cellStyle name="60 % - Akzent3 4" xfId="179" xr:uid="{00000000-0005-0000-0000-0000B2000000}"/>
    <cellStyle name="60 % - Akzent3 5" xfId="180" xr:uid="{00000000-0005-0000-0000-0000B3000000}"/>
    <cellStyle name="60 % - Akzent3 6" xfId="181" xr:uid="{00000000-0005-0000-0000-0000B4000000}"/>
    <cellStyle name="60 % - Akzent4 2" xfId="182" xr:uid="{00000000-0005-0000-0000-0000B5000000}"/>
    <cellStyle name="60 % - Akzent4 2 2" xfId="183" xr:uid="{00000000-0005-0000-0000-0000B6000000}"/>
    <cellStyle name="60 % - Akzent4 2 3" xfId="184" xr:uid="{00000000-0005-0000-0000-0000B7000000}"/>
    <cellStyle name="60 % - Akzent4 2 3 2" xfId="185" xr:uid="{00000000-0005-0000-0000-0000B8000000}"/>
    <cellStyle name="60 % - Akzent4 2 3 2 2" xfId="186" xr:uid="{00000000-0005-0000-0000-0000B9000000}"/>
    <cellStyle name="60 % - Akzent4 2 3 3" xfId="187" xr:uid="{00000000-0005-0000-0000-0000BA000000}"/>
    <cellStyle name="60 % - Akzent4 2 4" xfId="188" xr:uid="{00000000-0005-0000-0000-0000BB000000}"/>
    <cellStyle name="60 % - Akzent4 3" xfId="189" xr:uid="{00000000-0005-0000-0000-0000BC000000}"/>
    <cellStyle name="60 % - Akzent4 4" xfId="190" xr:uid="{00000000-0005-0000-0000-0000BD000000}"/>
    <cellStyle name="60 % - Akzent4 5" xfId="191" xr:uid="{00000000-0005-0000-0000-0000BE000000}"/>
    <cellStyle name="60 % - Akzent4 6" xfId="192" xr:uid="{00000000-0005-0000-0000-0000BF000000}"/>
    <cellStyle name="60 % - Akzent5 2" xfId="193" xr:uid="{00000000-0005-0000-0000-0000C0000000}"/>
    <cellStyle name="60 % - Akzent5 2 2" xfId="194" xr:uid="{00000000-0005-0000-0000-0000C1000000}"/>
    <cellStyle name="60 % - Akzent5 2 2 2" xfId="195" xr:uid="{00000000-0005-0000-0000-0000C2000000}"/>
    <cellStyle name="60 % - Akzent5 2 3" xfId="196" xr:uid="{00000000-0005-0000-0000-0000C3000000}"/>
    <cellStyle name="60 % - Akzent5 3" xfId="197" xr:uid="{00000000-0005-0000-0000-0000C4000000}"/>
    <cellStyle name="60 % - Akzent5 4" xfId="198" xr:uid="{00000000-0005-0000-0000-0000C5000000}"/>
    <cellStyle name="60 % - Akzent5 5" xfId="199" xr:uid="{00000000-0005-0000-0000-0000C6000000}"/>
    <cellStyle name="60 % - Akzent5 6" xfId="200" xr:uid="{00000000-0005-0000-0000-0000C7000000}"/>
    <cellStyle name="60 % - Akzent6 2" xfId="201" xr:uid="{00000000-0005-0000-0000-0000C8000000}"/>
    <cellStyle name="60 % - Akzent6 2 2" xfId="202" xr:uid="{00000000-0005-0000-0000-0000C9000000}"/>
    <cellStyle name="60 % - Akzent6 2 3" xfId="203" xr:uid="{00000000-0005-0000-0000-0000CA000000}"/>
    <cellStyle name="60 % - Akzent6 2 3 2" xfId="204" xr:uid="{00000000-0005-0000-0000-0000CB000000}"/>
    <cellStyle name="60 % - Akzent6 2 3 2 2" xfId="205" xr:uid="{00000000-0005-0000-0000-0000CC000000}"/>
    <cellStyle name="60 % - Akzent6 2 3 3" xfId="206" xr:uid="{00000000-0005-0000-0000-0000CD000000}"/>
    <cellStyle name="60 % - Akzent6 2 4" xfId="207" xr:uid="{00000000-0005-0000-0000-0000CE000000}"/>
    <cellStyle name="60 % - Akzent6 3" xfId="208" xr:uid="{00000000-0005-0000-0000-0000CF000000}"/>
    <cellStyle name="60 % - Akzent6 4" xfId="209" xr:uid="{00000000-0005-0000-0000-0000D0000000}"/>
    <cellStyle name="60 % - Akzent6 5" xfId="210" xr:uid="{00000000-0005-0000-0000-0000D1000000}"/>
    <cellStyle name="60 % - Akzent6 6" xfId="211" xr:uid="{00000000-0005-0000-0000-0000D2000000}"/>
    <cellStyle name="Accent1" xfId="228" xr:uid="{00000000-0005-0000-0000-0000D3000000}"/>
    <cellStyle name="Accent1 2" xfId="212" xr:uid="{00000000-0005-0000-0000-0000D4000000}"/>
    <cellStyle name="Accent1 3" xfId="213" xr:uid="{00000000-0005-0000-0000-0000D5000000}"/>
    <cellStyle name="Accent1 3 2" xfId="214" xr:uid="{00000000-0005-0000-0000-0000D6000000}"/>
    <cellStyle name="Accent1 4" xfId="215" xr:uid="{00000000-0005-0000-0000-0000D7000000}"/>
    <cellStyle name="Accent1 5" xfId="216" xr:uid="{00000000-0005-0000-0000-0000D8000000}"/>
    <cellStyle name="Accent2" xfId="231" xr:uid="{00000000-0005-0000-0000-0000D9000000}"/>
    <cellStyle name="Accent2 2" xfId="217" xr:uid="{00000000-0005-0000-0000-0000DA000000}"/>
    <cellStyle name="Accent2 3" xfId="218" xr:uid="{00000000-0005-0000-0000-0000DB000000}"/>
    <cellStyle name="Accent2 4" xfId="219" xr:uid="{00000000-0005-0000-0000-0000DC000000}"/>
    <cellStyle name="Accent3" xfId="234" xr:uid="{00000000-0005-0000-0000-0000DD000000}"/>
    <cellStyle name="Accent3 2" xfId="220" xr:uid="{00000000-0005-0000-0000-0000DE000000}"/>
    <cellStyle name="Accent4" xfId="237" xr:uid="{00000000-0005-0000-0000-0000DF000000}"/>
    <cellStyle name="Accent4 2" xfId="221" xr:uid="{00000000-0005-0000-0000-0000E0000000}"/>
    <cellStyle name="Accent4 3" xfId="222" xr:uid="{00000000-0005-0000-0000-0000E1000000}"/>
    <cellStyle name="Accent4 3 2" xfId="223" xr:uid="{00000000-0005-0000-0000-0000E2000000}"/>
    <cellStyle name="Accent4 4" xfId="224" xr:uid="{00000000-0005-0000-0000-0000E3000000}"/>
    <cellStyle name="Accent4 5" xfId="225" xr:uid="{00000000-0005-0000-0000-0000E4000000}"/>
    <cellStyle name="Accent5" xfId="240" xr:uid="{00000000-0005-0000-0000-0000E5000000}"/>
    <cellStyle name="Accent5 2" xfId="226" xr:uid="{00000000-0005-0000-0000-0000E6000000}"/>
    <cellStyle name="Accent6" xfId="243" xr:uid="{00000000-0005-0000-0000-0000E7000000}"/>
    <cellStyle name="Accent6 2" xfId="227" xr:uid="{00000000-0005-0000-0000-0000E8000000}"/>
    <cellStyle name="Akzent1 2" xfId="229" xr:uid="{00000000-0005-0000-0000-0000E9000000}"/>
    <cellStyle name="Akzent1 3" xfId="230" xr:uid="{00000000-0005-0000-0000-0000EA000000}"/>
    <cellStyle name="Akzent2 2" xfId="232" xr:uid="{00000000-0005-0000-0000-0000EB000000}"/>
    <cellStyle name="Akzent2 3" xfId="233" xr:uid="{00000000-0005-0000-0000-0000EC000000}"/>
    <cellStyle name="Akzent3 2" xfId="235" xr:uid="{00000000-0005-0000-0000-0000ED000000}"/>
    <cellStyle name="Akzent3 3" xfId="236" xr:uid="{00000000-0005-0000-0000-0000EE000000}"/>
    <cellStyle name="Akzent4 2" xfId="238" xr:uid="{00000000-0005-0000-0000-0000EF000000}"/>
    <cellStyle name="Akzent4 3" xfId="239" xr:uid="{00000000-0005-0000-0000-0000F0000000}"/>
    <cellStyle name="Akzent5 2" xfId="241" xr:uid="{00000000-0005-0000-0000-0000F1000000}"/>
    <cellStyle name="Akzent5 3" xfId="242" xr:uid="{00000000-0005-0000-0000-0000F2000000}"/>
    <cellStyle name="Akzent6 2" xfId="244" xr:uid="{00000000-0005-0000-0000-0000F3000000}"/>
    <cellStyle name="Akzent6 3" xfId="245" xr:uid="{00000000-0005-0000-0000-0000F4000000}"/>
    <cellStyle name="Ausgabe 2" xfId="246" xr:uid="{00000000-0005-0000-0000-0000F5000000}"/>
    <cellStyle name="Ausgabe 2 2" xfId="247" xr:uid="{00000000-0005-0000-0000-0000F6000000}"/>
    <cellStyle name="Ausgabe 2 2 2" xfId="248" xr:uid="{00000000-0005-0000-0000-0000F7000000}"/>
    <cellStyle name="Ausgabe 2 2 3" xfId="249" xr:uid="{00000000-0005-0000-0000-0000F8000000}"/>
    <cellStyle name="Ausgabe 2 2 3 2" xfId="557" xr:uid="{00000000-0005-0000-0000-0000F9000000}"/>
    <cellStyle name="Ausgabe 2 3" xfId="250" xr:uid="{00000000-0005-0000-0000-0000FA000000}"/>
    <cellStyle name="Ausgabe 2 3 2" xfId="251" xr:uid="{00000000-0005-0000-0000-0000FB000000}"/>
    <cellStyle name="Ausgabe 2 3 2 2" xfId="252" xr:uid="{00000000-0005-0000-0000-0000FC000000}"/>
    <cellStyle name="Ausgabe 2 3 3" xfId="253" xr:uid="{00000000-0005-0000-0000-0000FD000000}"/>
    <cellStyle name="Ausgabe 2 3 3 2" xfId="558" xr:uid="{00000000-0005-0000-0000-0000FE000000}"/>
    <cellStyle name="Ausgabe 2 4" xfId="254" xr:uid="{00000000-0005-0000-0000-0000FF000000}"/>
    <cellStyle name="Ausgabe 2 5" xfId="255" xr:uid="{00000000-0005-0000-0000-000000010000}"/>
    <cellStyle name="Ausgabe 2 5 2" xfId="559" xr:uid="{00000000-0005-0000-0000-000001010000}"/>
    <cellStyle name="Ausgabe 3" xfId="256" xr:uid="{00000000-0005-0000-0000-000002010000}"/>
    <cellStyle name="Ausgabe 3 2" xfId="257" xr:uid="{00000000-0005-0000-0000-000003010000}"/>
    <cellStyle name="Ausgabe 3 3" xfId="258" xr:uid="{00000000-0005-0000-0000-000004010000}"/>
    <cellStyle name="Ausgabe 3 3 2" xfId="560" xr:uid="{00000000-0005-0000-0000-000005010000}"/>
    <cellStyle name="Ausgabe 4" xfId="259" xr:uid="{00000000-0005-0000-0000-000006010000}"/>
    <cellStyle name="Ausgabe 5" xfId="260" xr:uid="{00000000-0005-0000-0000-000007010000}"/>
    <cellStyle name="Ausgabe 6" xfId="261" xr:uid="{00000000-0005-0000-0000-000008010000}"/>
    <cellStyle name="Ausgabe 7" xfId="262" xr:uid="{00000000-0005-0000-0000-000009010000}"/>
    <cellStyle name="Ausgabe 7 2" xfId="263" xr:uid="{00000000-0005-0000-0000-00000A010000}"/>
    <cellStyle name="Ausgabe 7 3" xfId="264" xr:uid="{00000000-0005-0000-0000-00000B010000}"/>
    <cellStyle name="Ausgabe 7 3 2" xfId="265" xr:uid="{00000000-0005-0000-0000-00000C010000}"/>
    <cellStyle name="Ausgabe 7 3 3" xfId="561" xr:uid="{00000000-0005-0000-0000-00000D010000}"/>
    <cellStyle name="Ausgabe 7 4" xfId="266" xr:uid="{00000000-0005-0000-0000-00000E010000}"/>
    <cellStyle name="Ausgabe 8" xfId="267" xr:uid="{00000000-0005-0000-0000-00000F010000}"/>
    <cellStyle name="Ausgabe 8 2" xfId="268" xr:uid="{00000000-0005-0000-0000-000010010000}"/>
    <cellStyle name="Bad" xfId="482" xr:uid="{00000000-0005-0000-0000-000011010000}"/>
    <cellStyle name="Bad 2" xfId="269" xr:uid="{00000000-0005-0000-0000-000012010000}"/>
    <cellStyle name="Berechnung 2" xfId="270" xr:uid="{00000000-0005-0000-0000-000013010000}"/>
    <cellStyle name="Berechnung 2 2" xfId="271" xr:uid="{00000000-0005-0000-0000-000014010000}"/>
    <cellStyle name="Berechnung 2 3" xfId="272" xr:uid="{00000000-0005-0000-0000-000015010000}"/>
    <cellStyle name="Berechnung 2 3 2" xfId="273" xr:uid="{00000000-0005-0000-0000-000016010000}"/>
    <cellStyle name="Berechnung 2 3 2 2" xfId="274" xr:uid="{00000000-0005-0000-0000-000017010000}"/>
    <cellStyle name="Berechnung 2 3 3" xfId="275" xr:uid="{00000000-0005-0000-0000-000018010000}"/>
    <cellStyle name="Berechnung 2 4" xfId="276" xr:uid="{00000000-0005-0000-0000-000019010000}"/>
    <cellStyle name="Berechnung 3" xfId="277" xr:uid="{00000000-0005-0000-0000-00001A010000}"/>
    <cellStyle name="Berechnung 4" xfId="278" xr:uid="{00000000-0005-0000-0000-00001B010000}"/>
    <cellStyle name="Berechnung 5" xfId="279" xr:uid="{00000000-0005-0000-0000-00001C010000}"/>
    <cellStyle name="Berechnung 6" xfId="280" xr:uid="{00000000-0005-0000-0000-00001D010000}"/>
    <cellStyle name="Berechnung 7" xfId="281" xr:uid="{00000000-0005-0000-0000-00001E010000}"/>
    <cellStyle name="Berechnung 7 2" xfId="282" xr:uid="{00000000-0005-0000-0000-00001F010000}"/>
    <cellStyle name="Berechnung 7 3" xfId="283" xr:uid="{00000000-0005-0000-0000-000020010000}"/>
    <cellStyle name="Berechnung 8" xfId="284" xr:uid="{00000000-0005-0000-0000-000021010000}"/>
    <cellStyle name="Calculation 2" xfId="285" xr:uid="{00000000-0005-0000-0000-000022010000}"/>
    <cellStyle name="Check Cell" xfId="552" xr:uid="{00000000-0005-0000-0000-000023010000}"/>
    <cellStyle name="Check Cell 2" xfId="286" xr:uid="{00000000-0005-0000-0000-000024010000}"/>
    <cellStyle name="Check Cell 3" xfId="287" xr:uid="{00000000-0005-0000-0000-000025010000}"/>
    <cellStyle name="Check Cell 4" xfId="288" xr:uid="{00000000-0005-0000-0000-000026010000}"/>
    <cellStyle name="Comma" xfId="289" builtinId="3"/>
    <cellStyle name="Comma 2" xfId="562" xr:uid="{00000000-0005-0000-0000-000027010000}"/>
    <cellStyle name="Comma 2 2" xfId="572" xr:uid="{00000000-0005-0000-0000-000028010000}"/>
    <cellStyle name="Comma 2 3" xfId="574" xr:uid="{00000000-0005-0000-0000-000029010000}"/>
    <cellStyle name="Eingabe 2" xfId="290" xr:uid="{00000000-0005-0000-0000-00002A010000}"/>
    <cellStyle name="Eingabe 3" xfId="291" xr:uid="{00000000-0005-0000-0000-00002B010000}"/>
    <cellStyle name="Eingabe 4" xfId="292" xr:uid="{00000000-0005-0000-0000-00002C010000}"/>
    <cellStyle name="Eingabe 5" xfId="293" xr:uid="{00000000-0005-0000-0000-00002D010000}"/>
    <cellStyle name="Eingabe 6" xfId="294" xr:uid="{00000000-0005-0000-0000-00002E010000}"/>
    <cellStyle name="Eingabe 7" xfId="295" xr:uid="{00000000-0005-0000-0000-00002F010000}"/>
    <cellStyle name="Ergebnis 2" xfId="296" xr:uid="{00000000-0005-0000-0000-000030010000}"/>
    <cellStyle name="Ergebnis 2 2" xfId="297" xr:uid="{00000000-0005-0000-0000-000031010000}"/>
    <cellStyle name="Ergebnis 2 2 2" xfId="298" xr:uid="{00000000-0005-0000-0000-000032010000}"/>
    <cellStyle name="Ergebnis 2 3" xfId="299" xr:uid="{00000000-0005-0000-0000-000033010000}"/>
    <cellStyle name="Ergebnis 2 4" xfId="300" xr:uid="{00000000-0005-0000-0000-000034010000}"/>
    <cellStyle name="Ergebnis 2 4 2" xfId="301" xr:uid="{00000000-0005-0000-0000-000035010000}"/>
    <cellStyle name="Ergebnis 2 4 2 2" xfId="302" xr:uid="{00000000-0005-0000-0000-000036010000}"/>
    <cellStyle name="Ergebnis 2 4 3" xfId="303" xr:uid="{00000000-0005-0000-0000-000037010000}"/>
    <cellStyle name="Ergebnis 2 5" xfId="304" xr:uid="{00000000-0005-0000-0000-000038010000}"/>
    <cellStyle name="Ergebnis 3" xfId="305" xr:uid="{00000000-0005-0000-0000-000039010000}"/>
    <cellStyle name="Ergebnis 3 2" xfId="306" xr:uid="{00000000-0005-0000-0000-00003A010000}"/>
    <cellStyle name="Ergebnis 4" xfId="307" xr:uid="{00000000-0005-0000-0000-00003B010000}"/>
    <cellStyle name="Ergebnis 4 2" xfId="308" xr:uid="{00000000-0005-0000-0000-00003C010000}"/>
    <cellStyle name="Ergebnis 5" xfId="309" xr:uid="{00000000-0005-0000-0000-00003D010000}"/>
    <cellStyle name="Ergebnis 6" xfId="310" xr:uid="{00000000-0005-0000-0000-00003E010000}"/>
    <cellStyle name="Ergebnis 7" xfId="311" xr:uid="{00000000-0005-0000-0000-00003F010000}"/>
    <cellStyle name="Ergebnis 8" xfId="312" xr:uid="{00000000-0005-0000-0000-000040010000}"/>
    <cellStyle name="Ergebnis 8 2" xfId="313" xr:uid="{00000000-0005-0000-0000-000041010000}"/>
    <cellStyle name="Ergebnis 8 3" xfId="314" xr:uid="{00000000-0005-0000-0000-000042010000}"/>
    <cellStyle name="Ergebnis 9" xfId="315" xr:uid="{00000000-0005-0000-0000-000043010000}"/>
    <cellStyle name="Erklärender Text 2" xfId="316" xr:uid="{00000000-0005-0000-0000-000044010000}"/>
    <cellStyle name="Erklärender Text 3" xfId="317" xr:uid="{00000000-0005-0000-0000-000045010000}"/>
    <cellStyle name="Erklärender Text 4" xfId="318" xr:uid="{00000000-0005-0000-0000-000046010000}"/>
    <cellStyle name="Erklärender Text 5" xfId="319" xr:uid="{00000000-0005-0000-0000-000047010000}"/>
    <cellStyle name="Erklärender Text 6" xfId="320" xr:uid="{00000000-0005-0000-0000-000048010000}"/>
    <cellStyle name="Good" xfId="322" xr:uid="{00000000-0005-0000-0000-000049010000}"/>
    <cellStyle name="Good 2" xfId="321" xr:uid="{00000000-0005-0000-0000-00004A010000}"/>
    <cellStyle name="Gut 2" xfId="323" xr:uid="{00000000-0005-0000-0000-00004B010000}"/>
    <cellStyle name="Gut 3" xfId="324" xr:uid="{00000000-0005-0000-0000-00004C010000}"/>
    <cellStyle name="Heading 1" xfId="527" xr:uid="{00000000-0005-0000-0000-00004D010000}"/>
    <cellStyle name="Heading 1 2" xfId="325" xr:uid="{00000000-0005-0000-0000-00004E010000}"/>
    <cellStyle name="Heading 1 2 2" xfId="326" xr:uid="{00000000-0005-0000-0000-00004F010000}"/>
    <cellStyle name="Heading 1 3" xfId="327" xr:uid="{00000000-0005-0000-0000-000050010000}"/>
    <cellStyle name="Heading 1 4" xfId="328" xr:uid="{00000000-0005-0000-0000-000051010000}"/>
    <cellStyle name="Heading 2" xfId="530" xr:uid="{00000000-0005-0000-0000-000052010000}"/>
    <cellStyle name="Heading 2 2" xfId="329" xr:uid="{00000000-0005-0000-0000-000053010000}"/>
    <cellStyle name="Heading 2 2 2" xfId="330" xr:uid="{00000000-0005-0000-0000-000054010000}"/>
    <cellStyle name="Heading 2 3" xfId="331" xr:uid="{00000000-0005-0000-0000-000055010000}"/>
    <cellStyle name="Heading 2 4" xfId="332" xr:uid="{00000000-0005-0000-0000-000056010000}"/>
    <cellStyle name="Heading 3" xfId="533" xr:uid="{00000000-0005-0000-0000-000057010000}"/>
    <cellStyle name="Heading 3 2" xfId="333" xr:uid="{00000000-0005-0000-0000-000058010000}"/>
    <cellStyle name="Heading 3 2 2" xfId="334" xr:uid="{00000000-0005-0000-0000-000059010000}"/>
    <cellStyle name="Heading 3 3" xfId="335" xr:uid="{00000000-0005-0000-0000-00005A010000}"/>
    <cellStyle name="Heading 3 4" xfId="336" xr:uid="{00000000-0005-0000-0000-00005B010000}"/>
    <cellStyle name="Heading 4" xfId="536" xr:uid="{00000000-0005-0000-0000-00005C010000}"/>
    <cellStyle name="Heading 4 2" xfId="337" xr:uid="{00000000-0005-0000-0000-00005D010000}"/>
    <cellStyle name="Heading 4 2 2" xfId="338" xr:uid="{00000000-0005-0000-0000-00005E010000}"/>
    <cellStyle name="Heading 4 3" xfId="339" xr:uid="{00000000-0005-0000-0000-00005F010000}"/>
    <cellStyle name="Heading 4 4" xfId="340" xr:uid="{00000000-0005-0000-0000-000060010000}"/>
    <cellStyle name="Input 2" xfId="341" xr:uid="{00000000-0005-0000-0000-000061010000}"/>
    <cellStyle name="Komma 2" xfId="573" xr:uid="{00000000-0005-0000-0000-000063010000}"/>
    <cellStyle name="Linked Cell" xfId="541" xr:uid="{00000000-0005-0000-0000-000064010000}"/>
    <cellStyle name="Linked Cell 2" xfId="342" xr:uid="{00000000-0005-0000-0000-000065010000}"/>
    <cellStyle name="Neutral" xfId="343" builtinId="28" customBuiltin="1"/>
    <cellStyle name="Normal" xfId="0" builtinId="0"/>
    <cellStyle name="Normal 2" xfId="344" xr:uid="{00000000-0005-0000-0000-000067010000}"/>
    <cellStyle name="Note" xfId="350" xr:uid="{00000000-0005-0000-0000-000068010000}"/>
    <cellStyle name="Note 2" xfId="345" xr:uid="{00000000-0005-0000-0000-000069010000}"/>
    <cellStyle name="Note 2 2" xfId="346" xr:uid="{00000000-0005-0000-0000-00006A010000}"/>
    <cellStyle name="Note 3" xfId="347" xr:uid="{00000000-0005-0000-0000-00006B010000}"/>
    <cellStyle name="Note 4" xfId="348" xr:uid="{00000000-0005-0000-0000-00006C010000}"/>
    <cellStyle name="Note 5" xfId="349" xr:uid="{00000000-0005-0000-0000-00006D010000}"/>
    <cellStyle name="Note 5 2" xfId="563" xr:uid="{00000000-0005-0000-0000-00006E010000}"/>
    <cellStyle name="Notiz 2" xfId="351" xr:uid="{00000000-0005-0000-0000-00006F010000}"/>
    <cellStyle name="Notiz 2 2" xfId="352" xr:uid="{00000000-0005-0000-0000-000070010000}"/>
    <cellStyle name="Notiz 2 2 2" xfId="353" xr:uid="{00000000-0005-0000-0000-000071010000}"/>
    <cellStyle name="Notiz 2 2 2 2" xfId="354" xr:uid="{00000000-0005-0000-0000-000072010000}"/>
    <cellStyle name="Notiz 2 2 2 2 2" xfId="355" xr:uid="{00000000-0005-0000-0000-000073010000}"/>
    <cellStyle name="Notiz 2 2 2 3" xfId="356" xr:uid="{00000000-0005-0000-0000-000074010000}"/>
    <cellStyle name="Notiz 2 2 3" xfId="357" xr:uid="{00000000-0005-0000-0000-000075010000}"/>
    <cellStyle name="Notiz 2 2 3 2" xfId="358" xr:uid="{00000000-0005-0000-0000-000076010000}"/>
    <cellStyle name="Notiz 2 2 4" xfId="359" xr:uid="{00000000-0005-0000-0000-000077010000}"/>
    <cellStyle name="Notiz 2 2 4 2" xfId="360" xr:uid="{00000000-0005-0000-0000-000078010000}"/>
    <cellStyle name="Notiz 2 2 4 3" xfId="361" xr:uid="{00000000-0005-0000-0000-000079010000}"/>
    <cellStyle name="Notiz 2 2 4 3 2" xfId="362" xr:uid="{00000000-0005-0000-0000-00007A010000}"/>
    <cellStyle name="Notiz 2 2 4 3 3" xfId="363" xr:uid="{00000000-0005-0000-0000-00007B010000}"/>
    <cellStyle name="Notiz 2 2 4 4" xfId="364" xr:uid="{00000000-0005-0000-0000-00007C010000}"/>
    <cellStyle name="Notiz 2 2 4 4 2" xfId="564" xr:uid="{00000000-0005-0000-0000-00007D010000}"/>
    <cellStyle name="Notiz 2 2 5" xfId="365" xr:uid="{00000000-0005-0000-0000-00007E010000}"/>
    <cellStyle name="Notiz 2 2 5 2" xfId="366" xr:uid="{00000000-0005-0000-0000-00007F010000}"/>
    <cellStyle name="Notiz 2 2 5 3" xfId="367" xr:uid="{00000000-0005-0000-0000-000080010000}"/>
    <cellStyle name="Notiz 2 2 5 4" xfId="368" xr:uid="{00000000-0005-0000-0000-000081010000}"/>
    <cellStyle name="Notiz 2 2 5 4 2" xfId="565" xr:uid="{00000000-0005-0000-0000-000082010000}"/>
    <cellStyle name="Notiz 2 3" xfId="369" xr:uid="{00000000-0005-0000-0000-000083010000}"/>
    <cellStyle name="Notiz 2 3 2" xfId="370" xr:uid="{00000000-0005-0000-0000-000084010000}"/>
    <cellStyle name="Notiz 2 3 2 2" xfId="371" xr:uid="{00000000-0005-0000-0000-000085010000}"/>
    <cellStyle name="Notiz 2 3 3" xfId="372" xr:uid="{00000000-0005-0000-0000-000086010000}"/>
    <cellStyle name="Notiz 2 4" xfId="373" xr:uid="{00000000-0005-0000-0000-000087010000}"/>
    <cellStyle name="Notiz 2 4 2" xfId="374" xr:uid="{00000000-0005-0000-0000-000088010000}"/>
    <cellStyle name="Notiz 2 5" xfId="375" xr:uid="{00000000-0005-0000-0000-000089010000}"/>
    <cellStyle name="Notiz 3" xfId="376" xr:uid="{00000000-0005-0000-0000-00008A010000}"/>
    <cellStyle name="Notiz 3 2" xfId="377" xr:uid="{00000000-0005-0000-0000-00008B010000}"/>
    <cellStyle name="Notiz 3 2 2" xfId="378" xr:uid="{00000000-0005-0000-0000-00008C010000}"/>
    <cellStyle name="Notiz 3 2 2 2" xfId="379" xr:uid="{00000000-0005-0000-0000-00008D010000}"/>
    <cellStyle name="Notiz 3 2 3" xfId="380" xr:uid="{00000000-0005-0000-0000-00008E010000}"/>
    <cellStyle name="Notiz 3 3" xfId="381" xr:uid="{00000000-0005-0000-0000-00008F010000}"/>
    <cellStyle name="Notiz 3 3 2" xfId="382" xr:uid="{00000000-0005-0000-0000-000090010000}"/>
    <cellStyle name="Notiz 3 4" xfId="383" xr:uid="{00000000-0005-0000-0000-000091010000}"/>
    <cellStyle name="Notiz 4" xfId="384" xr:uid="{00000000-0005-0000-0000-000092010000}"/>
    <cellStyle name="Notiz 4 2" xfId="385" xr:uid="{00000000-0005-0000-0000-000093010000}"/>
    <cellStyle name="Notiz 4 2 2" xfId="386" xr:uid="{00000000-0005-0000-0000-000094010000}"/>
    <cellStyle name="Notiz 4 3" xfId="387" xr:uid="{00000000-0005-0000-0000-000095010000}"/>
    <cellStyle name="Notiz 5" xfId="388" xr:uid="{00000000-0005-0000-0000-000096010000}"/>
    <cellStyle name="Notiz 5 2" xfId="389" xr:uid="{00000000-0005-0000-0000-000097010000}"/>
    <cellStyle name="Notiz 5 2 2" xfId="390" xr:uid="{00000000-0005-0000-0000-000098010000}"/>
    <cellStyle name="Notiz 5 3" xfId="391" xr:uid="{00000000-0005-0000-0000-000099010000}"/>
    <cellStyle name="Notiz 6" xfId="392" xr:uid="{00000000-0005-0000-0000-00009A010000}"/>
    <cellStyle name="Notiz 6 2" xfId="393" xr:uid="{00000000-0005-0000-0000-00009B010000}"/>
    <cellStyle name="Notiz 7" xfId="394" xr:uid="{00000000-0005-0000-0000-00009C010000}"/>
    <cellStyle name="Notiz 8" xfId="395" xr:uid="{00000000-0005-0000-0000-00009D010000}"/>
    <cellStyle name="Output 2" xfId="396" xr:uid="{00000000-0005-0000-0000-00009E010000}"/>
    <cellStyle name="Percent" xfId="397" builtinId="5"/>
    <cellStyle name="Percent 2" xfId="566" xr:uid="{00000000-0005-0000-0000-00009F010000}"/>
    <cellStyle name="Prozent 10" xfId="398" xr:uid="{00000000-0005-0000-0000-0000A1010000}"/>
    <cellStyle name="Prozent 10 2" xfId="399" xr:uid="{00000000-0005-0000-0000-0000A2010000}"/>
    <cellStyle name="Prozent 10 3" xfId="400" xr:uid="{00000000-0005-0000-0000-0000A3010000}"/>
    <cellStyle name="Prozent 10 4" xfId="401" xr:uid="{00000000-0005-0000-0000-0000A4010000}"/>
    <cellStyle name="Prozent 10 4 2" xfId="567" xr:uid="{00000000-0005-0000-0000-0000A5010000}"/>
    <cellStyle name="Prozent 11" xfId="402" xr:uid="{00000000-0005-0000-0000-0000A6010000}"/>
    <cellStyle name="Prozent 12" xfId="403" xr:uid="{00000000-0005-0000-0000-0000A7010000}"/>
    <cellStyle name="Prozent 2" xfId="404" xr:uid="{00000000-0005-0000-0000-0000A8010000}"/>
    <cellStyle name="Prozent 3" xfId="405" xr:uid="{00000000-0005-0000-0000-0000A9010000}"/>
    <cellStyle name="Prozent 3 2" xfId="406" xr:uid="{00000000-0005-0000-0000-0000AA010000}"/>
    <cellStyle name="Prozent 3 2 2" xfId="407" xr:uid="{00000000-0005-0000-0000-0000AB010000}"/>
    <cellStyle name="Prozent 3 2 2 2" xfId="408" xr:uid="{00000000-0005-0000-0000-0000AC010000}"/>
    <cellStyle name="Prozent 3 2 2 2 2" xfId="409" xr:uid="{00000000-0005-0000-0000-0000AD010000}"/>
    <cellStyle name="Prozent 3 2 2 3" xfId="410" xr:uid="{00000000-0005-0000-0000-0000AE010000}"/>
    <cellStyle name="Prozent 3 2 3" xfId="411" xr:uid="{00000000-0005-0000-0000-0000AF010000}"/>
    <cellStyle name="Prozent 3 2 3 2" xfId="412" xr:uid="{00000000-0005-0000-0000-0000B0010000}"/>
    <cellStyle name="Prozent 3 2 4" xfId="413" xr:uid="{00000000-0005-0000-0000-0000B1010000}"/>
    <cellStyle name="Prozent 3 2 4 2" xfId="414" xr:uid="{00000000-0005-0000-0000-0000B2010000}"/>
    <cellStyle name="Prozent 3 2 4 3" xfId="415" xr:uid="{00000000-0005-0000-0000-0000B3010000}"/>
    <cellStyle name="Prozent 3 2 5" xfId="416" xr:uid="{00000000-0005-0000-0000-0000B4010000}"/>
    <cellStyle name="Prozent 3 3" xfId="417" xr:uid="{00000000-0005-0000-0000-0000B5010000}"/>
    <cellStyle name="Prozent 3 3 2" xfId="418" xr:uid="{00000000-0005-0000-0000-0000B6010000}"/>
    <cellStyle name="Prozent 3 3 2 2" xfId="419" xr:uid="{00000000-0005-0000-0000-0000B7010000}"/>
    <cellStyle name="Prozent 3 3 3" xfId="420" xr:uid="{00000000-0005-0000-0000-0000B8010000}"/>
    <cellStyle name="Prozent 3 4" xfId="421" xr:uid="{00000000-0005-0000-0000-0000B9010000}"/>
    <cellStyle name="Prozent 3 4 2" xfId="422" xr:uid="{00000000-0005-0000-0000-0000BA010000}"/>
    <cellStyle name="Prozent 3 5" xfId="423" xr:uid="{00000000-0005-0000-0000-0000BB010000}"/>
    <cellStyle name="Prozent 4" xfId="424" xr:uid="{00000000-0005-0000-0000-0000BC010000}"/>
    <cellStyle name="Prozent 4 2" xfId="425" xr:uid="{00000000-0005-0000-0000-0000BD010000}"/>
    <cellStyle name="Prozent 4 2 2" xfId="426" xr:uid="{00000000-0005-0000-0000-0000BE010000}"/>
    <cellStyle name="Prozent 4 2 2 2" xfId="427" xr:uid="{00000000-0005-0000-0000-0000BF010000}"/>
    <cellStyle name="Prozent 4 2 2 2 2" xfId="428" xr:uid="{00000000-0005-0000-0000-0000C0010000}"/>
    <cellStyle name="Prozent 4 2 2 3" xfId="429" xr:uid="{00000000-0005-0000-0000-0000C1010000}"/>
    <cellStyle name="Prozent 4 2 3" xfId="430" xr:uid="{00000000-0005-0000-0000-0000C2010000}"/>
    <cellStyle name="Prozent 4 2 3 2" xfId="431" xr:uid="{00000000-0005-0000-0000-0000C3010000}"/>
    <cellStyle name="Prozent 4 2 4" xfId="432" xr:uid="{00000000-0005-0000-0000-0000C4010000}"/>
    <cellStyle name="Prozent 4 3" xfId="433" xr:uid="{00000000-0005-0000-0000-0000C5010000}"/>
    <cellStyle name="Prozent 4 3 2" xfId="434" xr:uid="{00000000-0005-0000-0000-0000C6010000}"/>
    <cellStyle name="Prozent 4 3 2 2" xfId="435" xr:uid="{00000000-0005-0000-0000-0000C7010000}"/>
    <cellStyle name="Prozent 4 3 3" xfId="436" xr:uid="{00000000-0005-0000-0000-0000C8010000}"/>
    <cellStyle name="Prozent 4 3 3 2" xfId="437" xr:uid="{00000000-0005-0000-0000-0000C9010000}"/>
    <cellStyle name="Prozent 4 3 4" xfId="438" xr:uid="{00000000-0005-0000-0000-0000CA010000}"/>
    <cellStyle name="Prozent 4 3 4 2" xfId="439" xr:uid="{00000000-0005-0000-0000-0000CB010000}"/>
    <cellStyle name="Prozent 4 3 4 3" xfId="440" xr:uid="{00000000-0005-0000-0000-0000CC010000}"/>
    <cellStyle name="Prozent 4 3 4 4" xfId="441" xr:uid="{00000000-0005-0000-0000-0000CD010000}"/>
    <cellStyle name="Prozent 4 3 4 4 2" xfId="568" xr:uid="{00000000-0005-0000-0000-0000CE010000}"/>
    <cellStyle name="Prozent 4 4" xfId="442" xr:uid="{00000000-0005-0000-0000-0000CF010000}"/>
    <cellStyle name="Prozent 4 4 2" xfId="443" xr:uid="{00000000-0005-0000-0000-0000D0010000}"/>
    <cellStyle name="Prozent 4 5" xfId="444" xr:uid="{00000000-0005-0000-0000-0000D1010000}"/>
    <cellStyle name="Prozent 5" xfId="445" xr:uid="{00000000-0005-0000-0000-0000D2010000}"/>
    <cellStyle name="Prozent 5 2" xfId="446" xr:uid="{00000000-0005-0000-0000-0000D3010000}"/>
    <cellStyle name="Prozent 5 2 2" xfId="447" xr:uid="{00000000-0005-0000-0000-0000D4010000}"/>
    <cellStyle name="Prozent 5 2 2 2" xfId="448" xr:uid="{00000000-0005-0000-0000-0000D5010000}"/>
    <cellStyle name="Prozent 5 2 3" xfId="449" xr:uid="{00000000-0005-0000-0000-0000D6010000}"/>
    <cellStyle name="Prozent 5 3" xfId="450" xr:uid="{00000000-0005-0000-0000-0000D7010000}"/>
    <cellStyle name="Prozent 5 3 2" xfId="451" xr:uid="{00000000-0005-0000-0000-0000D8010000}"/>
    <cellStyle name="Prozent 5 4" xfId="452" xr:uid="{00000000-0005-0000-0000-0000D9010000}"/>
    <cellStyle name="Prozent 5 4 2" xfId="453" xr:uid="{00000000-0005-0000-0000-0000DA010000}"/>
    <cellStyle name="Prozent 5 4 3" xfId="454" xr:uid="{00000000-0005-0000-0000-0000DB010000}"/>
    <cellStyle name="Prozent 5 4 3 2" xfId="455" xr:uid="{00000000-0005-0000-0000-0000DC010000}"/>
    <cellStyle name="Prozent 5 4 3 3" xfId="456" xr:uid="{00000000-0005-0000-0000-0000DD010000}"/>
    <cellStyle name="Prozent 5 4 4" xfId="457" xr:uid="{00000000-0005-0000-0000-0000DE010000}"/>
    <cellStyle name="Prozent 5 4 4 2" xfId="569" xr:uid="{00000000-0005-0000-0000-0000DF010000}"/>
    <cellStyle name="Prozent 5 5" xfId="458" xr:uid="{00000000-0005-0000-0000-0000E0010000}"/>
    <cellStyle name="Prozent 5 5 2" xfId="459" xr:uid="{00000000-0005-0000-0000-0000E1010000}"/>
    <cellStyle name="Prozent 5 5 3" xfId="460" xr:uid="{00000000-0005-0000-0000-0000E2010000}"/>
    <cellStyle name="Prozent 5 5 4" xfId="461" xr:uid="{00000000-0005-0000-0000-0000E3010000}"/>
    <cellStyle name="Prozent 5 5 4 2" xfId="570" xr:uid="{00000000-0005-0000-0000-0000E4010000}"/>
    <cellStyle name="Prozent 6" xfId="462" xr:uid="{00000000-0005-0000-0000-0000E5010000}"/>
    <cellStyle name="Prozent 6 2" xfId="463" xr:uid="{00000000-0005-0000-0000-0000E6010000}"/>
    <cellStyle name="Prozent 6 2 2" xfId="464" xr:uid="{00000000-0005-0000-0000-0000E7010000}"/>
    <cellStyle name="Prozent 6 3" xfId="465" xr:uid="{00000000-0005-0000-0000-0000E8010000}"/>
    <cellStyle name="Prozent 7" xfId="466" xr:uid="{00000000-0005-0000-0000-0000E9010000}"/>
    <cellStyle name="Prozent 7 2" xfId="467" xr:uid="{00000000-0005-0000-0000-0000EA010000}"/>
    <cellStyle name="Prozent 7 2 2" xfId="468" xr:uid="{00000000-0005-0000-0000-0000EB010000}"/>
    <cellStyle name="Prozent 7 3" xfId="469" xr:uid="{00000000-0005-0000-0000-0000EC010000}"/>
    <cellStyle name="Prozent 8" xfId="470" xr:uid="{00000000-0005-0000-0000-0000ED010000}"/>
    <cellStyle name="Prozent 8 2" xfId="471" xr:uid="{00000000-0005-0000-0000-0000EE010000}"/>
    <cellStyle name="Prozent 8 2 2" xfId="472" xr:uid="{00000000-0005-0000-0000-0000EF010000}"/>
    <cellStyle name="Prozent 8 2 3" xfId="473" xr:uid="{00000000-0005-0000-0000-0000F0010000}"/>
    <cellStyle name="Prozent 8 3" xfId="474" xr:uid="{00000000-0005-0000-0000-0000F1010000}"/>
    <cellStyle name="Prozent 8 3 2" xfId="475" xr:uid="{00000000-0005-0000-0000-0000F2010000}"/>
    <cellStyle name="Prozent 8 3 2 2" xfId="476" xr:uid="{00000000-0005-0000-0000-0000F3010000}"/>
    <cellStyle name="Prozent 8 3 2 3" xfId="477" xr:uid="{00000000-0005-0000-0000-0000F4010000}"/>
    <cellStyle name="Prozent 8 3 3" xfId="478" xr:uid="{00000000-0005-0000-0000-0000F5010000}"/>
    <cellStyle name="Prozent 8 3 3 2" xfId="479" xr:uid="{00000000-0005-0000-0000-0000F6010000}"/>
    <cellStyle name="Prozent 8 3 3 3" xfId="480" xr:uid="{00000000-0005-0000-0000-0000F7010000}"/>
    <cellStyle name="Prozent 9" xfId="481" xr:uid="{00000000-0005-0000-0000-0000F8010000}"/>
    <cellStyle name="Schlecht 2" xfId="483" xr:uid="{00000000-0005-0000-0000-0000F9010000}"/>
    <cellStyle name="Schlecht 3" xfId="484" xr:uid="{00000000-0005-0000-0000-0000FA010000}"/>
    <cellStyle name="Standard 2" xfId="485" xr:uid="{00000000-0005-0000-0000-0000FC010000}"/>
    <cellStyle name="Standard 2 2" xfId="486" xr:uid="{00000000-0005-0000-0000-0000FD010000}"/>
    <cellStyle name="Standard 2 2 2" xfId="487" xr:uid="{00000000-0005-0000-0000-0000FE010000}"/>
    <cellStyle name="Standard 2 2 3" xfId="488" xr:uid="{00000000-0005-0000-0000-0000FF010000}"/>
    <cellStyle name="Standard 2 3" xfId="489" xr:uid="{00000000-0005-0000-0000-000000020000}"/>
    <cellStyle name="Standard 2 4" xfId="490" xr:uid="{00000000-0005-0000-0000-000001020000}"/>
    <cellStyle name="Standard 2 5" xfId="491" xr:uid="{00000000-0005-0000-0000-000002020000}"/>
    <cellStyle name="Standard 2 6" xfId="492" xr:uid="{00000000-0005-0000-0000-000003020000}"/>
    <cellStyle name="Standard 3" xfId="493" xr:uid="{00000000-0005-0000-0000-000004020000}"/>
    <cellStyle name="Standard 3 2" xfId="494" xr:uid="{00000000-0005-0000-0000-000005020000}"/>
    <cellStyle name="Standard 3 2 2" xfId="495" xr:uid="{00000000-0005-0000-0000-000006020000}"/>
    <cellStyle name="Standard 3 2 2 2" xfId="496" xr:uid="{00000000-0005-0000-0000-000007020000}"/>
    <cellStyle name="Standard 3 2 2 2 2" xfId="497" xr:uid="{00000000-0005-0000-0000-000008020000}"/>
    <cellStyle name="Standard 3 2 2 3" xfId="498" xr:uid="{00000000-0005-0000-0000-000009020000}"/>
    <cellStyle name="Standard 3 2 3" xfId="499" xr:uid="{00000000-0005-0000-0000-00000A020000}"/>
    <cellStyle name="Standard 3 2 3 2" xfId="500" xr:uid="{00000000-0005-0000-0000-00000B020000}"/>
    <cellStyle name="Standard 3 2 4" xfId="501" xr:uid="{00000000-0005-0000-0000-00000C020000}"/>
    <cellStyle name="Standard 3 2 4 2" xfId="502" xr:uid="{00000000-0005-0000-0000-00000D020000}"/>
    <cellStyle name="Standard 3 2 4 3" xfId="503" xr:uid="{00000000-0005-0000-0000-00000E020000}"/>
    <cellStyle name="Standard 3 2 5" xfId="504" xr:uid="{00000000-0005-0000-0000-00000F020000}"/>
    <cellStyle name="Standard 3 2 6" xfId="505" xr:uid="{00000000-0005-0000-0000-000010020000}"/>
    <cellStyle name="Standard 3 3" xfId="506" xr:uid="{00000000-0005-0000-0000-000011020000}"/>
    <cellStyle name="Standard 3 3 2" xfId="507" xr:uid="{00000000-0005-0000-0000-000012020000}"/>
    <cellStyle name="Standard 3 3 2 2" xfId="508" xr:uid="{00000000-0005-0000-0000-000013020000}"/>
    <cellStyle name="Standard 3 3 3" xfId="509" xr:uid="{00000000-0005-0000-0000-000014020000}"/>
    <cellStyle name="Standard 3 4" xfId="510" xr:uid="{00000000-0005-0000-0000-000015020000}"/>
    <cellStyle name="Standard 3 4 2" xfId="511" xr:uid="{00000000-0005-0000-0000-000016020000}"/>
    <cellStyle name="Standard 3 5" xfId="512" xr:uid="{00000000-0005-0000-0000-000017020000}"/>
    <cellStyle name="Standard 3 6" xfId="513" xr:uid="{00000000-0005-0000-0000-000018020000}"/>
    <cellStyle name="Standard 4" xfId="514" xr:uid="{00000000-0005-0000-0000-000019020000}"/>
    <cellStyle name="Standard 5" xfId="515" xr:uid="{00000000-0005-0000-0000-00001A020000}"/>
    <cellStyle name="Standard 5 2" xfId="516" xr:uid="{00000000-0005-0000-0000-00001B020000}"/>
    <cellStyle name="Standard 6" xfId="517" xr:uid="{00000000-0005-0000-0000-00001C020000}"/>
    <cellStyle name="Standard 6 2" xfId="571" xr:uid="{00000000-0005-0000-0000-00001D020000}"/>
    <cellStyle name="Standard 7" xfId="518" xr:uid="{00000000-0005-0000-0000-00001E020000}"/>
    <cellStyle name="Standard_Bearbeitungsqualität 2011" xfId="519" xr:uid="{00000000-0005-0000-0000-00001F020000}"/>
    <cellStyle name="Standard_Werte" xfId="520" xr:uid="{00000000-0005-0000-0000-000020020000}"/>
    <cellStyle name="Title" xfId="526" xr:uid="{00000000-0005-0000-0000-000021020000}"/>
    <cellStyle name="Title 2" xfId="521" xr:uid="{00000000-0005-0000-0000-000022020000}"/>
    <cellStyle name="Title 2 2" xfId="522" xr:uid="{00000000-0005-0000-0000-000023020000}"/>
    <cellStyle name="Title 3" xfId="523" xr:uid="{00000000-0005-0000-0000-000024020000}"/>
    <cellStyle name="Title 4" xfId="524" xr:uid="{00000000-0005-0000-0000-000025020000}"/>
    <cellStyle name="Total 2" xfId="525" xr:uid="{00000000-0005-0000-0000-000026020000}"/>
    <cellStyle name="Überschrift 1 2" xfId="528" xr:uid="{00000000-0005-0000-0000-000027020000}"/>
    <cellStyle name="Überschrift 1 3" xfId="529" xr:uid="{00000000-0005-0000-0000-000028020000}"/>
    <cellStyle name="Überschrift 2 2" xfId="531" xr:uid="{00000000-0005-0000-0000-000029020000}"/>
    <cellStyle name="Überschrift 2 3" xfId="532" xr:uid="{00000000-0005-0000-0000-00002A020000}"/>
    <cellStyle name="Überschrift 3 2" xfId="534" xr:uid="{00000000-0005-0000-0000-00002B020000}"/>
    <cellStyle name="Überschrift 3 3" xfId="535" xr:uid="{00000000-0005-0000-0000-00002C020000}"/>
    <cellStyle name="Überschrift 4 2" xfId="537" xr:uid="{00000000-0005-0000-0000-00002D020000}"/>
    <cellStyle name="Überschrift 4 3" xfId="538" xr:uid="{00000000-0005-0000-0000-00002E020000}"/>
    <cellStyle name="Überschrift 5" xfId="539" xr:uid="{00000000-0005-0000-0000-00002F020000}"/>
    <cellStyle name="Überschrift 6" xfId="540" xr:uid="{00000000-0005-0000-0000-000030020000}"/>
    <cellStyle name="Verknüpfte Zelle 2" xfId="542" xr:uid="{00000000-0005-0000-0000-000031020000}"/>
    <cellStyle name="Verknüpfte Zelle 3" xfId="543" xr:uid="{00000000-0005-0000-0000-000032020000}"/>
    <cellStyle name="Warnender Text 2" xfId="544" xr:uid="{00000000-0005-0000-0000-000033020000}"/>
    <cellStyle name="Warnender Text 2 2" xfId="545" xr:uid="{00000000-0005-0000-0000-000034020000}"/>
    <cellStyle name="Warnender Text 2 3" xfId="546" xr:uid="{00000000-0005-0000-0000-000035020000}"/>
    <cellStyle name="Warnender Text 2 3 2" xfId="547" xr:uid="{00000000-0005-0000-0000-000036020000}"/>
    <cellStyle name="Warnender Text 3" xfId="548" xr:uid="{00000000-0005-0000-0000-000037020000}"/>
    <cellStyle name="Warnender Text 4" xfId="549" xr:uid="{00000000-0005-0000-0000-000038020000}"/>
    <cellStyle name="Warnender Text 5" xfId="550" xr:uid="{00000000-0005-0000-0000-000039020000}"/>
    <cellStyle name="Warnender Text 6" xfId="551" xr:uid="{00000000-0005-0000-0000-00003A020000}"/>
    <cellStyle name="Zelle überprüfen 2" xfId="553" xr:uid="{00000000-0005-0000-0000-00003B020000}"/>
    <cellStyle name="Zelle überprüfen 2 2" xfId="554" xr:uid="{00000000-0005-0000-0000-00003C020000}"/>
    <cellStyle name="Zelle überprüfen 3" xfId="555" xr:uid="{00000000-0005-0000-0000-00003D020000}"/>
    <cellStyle name="Zelle überprüfen 4" xfId="556" xr:uid="{00000000-0005-0000-0000-00003E020000}"/>
  </cellStyles>
  <dxfs count="172">
    <dxf>
      <fill>
        <patternFill>
          <bgColor theme="0" tint="-0.24994659260841701"/>
        </patternFill>
      </fill>
    </dxf>
    <dxf>
      <fill>
        <patternFill>
          <bgColor rgb="FFDCE6F1"/>
        </patternFill>
      </fill>
    </dxf>
    <dxf>
      <fill>
        <patternFill>
          <bgColor rgb="FFFF7C80"/>
        </patternFill>
      </fill>
    </dxf>
    <dxf>
      <fill>
        <patternFill>
          <bgColor indexed="42"/>
        </patternFill>
      </fill>
    </dxf>
    <dxf>
      <fill>
        <patternFill>
          <bgColor indexed="43"/>
        </patternFill>
      </fill>
    </dxf>
    <dxf>
      <fill>
        <patternFill>
          <bgColor indexed="10"/>
        </patternFill>
      </fill>
    </dxf>
    <dxf>
      <fill>
        <patternFill>
          <bgColor rgb="FFFF7C80"/>
        </patternFill>
      </fill>
    </dxf>
    <dxf>
      <fill>
        <patternFill>
          <bgColor rgb="FFFF7C80"/>
        </patternFill>
      </fill>
    </dxf>
    <dxf>
      <fill>
        <patternFill>
          <bgColor indexed="22"/>
        </patternFill>
      </fill>
    </dxf>
    <dxf>
      <fill>
        <patternFill>
          <bgColor rgb="FFFF7C80"/>
        </patternFill>
      </fill>
    </dxf>
    <dxf>
      <fill>
        <patternFill>
          <bgColor indexed="22"/>
        </patternFill>
      </fill>
    </dxf>
    <dxf>
      <fill>
        <patternFill>
          <bgColor rgb="FFFF7C80"/>
        </patternFill>
      </fill>
    </dxf>
    <dxf>
      <fill>
        <patternFill>
          <bgColor indexed="22"/>
        </patternFill>
      </fill>
    </dxf>
    <dxf>
      <fill>
        <patternFill>
          <bgColor rgb="FFFF7C80"/>
        </patternFill>
      </fill>
    </dxf>
    <dxf>
      <fill>
        <patternFill>
          <bgColor indexed="22"/>
        </patternFill>
      </fill>
    </dxf>
    <dxf>
      <fill>
        <patternFill>
          <bgColor rgb="FFFF7C80"/>
        </patternFill>
      </fill>
    </dxf>
    <dxf>
      <fill>
        <patternFill>
          <bgColor rgb="FFFF7C80"/>
        </patternFill>
      </fill>
    </dxf>
    <dxf>
      <fill>
        <patternFill>
          <bgColor indexed="22"/>
        </patternFill>
      </fill>
    </dxf>
    <dxf>
      <fill>
        <patternFill>
          <bgColor indexed="22"/>
        </patternFill>
      </fill>
    </dxf>
    <dxf>
      <fill>
        <patternFill>
          <bgColor rgb="FFFF7C80"/>
        </patternFill>
      </fill>
    </dxf>
    <dxf>
      <fill>
        <patternFill>
          <bgColor indexed="22"/>
        </patternFill>
      </fill>
    </dxf>
    <dxf>
      <fill>
        <patternFill>
          <bgColor rgb="FFFF7C80"/>
        </patternFill>
      </fill>
    </dxf>
    <dxf>
      <fill>
        <patternFill>
          <bgColor indexed="22"/>
        </patternFill>
      </fill>
    </dxf>
    <dxf>
      <fill>
        <patternFill>
          <bgColor rgb="FFFF7C80"/>
        </patternFill>
      </fill>
    </dxf>
    <dxf>
      <fill>
        <patternFill>
          <bgColor indexed="22"/>
        </patternFill>
      </fill>
    </dxf>
    <dxf>
      <fill>
        <patternFill>
          <bgColor rgb="FFFF7C80"/>
        </patternFill>
      </fill>
    </dxf>
    <dxf>
      <fill>
        <patternFill>
          <bgColor rgb="FFFF7C80"/>
        </patternFill>
      </fill>
    </dxf>
    <dxf>
      <fill>
        <patternFill>
          <bgColor indexed="22"/>
        </patternFill>
      </fill>
    </dxf>
    <dxf>
      <fill>
        <patternFill>
          <bgColor indexed="23"/>
        </patternFill>
      </fill>
    </dxf>
    <dxf>
      <fill>
        <patternFill>
          <bgColor indexed="22"/>
        </patternFill>
      </fill>
    </dxf>
    <dxf>
      <fill>
        <patternFill>
          <bgColor theme="1" tint="0.499984740745262"/>
        </patternFill>
      </fill>
    </dxf>
    <dxf>
      <fill>
        <patternFill>
          <bgColor rgb="FFFF7C80"/>
        </patternFill>
      </fill>
    </dxf>
    <dxf>
      <fill>
        <patternFill>
          <bgColor indexed="42"/>
        </patternFill>
      </fill>
    </dxf>
    <dxf>
      <fill>
        <patternFill>
          <bgColor indexed="43"/>
        </patternFill>
      </fill>
    </dxf>
    <dxf>
      <fill>
        <patternFill>
          <bgColor rgb="FFCCFFCC"/>
        </patternFill>
      </fill>
    </dxf>
    <dxf>
      <fill>
        <patternFill>
          <bgColor theme="0"/>
        </patternFill>
      </fill>
    </dxf>
    <dxf>
      <fill>
        <patternFill>
          <bgColor rgb="FFFF7C80"/>
        </patternFill>
      </fill>
    </dxf>
    <dxf>
      <fill>
        <patternFill>
          <bgColor indexed="22"/>
        </patternFill>
      </fill>
    </dxf>
    <dxf>
      <fill>
        <patternFill>
          <bgColor indexed="22"/>
        </patternFill>
      </fill>
    </dxf>
    <dxf>
      <fill>
        <patternFill>
          <bgColor rgb="FFFF7C80"/>
        </patternFill>
      </fill>
    </dxf>
    <dxf>
      <fill>
        <patternFill>
          <bgColor indexed="23"/>
        </patternFill>
      </fill>
    </dxf>
    <dxf>
      <fill>
        <patternFill>
          <bgColor rgb="FFFF7C80"/>
        </patternFill>
      </fill>
    </dxf>
    <dxf>
      <fill>
        <patternFill>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indexed="22"/>
        </patternFill>
      </fill>
    </dxf>
    <dxf>
      <fill>
        <patternFill>
          <bgColor indexed="23"/>
        </patternFill>
      </fill>
    </dxf>
    <dxf>
      <fill>
        <patternFill>
          <bgColor theme="1" tint="0.499984740745262"/>
        </patternFill>
      </fill>
    </dxf>
    <dxf>
      <fill>
        <patternFill>
          <bgColor theme="0" tint="-0.24994659260841701"/>
        </patternFill>
      </fill>
    </dxf>
    <dxf>
      <fill>
        <patternFill>
          <bgColor theme="0" tint="-0.24994659260841701"/>
        </patternFill>
      </fill>
    </dxf>
    <dxf>
      <fill>
        <patternFill>
          <bgColor indexed="22"/>
        </patternFill>
      </fill>
    </dxf>
    <dxf>
      <fill>
        <patternFill>
          <bgColor indexed="23"/>
        </patternFill>
      </fill>
    </dxf>
    <dxf>
      <fill>
        <patternFill>
          <bgColor theme="1" tint="0.499984740745262"/>
        </patternFill>
      </fill>
    </dxf>
    <dxf>
      <fill>
        <patternFill>
          <bgColor theme="0" tint="-0.24994659260841701"/>
        </patternFill>
      </fill>
    </dxf>
    <dxf>
      <fill>
        <patternFill>
          <bgColor theme="1" tint="0.499984740745262"/>
        </patternFill>
      </fill>
    </dxf>
    <dxf>
      <fill>
        <patternFill>
          <bgColor rgb="FF808080"/>
        </patternFill>
      </fill>
    </dxf>
    <dxf>
      <fill>
        <patternFill>
          <bgColor theme="0" tint="-0.24994659260841701"/>
        </patternFill>
      </fill>
    </dxf>
    <dxf>
      <fill>
        <patternFill>
          <bgColor theme="0" tint="-0.24994659260841701"/>
        </patternFill>
      </fill>
    </dxf>
    <dxf>
      <fill>
        <patternFill>
          <bgColor indexed="22"/>
        </patternFill>
      </fill>
    </dxf>
    <dxf>
      <fill>
        <patternFill>
          <bgColor indexed="23"/>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bgColor rgb="FF808080"/>
        </patternFill>
      </fill>
    </dxf>
    <dxf>
      <fill>
        <patternFill>
          <bgColor theme="1" tint="0.499984740745262"/>
        </patternFill>
      </fill>
    </dxf>
    <dxf>
      <fill>
        <patternFill>
          <bgColor theme="0" tint="-0.24994659260841701"/>
        </patternFill>
      </fill>
    </dxf>
    <dxf>
      <fill>
        <patternFill>
          <bgColor theme="0" tint="-0.24994659260841701"/>
        </patternFill>
      </fill>
    </dxf>
    <dxf>
      <fill>
        <patternFill>
          <bgColor indexed="22"/>
        </patternFill>
      </fill>
    </dxf>
    <dxf>
      <fill>
        <patternFill>
          <bgColor indexed="23"/>
        </patternFill>
      </fill>
    </dxf>
    <dxf>
      <fill>
        <patternFill>
          <bgColor theme="0" tint="-0.24994659260841701"/>
        </patternFill>
      </fill>
    </dxf>
    <dxf>
      <fill>
        <patternFill>
          <bgColor theme="0" tint="-0.24994659260841701"/>
        </patternFill>
      </fill>
    </dxf>
    <dxf>
      <fill>
        <patternFill>
          <bgColor indexed="23"/>
        </patternFill>
      </fill>
    </dxf>
    <dxf>
      <fill>
        <patternFill>
          <bgColor indexed="22"/>
        </patternFill>
      </fill>
    </dxf>
    <dxf>
      <fill>
        <patternFill>
          <bgColor theme="0" tint="-0.24994659260841701"/>
        </patternFill>
      </fill>
    </dxf>
    <dxf>
      <fill>
        <patternFill>
          <bgColor theme="0" tint="-0.24994659260841701"/>
        </patternFill>
      </fill>
    </dxf>
    <dxf>
      <fill>
        <patternFill>
          <bgColor indexed="23"/>
        </patternFill>
      </fill>
    </dxf>
    <dxf>
      <fill>
        <patternFill>
          <bgColor indexed="22"/>
        </patternFill>
      </fill>
    </dxf>
    <dxf>
      <fill>
        <patternFill>
          <bgColor theme="0" tint="-0.24994659260841701"/>
        </patternFill>
      </fill>
    </dxf>
    <dxf>
      <fill>
        <patternFill>
          <bgColor theme="0" tint="-0.24994659260841701"/>
        </patternFill>
      </fill>
    </dxf>
    <dxf>
      <fill>
        <patternFill>
          <bgColor indexed="23"/>
        </patternFill>
      </fill>
    </dxf>
    <dxf>
      <fill>
        <patternFill>
          <bgColor indexed="2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indexed="42"/>
        </patternFill>
      </fill>
    </dxf>
    <dxf>
      <fill>
        <patternFill>
          <bgColor indexed="23"/>
        </patternFill>
      </fill>
    </dxf>
    <dxf>
      <fill>
        <patternFill>
          <bgColor rgb="FFFF7C80"/>
        </patternFill>
      </fill>
    </dxf>
    <dxf>
      <fill>
        <patternFill>
          <bgColor rgb="FFFF7C80"/>
        </patternFill>
      </fill>
    </dxf>
    <dxf>
      <border>
        <left/>
        <right/>
        <top/>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CCFFCC"/>
        </patternFill>
      </fill>
      <border>
        <left style="thin">
          <color auto="1"/>
        </left>
        <right style="thin">
          <color auto="1"/>
        </right>
        <top style="thin">
          <color auto="1"/>
        </top>
        <bottom style="thin">
          <color auto="1"/>
        </bottom>
        <vertical/>
        <horizontal/>
      </border>
    </dxf>
    <dxf>
      <fill>
        <patternFill>
          <bgColor rgb="FFCCFFCC"/>
        </patternFill>
      </fill>
      <border>
        <left style="thin">
          <color auto="1"/>
        </left>
        <right style="thin">
          <color auto="1"/>
        </right>
        <top style="thin">
          <color auto="1"/>
        </top>
        <bottom style="thin">
          <color auto="1"/>
        </bottom>
        <vertical/>
        <horizontal/>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auto="1"/>
        </left>
        <right style="thin">
          <color auto="1"/>
        </right>
        <top style="thin">
          <color auto="1"/>
        </top>
        <bottom style="thin">
          <color auto="1"/>
        </bottom>
      </border>
    </dxf>
    <dxf>
      <fill>
        <patternFill>
          <bgColor rgb="FFFFFF99"/>
        </patternFill>
      </fill>
      <border>
        <left style="thin">
          <color indexed="64"/>
        </left>
        <right style="thin">
          <color indexed="64"/>
        </right>
        <top style="thin">
          <color indexed="64"/>
        </top>
        <bottom style="thin">
          <color indexed="64"/>
        </bottom>
      </border>
    </dxf>
    <dxf>
      <fill>
        <patternFill>
          <bgColor rgb="FFFF7C80"/>
        </patternFill>
      </fill>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bgColor theme="0" tint="-0.24994659260841701"/>
        </patternFill>
      </fill>
    </dxf>
    <dxf>
      <fill>
        <patternFill>
          <bgColor rgb="FFDCE6F1"/>
        </patternFill>
      </fill>
    </dxf>
    <dxf>
      <fill>
        <patternFill>
          <bgColor rgb="FF99FF66"/>
        </patternFill>
      </fill>
    </dxf>
    <dxf>
      <fill>
        <patternFill>
          <bgColor indexed="42"/>
        </patternFill>
      </fill>
    </dxf>
    <dxf>
      <fill>
        <patternFill>
          <bgColor indexed="10"/>
        </patternFill>
      </fill>
    </dxf>
    <dxf>
      <fill>
        <patternFill>
          <bgColor rgb="FF99FF66"/>
        </patternFill>
      </fill>
    </dxf>
    <dxf>
      <fill>
        <patternFill>
          <bgColor rgb="FF99FF66"/>
        </patternFill>
      </fill>
    </dxf>
    <dxf>
      <fill>
        <patternFill>
          <bgColor indexed="42"/>
        </patternFill>
      </fill>
    </dxf>
    <dxf>
      <fill>
        <patternFill>
          <bgColor indexed="10"/>
        </patternFill>
      </fill>
    </dxf>
    <dxf>
      <fill>
        <patternFill>
          <bgColor rgb="FF99FF66"/>
        </patternFill>
      </fill>
    </dxf>
    <dxf>
      <fill>
        <patternFill>
          <bgColor indexed="10"/>
        </patternFill>
      </fill>
    </dxf>
    <dxf>
      <fill>
        <patternFill>
          <bgColor rgb="FF99FF66"/>
        </patternFill>
      </fill>
    </dxf>
    <dxf>
      <fill>
        <patternFill>
          <bgColor indexed="43"/>
        </patternFill>
      </fill>
    </dxf>
    <dxf>
      <fill>
        <patternFill>
          <bgColor indexed="43"/>
        </patternFill>
      </fill>
    </dxf>
    <dxf>
      <fill>
        <patternFill>
          <bgColor indexed="42"/>
        </patternFill>
      </fill>
    </dxf>
    <dxf>
      <fill>
        <patternFill>
          <bgColor rgb="FFCCFFCC"/>
        </patternFill>
      </fill>
    </dxf>
    <dxf>
      <fill>
        <patternFill>
          <bgColor rgb="FFCCFFCC"/>
        </patternFill>
      </fill>
    </dxf>
    <dxf>
      <fill>
        <patternFill>
          <bgColor rgb="FF99FF66"/>
        </patternFill>
      </fill>
    </dxf>
    <dxf>
      <fill>
        <patternFill>
          <bgColor indexed="10"/>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C0C0C0"/>
        </patternFill>
      </fill>
    </dxf>
    <dxf>
      <fill>
        <patternFill>
          <bgColor indexed="22"/>
        </patternFill>
      </fill>
    </dxf>
    <dxf>
      <fill>
        <patternFill>
          <bgColor indexed="22"/>
        </patternFill>
      </fill>
    </dxf>
    <dxf>
      <fill>
        <patternFill>
          <bgColor indexed="22"/>
        </patternFill>
      </fill>
    </dxf>
    <dxf>
      <fill>
        <patternFill>
          <bgColor theme="0" tint="-0.24994659260841701"/>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C0C0C0"/>
        </patternFill>
      </fill>
    </dxf>
    <dxf>
      <fill>
        <patternFill>
          <bgColor rgb="FFDCE6F1"/>
        </patternFill>
      </fill>
    </dxf>
    <dxf>
      <fill>
        <patternFill>
          <bgColor rgb="FFDCE6F1"/>
        </patternFill>
      </fill>
    </dxf>
    <dxf>
      <fill>
        <patternFill>
          <bgColor rgb="FFFFFF99"/>
        </patternFill>
      </fill>
    </dxf>
    <dxf>
      <fill>
        <patternFill>
          <bgColor rgb="FFFFFF99"/>
        </patternFill>
      </fill>
    </dxf>
    <dxf>
      <fill>
        <patternFill>
          <bgColor rgb="FFC0C0C0"/>
        </patternFill>
      </fill>
    </dxf>
    <dxf>
      <fill>
        <patternFill>
          <bgColor rgb="FFC0C0C0"/>
        </patternFill>
      </fill>
    </dxf>
    <dxf>
      <font>
        <color rgb="FF9C0006"/>
      </font>
      <fill>
        <patternFill>
          <bgColor rgb="FFFFC7CE"/>
        </patternFill>
      </fill>
    </dxf>
    <dxf>
      <fill>
        <patternFill>
          <bgColor rgb="FFC0C0C0"/>
        </patternFill>
      </fill>
    </dxf>
    <dxf>
      <fill>
        <patternFill>
          <bgColor rgb="FF99FF66"/>
        </patternFill>
      </fill>
    </dxf>
    <dxf>
      <fill>
        <patternFill>
          <bgColor rgb="FFFF7C80"/>
        </patternFill>
      </fill>
    </dxf>
    <dxf>
      <fill>
        <patternFill>
          <bgColor theme="0"/>
        </patternFill>
      </fill>
    </dxf>
    <dxf>
      <fill>
        <patternFill>
          <bgColor rgb="FF99FF66"/>
        </patternFill>
      </fill>
    </dxf>
    <dxf>
      <fill>
        <patternFill>
          <bgColor rgb="FFFF7C80"/>
        </patternFill>
      </fill>
    </dxf>
    <dxf>
      <fill>
        <patternFill>
          <bgColor theme="0"/>
        </patternFill>
      </fill>
    </dxf>
    <dxf>
      <fill>
        <patternFill>
          <bgColor rgb="FFC0C0C0"/>
        </patternFill>
      </fill>
    </dxf>
    <dxf>
      <fill>
        <patternFill>
          <bgColor indexed="22"/>
        </patternFill>
      </fill>
    </dxf>
    <dxf>
      <fill>
        <patternFill>
          <bgColor theme="0" tint="-0.24994659260841701"/>
        </patternFill>
      </fill>
    </dxf>
    <dxf>
      <fill>
        <patternFill>
          <bgColor theme="0" tint="-0.24994659260841701"/>
        </patternFill>
      </fill>
    </dxf>
    <dxf>
      <fill>
        <patternFill>
          <bgColor indexed="22"/>
        </patternFill>
      </fill>
    </dxf>
    <dxf>
      <fill>
        <patternFill>
          <bgColor indexed="22"/>
        </patternFill>
      </fill>
    </dxf>
    <dxf>
      <fill>
        <patternFill>
          <bgColor theme="0" tint="-0.24994659260841701"/>
        </patternFill>
      </fill>
    </dxf>
    <dxf>
      <fill>
        <patternFill patternType="lightUp"/>
      </fill>
    </dxf>
    <dxf>
      <fill>
        <patternFill patternType="lightUp"/>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7C80"/>
      <rgbColor rgb="0099FF66"/>
      <rgbColor rgb="000000FF"/>
      <rgbColor rgb="00FFFF00"/>
      <rgbColor rgb="00FF00FF"/>
      <rgbColor rgb="0000B0AC"/>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DCE6F1"/>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C0C0C0"/>
      <color rgb="FFFF7C80"/>
      <color rgb="FF99FFCC"/>
      <color rgb="FFFFFF99"/>
      <color rgb="FFFFFFCC"/>
      <color rgb="FF99FF66"/>
      <color rgb="FFDCE6F1"/>
      <color rgb="FF808080"/>
      <color rgb="FF5F5F5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png"/><Relationship Id="rId1" Type="http://schemas.openxmlformats.org/officeDocument/2006/relationships/image" Target="../media/image7.jpe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1.png"/><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11.jpeg"/><Relationship Id="rId1" Type="http://schemas.openxmlformats.org/officeDocument/2006/relationships/image" Target="../media/image10.png"/><Relationship Id="rId4" Type="http://schemas.openxmlformats.org/officeDocument/2006/relationships/image" Target="../media/image1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352425</xdr:colOff>
      <xdr:row>33</xdr:row>
      <xdr:rowOff>9525</xdr:rowOff>
    </xdr:from>
    <xdr:to>
      <xdr:col>8</xdr:col>
      <xdr:colOff>1360</xdr:colOff>
      <xdr:row>33</xdr:row>
      <xdr:rowOff>104775</xdr:rowOff>
    </xdr:to>
    <xdr:pic>
      <xdr:nvPicPr>
        <xdr:cNvPr id="187180" name="Grafik 45">
          <a:extLst>
            <a:ext uri="{FF2B5EF4-FFF2-40B4-BE49-F238E27FC236}">
              <a16:creationId xmlns:a16="http://schemas.microsoft.com/office/drawing/2014/main" id="{00000000-0008-0000-0000-00002CDB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57625" y="481965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390525</xdr:colOff>
      <xdr:row>33</xdr:row>
      <xdr:rowOff>9525</xdr:rowOff>
    </xdr:from>
    <xdr:to>
      <xdr:col>6</xdr:col>
      <xdr:colOff>0</xdr:colOff>
      <xdr:row>33</xdr:row>
      <xdr:rowOff>104775</xdr:rowOff>
    </xdr:to>
    <xdr:pic>
      <xdr:nvPicPr>
        <xdr:cNvPr id="187181" name="Grafik 46">
          <a:extLst>
            <a:ext uri="{FF2B5EF4-FFF2-40B4-BE49-F238E27FC236}">
              <a16:creationId xmlns:a16="http://schemas.microsoft.com/office/drawing/2014/main" id="{00000000-0008-0000-0000-00002DDB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24175" y="481965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390525</xdr:colOff>
      <xdr:row>33</xdr:row>
      <xdr:rowOff>9525</xdr:rowOff>
    </xdr:from>
    <xdr:to>
      <xdr:col>7</xdr:col>
      <xdr:colOff>0</xdr:colOff>
      <xdr:row>33</xdr:row>
      <xdr:rowOff>104775</xdr:rowOff>
    </xdr:to>
    <xdr:pic>
      <xdr:nvPicPr>
        <xdr:cNvPr id="187182" name="Grafik 47">
          <a:extLst>
            <a:ext uri="{FF2B5EF4-FFF2-40B4-BE49-F238E27FC236}">
              <a16:creationId xmlns:a16="http://schemas.microsoft.com/office/drawing/2014/main" id="{00000000-0008-0000-0000-00002EDB02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09950" y="481965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628650</xdr:colOff>
      <xdr:row>32</xdr:row>
      <xdr:rowOff>9525</xdr:rowOff>
    </xdr:from>
    <xdr:to>
      <xdr:col>11</xdr:col>
      <xdr:colOff>721178</xdr:colOff>
      <xdr:row>32</xdr:row>
      <xdr:rowOff>104775</xdr:rowOff>
    </xdr:to>
    <xdr:pic>
      <xdr:nvPicPr>
        <xdr:cNvPr id="187183" name="Grafik 19">
          <a:extLst>
            <a:ext uri="{FF2B5EF4-FFF2-40B4-BE49-F238E27FC236}">
              <a16:creationId xmlns:a16="http://schemas.microsoft.com/office/drawing/2014/main" id="{00000000-0008-0000-0000-00002FDB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0" y="46482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628650</xdr:colOff>
      <xdr:row>29</xdr:row>
      <xdr:rowOff>9525</xdr:rowOff>
    </xdr:from>
    <xdr:to>
      <xdr:col>11</xdr:col>
      <xdr:colOff>721178</xdr:colOff>
      <xdr:row>29</xdr:row>
      <xdr:rowOff>104775</xdr:rowOff>
    </xdr:to>
    <xdr:pic>
      <xdr:nvPicPr>
        <xdr:cNvPr id="187184" name="Grafik 20">
          <a:extLst>
            <a:ext uri="{FF2B5EF4-FFF2-40B4-BE49-F238E27FC236}">
              <a16:creationId xmlns:a16="http://schemas.microsoft.com/office/drawing/2014/main" id="{00000000-0008-0000-0000-000030DB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5657850"/>
          <a:ext cx="92528"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800100</xdr:colOff>
      <xdr:row>26</xdr:row>
      <xdr:rowOff>0</xdr:rowOff>
    </xdr:from>
    <xdr:to>
      <xdr:col>3</xdr:col>
      <xdr:colOff>9525</xdr:colOff>
      <xdr:row>26</xdr:row>
      <xdr:rowOff>104775</xdr:rowOff>
    </xdr:to>
    <xdr:pic>
      <xdr:nvPicPr>
        <xdr:cNvPr id="187185" name="Grafik 21">
          <a:extLst>
            <a:ext uri="{FF2B5EF4-FFF2-40B4-BE49-F238E27FC236}">
              <a16:creationId xmlns:a16="http://schemas.microsoft.com/office/drawing/2014/main" id="{00000000-0008-0000-0000-000031DB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4475" y="38671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619125</xdr:colOff>
      <xdr:row>23</xdr:row>
      <xdr:rowOff>9525</xdr:rowOff>
    </xdr:from>
    <xdr:to>
      <xdr:col>11</xdr:col>
      <xdr:colOff>721178</xdr:colOff>
      <xdr:row>23</xdr:row>
      <xdr:rowOff>114300</xdr:rowOff>
    </xdr:to>
    <xdr:pic>
      <xdr:nvPicPr>
        <xdr:cNvPr id="187186" name="Grafik 22">
          <a:extLst>
            <a:ext uri="{FF2B5EF4-FFF2-40B4-BE49-F238E27FC236}">
              <a16:creationId xmlns:a16="http://schemas.microsoft.com/office/drawing/2014/main" id="{00000000-0008-0000-0000-000032DB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81725" y="3009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619125</xdr:colOff>
      <xdr:row>11</xdr:row>
      <xdr:rowOff>9525</xdr:rowOff>
    </xdr:from>
    <xdr:to>
      <xdr:col>11</xdr:col>
      <xdr:colOff>721178</xdr:colOff>
      <xdr:row>11</xdr:row>
      <xdr:rowOff>104775</xdr:rowOff>
    </xdr:to>
    <xdr:pic>
      <xdr:nvPicPr>
        <xdr:cNvPr id="187187" name="Grafik 23">
          <a:extLst>
            <a:ext uri="{FF2B5EF4-FFF2-40B4-BE49-F238E27FC236}">
              <a16:creationId xmlns:a16="http://schemas.microsoft.com/office/drawing/2014/main" id="{00000000-0008-0000-0000-000033DB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81725" y="14382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619125</xdr:colOff>
      <xdr:row>13</xdr:row>
      <xdr:rowOff>9525</xdr:rowOff>
    </xdr:from>
    <xdr:to>
      <xdr:col>11</xdr:col>
      <xdr:colOff>721178</xdr:colOff>
      <xdr:row>13</xdr:row>
      <xdr:rowOff>114300</xdr:rowOff>
    </xdr:to>
    <xdr:pic>
      <xdr:nvPicPr>
        <xdr:cNvPr id="187188" name="Grafik 25">
          <a:extLst>
            <a:ext uri="{FF2B5EF4-FFF2-40B4-BE49-F238E27FC236}">
              <a16:creationId xmlns:a16="http://schemas.microsoft.com/office/drawing/2014/main" id="{00000000-0008-0000-0000-000034DB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81725" y="1666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381000</xdr:colOff>
      <xdr:row>5</xdr:row>
      <xdr:rowOff>9525</xdr:rowOff>
    </xdr:from>
    <xdr:to>
      <xdr:col>6</xdr:col>
      <xdr:colOff>0</xdr:colOff>
      <xdr:row>5</xdr:row>
      <xdr:rowOff>104775</xdr:rowOff>
    </xdr:to>
    <xdr:pic>
      <xdr:nvPicPr>
        <xdr:cNvPr id="187189" name="Grafik 26">
          <a:extLst>
            <a:ext uri="{FF2B5EF4-FFF2-40B4-BE49-F238E27FC236}">
              <a16:creationId xmlns:a16="http://schemas.microsoft.com/office/drawing/2014/main" id="{00000000-0008-0000-0000-000035DB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95700" y="9525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628650</xdr:colOff>
      <xdr:row>34</xdr:row>
      <xdr:rowOff>9525</xdr:rowOff>
    </xdr:from>
    <xdr:to>
      <xdr:col>11</xdr:col>
      <xdr:colOff>721178</xdr:colOff>
      <xdr:row>34</xdr:row>
      <xdr:rowOff>104775</xdr:rowOff>
    </xdr:to>
    <xdr:pic>
      <xdr:nvPicPr>
        <xdr:cNvPr id="187191" name="Grafik 27">
          <a:extLst>
            <a:ext uri="{FF2B5EF4-FFF2-40B4-BE49-F238E27FC236}">
              <a16:creationId xmlns:a16="http://schemas.microsoft.com/office/drawing/2014/main" id="{00000000-0008-0000-0000-000037DB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0" y="49911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381000</xdr:colOff>
      <xdr:row>33</xdr:row>
      <xdr:rowOff>9525</xdr:rowOff>
    </xdr:from>
    <xdr:to>
      <xdr:col>5</xdr:col>
      <xdr:colOff>0</xdr:colOff>
      <xdr:row>33</xdr:row>
      <xdr:rowOff>104775</xdr:rowOff>
    </xdr:to>
    <xdr:pic>
      <xdr:nvPicPr>
        <xdr:cNvPr id="187195" name="Grafik 18">
          <a:extLst>
            <a:ext uri="{FF2B5EF4-FFF2-40B4-BE49-F238E27FC236}">
              <a16:creationId xmlns:a16="http://schemas.microsoft.com/office/drawing/2014/main" id="{00000000-0008-0000-0000-00003BDB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50958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552450</xdr:colOff>
      <xdr:row>33</xdr:row>
      <xdr:rowOff>9525</xdr:rowOff>
    </xdr:from>
    <xdr:to>
      <xdr:col>9</xdr:col>
      <xdr:colOff>1570</xdr:colOff>
      <xdr:row>33</xdr:row>
      <xdr:rowOff>104775</xdr:rowOff>
    </xdr:to>
    <xdr:pic>
      <xdr:nvPicPr>
        <xdr:cNvPr id="187197" name="Grafik 45">
          <a:extLst>
            <a:ext uri="{FF2B5EF4-FFF2-40B4-BE49-F238E27FC236}">
              <a16:creationId xmlns:a16="http://schemas.microsoft.com/office/drawing/2014/main" id="{00000000-0008-0000-0000-00003DDB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48200" y="5362575"/>
          <a:ext cx="9682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381000</xdr:colOff>
      <xdr:row>15</xdr:row>
      <xdr:rowOff>9525</xdr:rowOff>
    </xdr:from>
    <xdr:to>
      <xdr:col>6</xdr:col>
      <xdr:colOff>0</xdr:colOff>
      <xdr:row>15</xdr:row>
      <xdr:rowOff>104775</xdr:rowOff>
    </xdr:to>
    <xdr:pic>
      <xdr:nvPicPr>
        <xdr:cNvPr id="187206" name="Grafik 23">
          <a:extLst>
            <a:ext uri="{FF2B5EF4-FFF2-40B4-BE49-F238E27FC236}">
              <a16:creationId xmlns:a16="http://schemas.microsoft.com/office/drawing/2014/main" id="{00000000-0008-0000-0000-000046DB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14650" y="14382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619125</xdr:colOff>
      <xdr:row>23</xdr:row>
      <xdr:rowOff>9525</xdr:rowOff>
    </xdr:from>
    <xdr:to>
      <xdr:col>11</xdr:col>
      <xdr:colOff>721178</xdr:colOff>
      <xdr:row>23</xdr:row>
      <xdr:rowOff>114300</xdr:rowOff>
    </xdr:to>
    <xdr:pic>
      <xdr:nvPicPr>
        <xdr:cNvPr id="24" name="Grafik 22">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29350" y="3152775"/>
          <a:ext cx="102053"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219075</xdr:colOff>
      <xdr:row>2</xdr:row>
      <xdr:rowOff>9525</xdr:rowOff>
    </xdr:from>
    <xdr:to>
      <xdr:col>9</xdr:col>
      <xdr:colOff>266700</xdr:colOff>
      <xdr:row>3</xdr:row>
      <xdr:rowOff>99536</xdr:rowOff>
    </xdr:to>
    <xdr:pic>
      <xdr:nvPicPr>
        <xdr:cNvPr id="187179" name="Bild 2" descr="DGS (060303)">
          <a:extLst>
            <a:ext uri="{FF2B5EF4-FFF2-40B4-BE49-F238E27FC236}">
              <a16:creationId xmlns:a16="http://schemas.microsoft.com/office/drawing/2014/main" id="{00000000-0008-0000-0000-00002BDB0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238500" y="238125"/>
          <a:ext cx="1600200" cy="2900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381000</xdr:colOff>
      <xdr:row>1</xdr:row>
      <xdr:rowOff>0</xdr:rowOff>
    </xdr:from>
    <xdr:to>
      <xdr:col>11</xdr:col>
      <xdr:colOff>542925</xdr:colOff>
      <xdr:row>4</xdr:row>
      <xdr:rowOff>126467</xdr:rowOff>
    </xdr:to>
    <xdr:pic>
      <xdr:nvPicPr>
        <xdr:cNvPr id="22" name="Grafik 1">
          <a:extLst>
            <a:ext uri="{FF2B5EF4-FFF2-40B4-BE49-F238E27FC236}">
              <a16:creationId xmlns:a16="http://schemas.microsoft.com/office/drawing/2014/main" id="{E14BBAAE-2605-4FEB-9EF4-FDB97FB3723C}"/>
            </a:ext>
          </a:extLst>
        </xdr:cNvPr>
        <xdr:cNvPicPr>
          <a:picLocks noChangeAspect="1"/>
        </xdr:cNvPicPr>
      </xdr:nvPicPr>
      <xdr:blipFill>
        <a:blip xmlns:r="http://schemas.openxmlformats.org/officeDocument/2006/relationships" r:embed="rId4"/>
        <a:stretch>
          <a:fillRect/>
        </a:stretch>
      </xdr:blipFill>
      <xdr:spPr>
        <a:xfrm>
          <a:off x="4953000" y="66675"/>
          <a:ext cx="1409700" cy="612242"/>
        </a:xfrm>
        <a:prstGeom prst="rect">
          <a:avLst/>
        </a:prstGeom>
      </xdr:spPr>
    </xdr:pic>
    <xdr:clientData/>
  </xdr:twoCellAnchor>
  <xdr:oneCellAnchor>
    <xdr:from>
      <xdr:col>5</xdr:col>
      <xdr:colOff>381000</xdr:colOff>
      <xdr:row>11</xdr:row>
      <xdr:rowOff>9525</xdr:rowOff>
    </xdr:from>
    <xdr:ext cx="104775" cy="95250"/>
    <xdr:pic>
      <xdr:nvPicPr>
        <xdr:cNvPr id="2" name="Grafik 23">
          <a:extLst>
            <a:ext uri="{FF2B5EF4-FFF2-40B4-BE49-F238E27FC236}">
              <a16:creationId xmlns:a16="http://schemas.microsoft.com/office/drawing/2014/main" id="{CFCEC3DE-4598-4A26-A109-ECF38D34F9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7525" y="20955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381000</xdr:colOff>
      <xdr:row>13</xdr:row>
      <xdr:rowOff>9525</xdr:rowOff>
    </xdr:from>
    <xdr:ext cx="104775" cy="95250"/>
    <xdr:pic>
      <xdr:nvPicPr>
        <xdr:cNvPr id="3" name="Grafik 23">
          <a:extLst>
            <a:ext uri="{FF2B5EF4-FFF2-40B4-BE49-F238E27FC236}">
              <a16:creationId xmlns:a16="http://schemas.microsoft.com/office/drawing/2014/main" id="{A76F68BB-B901-44B2-9EA0-CEB7DD6AD1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7525" y="20955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11</xdr:col>
      <xdr:colOff>534289</xdr:colOff>
      <xdr:row>29</xdr:row>
      <xdr:rowOff>11049</xdr:rowOff>
    </xdr:from>
    <xdr:to>
      <xdr:col>11</xdr:col>
      <xdr:colOff>631935</xdr:colOff>
      <xdr:row>29</xdr:row>
      <xdr:rowOff>101516</xdr:rowOff>
    </xdr:to>
    <xdr:pic>
      <xdr:nvPicPr>
        <xdr:cNvPr id="6" name="Grafik 29">
          <a:extLst>
            <a:ext uri="{FF2B5EF4-FFF2-40B4-BE49-F238E27FC236}">
              <a16:creationId xmlns:a16="http://schemas.microsoft.com/office/drawing/2014/main" id="{E06B3551-FA9C-465A-8500-BE387461C6F6}"/>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973189" y="5659374"/>
          <a:ext cx="97646" cy="904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790575</xdr:colOff>
      <xdr:row>30</xdr:row>
      <xdr:rowOff>9525</xdr:rowOff>
    </xdr:from>
    <xdr:to>
      <xdr:col>3</xdr:col>
      <xdr:colOff>2396</xdr:colOff>
      <xdr:row>30</xdr:row>
      <xdr:rowOff>99992</xdr:rowOff>
    </xdr:to>
    <xdr:pic>
      <xdr:nvPicPr>
        <xdr:cNvPr id="7" name="Grafik 29">
          <a:extLst>
            <a:ext uri="{FF2B5EF4-FFF2-40B4-BE49-F238E27FC236}">
              <a16:creationId xmlns:a16="http://schemas.microsoft.com/office/drawing/2014/main" id="{B707AB3C-2EAE-4FC4-B77C-967929FDEB1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143125" y="5857875"/>
          <a:ext cx="97646" cy="904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628650</xdr:colOff>
      <xdr:row>40</xdr:row>
      <xdr:rowOff>0</xdr:rowOff>
    </xdr:from>
    <xdr:to>
      <xdr:col>12</xdr:col>
      <xdr:colOff>2396</xdr:colOff>
      <xdr:row>40</xdr:row>
      <xdr:rowOff>90467</xdr:rowOff>
    </xdr:to>
    <xdr:pic>
      <xdr:nvPicPr>
        <xdr:cNvPr id="8" name="Grafik 29">
          <a:extLst>
            <a:ext uri="{FF2B5EF4-FFF2-40B4-BE49-F238E27FC236}">
              <a16:creationId xmlns:a16="http://schemas.microsoft.com/office/drawing/2014/main" id="{641A270D-5A31-4333-9B72-FE317E71FC1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67550" y="8620125"/>
          <a:ext cx="97646" cy="904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400050</xdr:colOff>
      <xdr:row>43</xdr:row>
      <xdr:rowOff>9525</xdr:rowOff>
    </xdr:from>
    <xdr:to>
      <xdr:col>11</xdr:col>
      <xdr:colOff>627</xdr:colOff>
      <xdr:row>43</xdr:row>
      <xdr:rowOff>104775</xdr:rowOff>
    </xdr:to>
    <xdr:pic>
      <xdr:nvPicPr>
        <xdr:cNvPr id="4" name="Grafik 19">
          <a:extLst>
            <a:ext uri="{FF2B5EF4-FFF2-40B4-BE49-F238E27FC236}">
              <a16:creationId xmlns:a16="http://schemas.microsoft.com/office/drawing/2014/main" id="{1A0E770B-69F8-4667-B326-A04D06A7D9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34150" y="9267825"/>
          <a:ext cx="92528"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400050</xdr:colOff>
      <xdr:row>45</xdr:row>
      <xdr:rowOff>9525</xdr:rowOff>
    </xdr:from>
    <xdr:to>
      <xdr:col>11</xdr:col>
      <xdr:colOff>627</xdr:colOff>
      <xdr:row>45</xdr:row>
      <xdr:rowOff>104775</xdr:rowOff>
    </xdr:to>
    <xdr:pic>
      <xdr:nvPicPr>
        <xdr:cNvPr id="5" name="Grafik 19">
          <a:extLst>
            <a:ext uri="{FF2B5EF4-FFF2-40B4-BE49-F238E27FC236}">
              <a16:creationId xmlns:a16="http://schemas.microsoft.com/office/drawing/2014/main" id="{90E04C4B-582E-4A9A-8F37-CFF2D09383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34150" y="9734550"/>
          <a:ext cx="92528"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1314450</xdr:colOff>
      <xdr:row>4</xdr:row>
      <xdr:rowOff>0</xdr:rowOff>
    </xdr:from>
    <xdr:to>
      <xdr:col>5</xdr:col>
      <xdr:colOff>0</xdr:colOff>
      <xdr:row>4</xdr:row>
      <xdr:rowOff>104775</xdr:rowOff>
    </xdr:to>
    <xdr:pic>
      <xdr:nvPicPr>
        <xdr:cNvPr id="2" name="Grafik 15">
          <a:extLst>
            <a:ext uri="{FF2B5EF4-FFF2-40B4-BE49-F238E27FC236}">
              <a16:creationId xmlns:a16="http://schemas.microsoft.com/office/drawing/2014/main" id="{156E8445-3426-483C-91B4-0D1A56648C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155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1314450</xdr:colOff>
      <xdr:row>9</xdr:row>
      <xdr:rowOff>9525</xdr:rowOff>
    </xdr:from>
    <xdr:to>
      <xdr:col>4</xdr:col>
      <xdr:colOff>0</xdr:colOff>
      <xdr:row>9</xdr:row>
      <xdr:rowOff>114300</xdr:rowOff>
    </xdr:to>
    <xdr:pic>
      <xdr:nvPicPr>
        <xdr:cNvPr id="3" name="Grafik 15">
          <a:extLst>
            <a:ext uri="{FF2B5EF4-FFF2-40B4-BE49-F238E27FC236}">
              <a16:creationId xmlns:a16="http://schemas.microsoft.com/office/drawing/2014/main" id="{6C059DC3-419A-414B-9C09-A9143B111C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96350" y="1905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1314450</xdr:colOff>
      <xdr:row>9</xdr:row>
      <xdr:rowOff>9525</xdr:rowOff>
    </xdr:from>
    <xdr:to>
      <xdr:col>5</xdr:col>
      <xdr:colOff>0</xdr:colOff>
      <xdr:row>9</xdr:row>
      <xdr:rowOff>114300</xdr:rowOff>
    </xdr:to>
    <xdr:pic>
      <xdr:nvPicPr>
        <xdr:cNvPr id="4" name="Grafik 15">
          <a:extLst>
            <a:ext uri="{FF2B5EF4-FFF2-40B4-BE49-F238E27FC236}">
              <a16:creationId xmlns:a16="http://schemas.microsoft.com/office/drawing/2014/main" id="{4AFB1A66-8036-447A-9DB1-D63607CC2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15575" y="1905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5" name="Grafik 15">
          <a:extLst>
            <a:ext uri="{FF2B5EF4-FFF2-40B4-BE49-F238E27FC236}">
              <a16:creationId xmlns:a16="http://schemas.microsoft.com/office/drawing/2014/main" id="{A2F62C8B-0C6A-46A1-A0F8-534942CB41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9425" y="1657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1343025</xdr:colOff>
      <xdr:row>0</xdr:row>
      <xdr:rowOff>38100</xdr:rowOff>
    </xdr:from>
    <xdr:to>
      <xdr:col>4</xdr:col>
      <xdr:colOff>1362075</xdr:colOff>
      <xdr:row>3</xdr:row>
      <xdr:rowOff>170917</xdr:rowOff>
    </xdr:to>
    <xdr:pic>
      <xdr:nvPicPr>
        <xdr:cNvPr id="6" name="Grafik 1">
          <a:extLst>
            <a:ext uri="{FF2B5EF4-FFF2-40B4-BE49-F238E27FC236}">
              <a16:creationId xmlns:a16="http://schemas.microsoft.com/office/drawing/2014/main" id="{FAA63E61-1A05-4FC4-9A0E-9D1BB26F9751}"/>
            </a:ext>
          </a:extLst>
        </xdr:cNvPr>
        <xdr:cNvPicPr>
          <a:picLocks noChangeAspect="1"/>
        </xdr:cNvPicPr>
      </xdr:nvPicPr>
      <xdr:blipFill>
        <a:blip xmlns:r="http://schemas.openxmlformats.org/officeDocument/2006/relationships" r:embed="rId2"/>
        <a:stretch>
          <a:fillRect/>
        </a:stretch>
      </xdr:blipFill>
      <xdr:spPr>
        <a:xfrm>
          <a:off x="8924925" y="38100"/>
          <a:ext cx="1438275" cy="6185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1066800</xdr:colOff>
      <xdr:row>5</xdr:row>
      <xdr:rowOff>9525</xdr:rowOff>
    </xdr:from>
    <xdr:to>
      <xdr:col>2</xdr:col>
      <xdr:colOff>0</xdr:colOff>
      <xdr:row>5</xdr:row>
      <xdr:rowOff>104775</xdr:rowOff>
    </xdr:to>
    <xdr:pic>
      <xdr:nvPicPr>
        <xdr:cNvPr id="3" name="Grafik 18">
          <a:extLst>
            <a:ext uri="{FF2B5EF4-FFF2-40B4-BE49-F238E27FC236}">
              <a16:creationId xmlns:a16="http://schemas.microsoft.com/office/drawing/2014/main" id="{2B324744-EE48-41D6-B474-54002B89CD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819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2876550</xdr:colOff>
      <xdr:row>5</xdr:row>
      <xdr:rowOff>0</xdr:rowOff>
    </xdr:from>
    <xdr:to>
      <xdr:col>3</xdr:col>
      <xdr:colOff>0</xdr:colOff>
      <xdr:row>5</xdr:row>
      <xdr:rowOff>95250</xdr:rowOff>
    </xdr:to>
    <xdr:pic>
      <xdr:nvPicPr>
        <xdr:cNvPr id="4" name="Grafik 18">
          <a:extLst>
            <a:ext uri="{FF2B5EF4-FFF2-40B4-BE49-F238E27FC236}">
              <a16:creationId xmlns:a16="http://schemas.microsoft.com/office/drawing/2014/main" id="{098C3BBE-8753-4619-9D41-7B0D6EB3A3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2700" y="8096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809625</xdr:colOff>
      <xdr:row>5</xdr:row>
      <xdr:rowOff>0</xdr:rowOff>
    </xdr:from>
    <xdr:to>
      <xdr:col>4</xdr:col>
      <xdr:colOff>0</xdr:colOff>
      <xdr:row>5</xdr:row>
      <xdr:rowOff>95250</xdr:rowOff>
    </xdr:to>
    <xdr:pic>
      <xdr:nvPicPr>
        <xdr:cNvPr id="5" name="Grafik 18">
          <a:extLst>
            <a:ext uri="{FF2B5EF4-FFF2-40B4-BE49-F238E27FC236}">
              <a16:creationId xmlns:a16="http://schemas.microsoft.com/office/drawing/2014/main" id="{3380B9FA-08BD-4AE1-AF80-EBCA52CCE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77100" y="8096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1009650</xdr:colOff>
      <xdr:row>5</xdr:row>
      <xdr:rowOff>9525</xdr:rowOff>
    </xdr:from>
    <xdr:to>
      <xdr:col>5</xdr:col>
      <xdr:colOff>0</xdr:colOff>
      <xdr:row>5</xdr:row>
      <xdr:rowOff>104775</xdr:rowOff>
    </xdr:to>
    <xdr:pic>
      <xdr:nvPicPr>
        <xdr:cNvPr id="6" name="Grafik 18">
          <a:extLst>
            <a:ext uri="{FF2B5EF4-FFF2-40B4-BE49-F238E27FC236}">
              <a16:creationId xmlns:a16="http://schemas.microsoft.com/office/drawing/2014/main" id="{E727AF6C-4919-4B28-8097-DDBEA7786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24875" y="819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1000125</xdr:colOff>
      <xdr:row>23</xdr:row>
      <xdr:rowOff>9525</xdr:rowOff>
    </xdr:from>
    <xdr:to>
      <xdr:col>4</xdr:col>
      <xdr:colOff>1104900</xdr:colOff>
      <xdr:row>23</xdr:row>
      <xdr:rowOff>104775</xdr:rowOff>
    </xdr:to>
    <xdr:pic>
      <xdr:nvPicPr>
        <xdr:cNvPr id="7" name="Grafik 18">
          <a:extLst>
            <a:ext uri="{FF2B5EF4-FFF2-40B4-BE49-F238E27FC236}">
              <a16:creationId xmlns:a16="http://schemas.microsoft.com/office/drawing/2014/main" id="{DC14C2CE-50CA-40E6-BB2B-570C467338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15350" y="69532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1552575</xdr:colOff>
      <xdr:row>0</xdr:row>
      <xdr:rowOff>57150</xdr:rowOff>
    </xdr:from>
    <xdr:to>
      <xdr:col>6</xdr:col>
      <xdr:colOff>0</xdr:colOff>
      <xdr:row>3</xdr:row>
      <xdr:rowOff>174092</xdr:rowOff>
    </xdr:to>
    <xdr:pic>
      <xdr:nvPicPr>
        <xdr:cNvPr id="8" name="Grafik 1">
          <a:extLst>
            <a:ext uri="{FF2B5EF4-FFF2-40B4-BE49-F238E27FC236}">
              <a16:creationId xmlns:a16="http://schemas.microsoft.com/office/drawing/2014/main" id="{B243B1BE-3F41-41AB-A476-7ED917FE6B8E}"/>
            </a:ext>
          </a:extLst>
        </xdr:cNvPr>
        <xdr:cNvPicPr>
          <a:picLocks noChangeAspect="1"/>
        </xdr:cNvPicPr>
      </xdr:nvPicPr>
      <xdr:blipFill>
        <a:blip xmlns:r="http://schemas.openxmlformats.org/officeDocument/2006/relationships" r:embed="rId2"/>
        <a:stretch>
          <a:fillRect/>
        </a:stretch>
      </xdr:blipFill>
      <xdr:spPr>
        <a:xfrm>
          <a:off x="9820275" y="57150"/>
          <a:ext cx="1435100" cy="6122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333375</xdr:colOff>
      <xdr:row>1</xdr:row>
      <xdr:rowOff>47625</xdr:rowOff>
    </xdr:from>
    <xdr:to>
      <xdr:col>13</xdr:col>
      <xdr:colOff>219075</xdr:colOff>
      <xdr:row>3</xdr:row>
      <xdr:rowOff>0</xdr:rowOff>
    </xdr:to>
    <xdr:pic>
      <xdr:nvPicPr>
        <xdr:cNvPr id="188242" name="Bild 2" descr="DGS (060303)">
          <a:extLst>
            <a:ext uri="{FF2B5EF4-FFF2-40B4-BE49-F238E27FC236}">
              <a16:creationId xmlns:a16="http://schemas.microsoft.com/office/drawing/2014/main" id="{00000000-0008-0000-0500-000052DF02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76950" y="171450"/>
          <a:ext cx="17907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1076325</xdr:colOff>
      <xdr:row>4</xdr:row>
      <xdr:rowOff>9525</xdr:rowOff>
    </xdr:from>
    <xdr:to>
      <xdr:col>3</xdr:col>
      <xdr:colOff>9525</xdr:colOff>
      <xdr:row>4</xdr:row>
      <xdr:rowOff>114300</xdr:rowOff>
    </xdr:to>
    <xdr:pic>
      <xdr:nvPicPr>
        <xdr:cNvPr id="188243" name="Grafik 6">
          <a:extLst>
            <a:ext uri="{FF2B5EF4-FFF2-40B4-BE49-F238E27FC236}">
              <a16:creationId xmlns:a16="http://schemas.microsoft.com/office/drawing/2014/main" id="{00000000-0008-0000-0500-000053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38325" y="742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33</xdr:row>
      <xdr:rowOff>9525</xdr:rowOff>
    </xdr:from>
    <xdr:to>
      <xdr:col>14</xdr:col>
      <xdr:colOff>523875</xdr:colOff>
      <xdr:row>33</xdr:row>
      <xdr:rowOff>114300</xdr:rowOff>
    </xdr:to>
    <xdr:pic>
      <xdr:nvPicPr>
        <xdr:cNvPr id="188245" name="Grafik 17">
          <a:extLst>
            <a:ext uri="{FF2B5EF4-FFF2-40B4-BE49-F238E27FC236}">
              <a16:creationId xmlns:a16="http://schemas.microsoft.com/office/drawing/2014/main" id="{00000000-0008-0000-0500-000055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25936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39</xdr:row>
      <xdr:rowOff>9525</xdr:rowOff>
    </xdr:from>
    <xdr:to>
      <xdr:col>14</xdr:col>
      <xdr:colOff>523875</xdr:colOff>
      <xdr:row>39</xdr:row>
      <xdr:rowOff>114300</xdr:rowOff>
    </xdr:to>
    <xdr:pic>
      <xdr:nvPicPr>
        <xdr:cNvPr id="188246" name="Grafik 18">
          <a:extLst>
            <a:ext uri="{FF2B5EF4-FFF2-40B4-BE49-F238E27FC236}">
              <a16:creationId xmlns:a16="http://schemas.microsoft.com/office/drawing/2014/main" id="{00000000-0008-0000-0500-000056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28222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44</xdr:row>
      <xdr:rowOff>9525</xdr:rowOff>
    </xdr:from>
    <xdr:to>
      <xdr:col>14</xdr:col>
      <xdr:colOff>523875</xdr:colOff>
      <xdr:row>44</xdr:row>
      <xdr:rowOff>114300</xdr:rowOff>
    </xdr:to>
    <xdr:pic>
      <xdr:nvPicPr>
        <xdr:cNvPr id="188247" name="Grafik 20">
          <a:extLst>
            <a:ext uri="{FF2B5EF4-FFF2-40B4-BE49-F238E27FC236}">
              <a16:creationId xmlns:a16="http://schemas.microsoft.com/office/drawing/2014/main" id="{00000000-0008-0000-0500-000057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30127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56</xdr:row>
      <xdr:rowOff>9525</xdr:rowOff>
    </xdr:from>
    <xdr:to>
      <xdr:col>14</xdr:col>
      <xdr:colOff>523875</xdr:colOff>
      <xdr:row>56</xdr:row>
      <xdr:rowOff>114300</xdr:rowOff>
    </xdr:to>
    <xdr:pic>
      <xdr:nvPicPr>
        <xdr:cNvPr id="188248" name="Grafik 24">
          <a:extLst>
            <a:ext uri="{FF2B5EF4-FFF2-40B4-BE49-F238E27FC236}">
              <a16:creationId xmlns:a16="http://schemas.microsoft.com/office/drawing/2014/main" id="{00000000-0008-0000-0500-000058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32413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57</xdr:row>
      <xdr:rowOff>9525</xdr:rowOff>
    </xdr:from>
    <xdr:to>
      <xdr:col>14</xdr:col>
      <xdr:colOff>523875</xdr:colOff>
      <xdr:row>57</xdr:row>
      <xdr:rowOff>114300</xdr:rowOff>
    </xdr:to>
    <xdr:pic>
      <xdr:nvPicPr>
        <xdr:cNvPr id="188249" name="Grafik 25">
          <a:extLst>
            <a:ext uri="{FF2B5EF4-FFF2-40B4-BE49-F238E27FC236}">
              <a16:creationId xmlns:a16="http://schemas.microsoft.com/office/drawing/2014/main" id="{00000000-0008-0000-0500-000059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32794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66</xdr:row>
      <xdr:rowOff>9525</xdr:rowOff>
    </xdr:from>
    <xdr:to>
      <xdr:col>14</xdr:col>
      <xdr:colOff>523875</xdr:colOff>
      <xdr:row>66</xdr:row>
      <xdr:rowOff>114300</xdr:rowOff>
    </xdr:to>
    <xdr:pic>
      <xdr:nvPicPr>
        <xdr:cNvPr id="188250" name="Grafik 30">
          <a:extLst>
            <a:ext uri="{FF2B5EF4-FFF2-40B4-BE49-F238E27FC236}">
              <a16:creationId xmlns:a16="http://schemas.microsoft.com/office/drawing/2014/main" id="{00000000-0008-0000-0500-00005A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38509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36</xdr:row>
      <xdr:rowOff>9525</xdr:rowOff>
    </xdr:from>
    <xdr:to>
      <xdr:col>14</xdr:col>
      <xdr:colOff>523875</xdr:colOff>
      <xdr:row>36</xdr:row>
      <xdr:rowOff>114300</xdr:rowOff>
    </xdr:to>
    <xdr:pic>
      <xdr:nvPicPr>
        <xdr:cNvPr id="188253" name="Grafik 18">
          <a:extLst>
            <a:ext uri="{FF2B5EF4-FFF2-40B4-BE49-F238E27FC236}">
              <a16:creationId xmlns:a16="http://schemas.microsoft.com/office/drawing/2014/main" id="{00000000-0008-0000-0500-00005D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27079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12</xdr:row>
      <xdr:rowOff>9525</xdr:rowOff>
    </xdr:from>
    <xdr:to>
      <xdr:col>14</xdr:col>
      <xdr:colOff>523875</xdr:colOff>
      <xdr:row>12</xdr:row>
      <xdr:rowOff>114300</xdr:rowOff>
    </xdr:to>
    <xdr:pic>
      <xdr:nvPicPr>
        <xdr:cNvPr id="188254" name="Grafik 18">
          <a:extLst>
            <a:ext uri="{FF2B5EF4-FFF2-40B4-BE49-F238E27FC236}">
              <a16:creationId xmlns:a16="http://schemas.microsoft.com/office/drawing/2014/main" id="{00000000-0008-0000-0500-00005E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5724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36</xdr:row>
      <xdr:rowOff>9525</xdr:rowOff>
    </xdr:from>
    <xdr:to>
      <xdr:col>14</xdr:col>
      <xdr:colOff>523875</xdr:colOff>
      <xdr:row>36</xdr:row>
      <xdr:rowOff>114300</xdr:rowOff>
    </xdr:to>
    <xdr:pic>
      <xdr:nvPicPr>
        <xdr:cNvPr id="188255" name="Grafik 18">
          <a:extLst>
            <a:ext uri="{FF2B5EF4-FFF2-40B4-BE49-F238E27FC236}">
              <a16:creationId xmlns:a16="http://schemas.microsoft.com/office/drawing/2014/main" id="{00000000-0008-0000-0500-00005F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27079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57</xdr:row>
      <xdr:rowOff>9525</xdr:rowOff>
    </xdr:from>
    <xdr:to>
      <xdr:col>14</xdr:col>
      <xdr:colOff>523875</xdr:colOff>
      <xdr:row>57</xdr:row>
      <xdr:rowOff>114300</xdr:rowOff>
    </xdr:to>
    <xdr:pic>
      <xdr:nvPicPr>
        <xdr:cNvPr id="188257" name="Grafik 11">
          <a:extLst>
            <a:ext uri="{FF2B5EF4-FFF2-40B4-BE49-F238E27FC236}">
              <a16:creationId xmlns:a16="http://schemas.microsoft.com/office/drawing/2014/main" id="{00000000-0008-0000-0500-000061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32794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66</xdr:row>
      <xdr:rowOff>9525</xdr:rowOff>
    </xdr:from>
    <xdr:to>
      <xdr:col>14</xdr:col>
      <xdr:colOff>523875</xdr:colOff>
      <xdr:row>66</xdr:row>
      <xdr:rowOff>114300</xdr:rowOff>
    </xdr:to>
    <xdr:pic>
      <xdr:nvPicPr>
        <xdr:cNvPr id="188258" name="Grafik 11">
          <a:extLst>
            <a:ext uri="{FF2B5EF4-FFF2-40B4-BE49-F238E27FC236}">
              <a16:creationId xmlns:a16="http://schemas.microsoft.com/office/drawing/2014/main" id="{00000000-0008-0000-0500-000062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38509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36</xdr:row>
      <xdr:rowOff>9525</xdr:rowOff>
    </xdr:from>
    <xdr:to>
      <xdr:col>14</xdr:col>
      <xdr:colOff>523875</xdr:colOff>
      <xdr:row>36</xdr:row>
      <xdr:rowOff>114300</xdr:rowOff>
    </xdr:to>
    <xdr:pic>
      <xdr:nvPicPr>
        <xdr:cNvPr id="188261" name="Grafik 18">
          <a:extLst>
            <a:ext uri="{FF2B5EF4-FFF2-40B4-BE49-F238E27FC236}">
              <a16:creationId xmlns:a16="http://schemas.microsoft.com/office/drawing/2014/main" id="{00000000-0008-0000-0500-000065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27079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39</xdr:row>
      <xdr:rowOff>9525</xdr:rowOff>
    </xdr:from>
    <xdr:to>
      <xdr:col>14</xdr:col>
      <xdr:colOff>523875</xdr:colOff>
      <xdr:row>39</xdr:row>
      <xdr:rowOff>114300</xdr:rowOff>
    </xdr:to>
    <xdr:pic>
      <xdr:nvPicPr>
        <xdr:cNvPr id="188262" name="Grafik 18">
          <a:extLst>
            <a:ext uri="{FF2B5EF4-FFF2-40B4-BE49-F238E27FC236}">
              <a16:creationId xmlns:a16="http://schemas.microsoft.com/office/drawing/2014/main" id="{00000000-0008-0000-0500-000066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28222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9</xdr:row>
      <xdr:rowOff>9525</xdr:rowOff>
    </xdr:from>
    <xdr:to>
      <xdr:col>14</xdr:col>
      <xdr:colOff>523875</xdr:colOff>
      <xdr:row>9</xdr:row>
      <xdr:rowOff>114300</xdr:rowOff>
    </xdr:to>
    <xdr:pic>
      <xdr:nvPicPr>
        <xdr:cNvPr id="188266" name="Grafik 18">
          <a:extLst>
            <a:ext uri="{FF2B5EF4-FFF2-40B4-BE49-F238E27FC236}">
              <a16:creationId xmlns:a16="http://schemas.microsoft.com/office/drawing/2014/main" id="{00000000-0008-0000-0500-00006A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34425" y="4581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3105150</xdr:colOff>
      <xdr:row>7</xdr:row>
      <xdr:rowOff>9525</xdr:rowOff>
    </xdr:from>
    <xdr:to>
      <xdr:col>16</xdr:col>
      <xdr:colOff>3105150</xdr:colOff>
      <xdr:row>7</xdr:row>
      <xdr:rowOff>114300</xdr:rowOff>
    </xdr:to>
    <xdr:pic>
      <xdr:nvPicPr>
        <xdr:cNvPr id="188267" name="Grafik 18">
          <a:extLst>
            <a:ext uri="{FF2B5EF4-FFF2-40B4-BE49-F238E27FC236}">
              <a16:creationId xmlns:a16="http://schemas.microsoft.com/office/drawing/2014/main" id="{00000000-0008-0000-0500-00006B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25375" y="386715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276225</xdr:colOff>
      <xdr:row>4</xdr:row>
      <xdr:rowOff>0</xdr:rowOff>
    </xdr:from>
    <xdr:to>
      <xdr:col>13</xdr:col>
      <xdr:colOff>0</xdr:colOff>
      <xdr:row>4</xdr:row>
      <xdr:rowOff>104775</xdr:rowOff>
    </xdr:to>
    <xdr:pic>
      <xdr:nvPicPr>
        <xdr:cNvPr id="188270" name="Grafik 6">
          <a:extLst>
            <a:ext uri="{FF2B5EF4-FFF2-40B4-BE49-F238E27FC236}">
              <a16:creationId xmlns:a16="http://schemas.microsoft.com/office/drawing/2014/main" id="{00000000-0008-0000-0500-00006E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15275" y="733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42</xdr:row>
      <xdr:rowOff>9525</xdr:rowOff>
    </xdr:from>
    <xdr:to>
      <xdr:col>14</xdr:col>
      <xdr:colOff>523875</xdr:colOff>
      <xdr:row>42</xdr:row>
      <xdr:rowOff>114300</xdr:rowOff>
    </xdr:to>
    <xdr:pic>
      <xdr:nvPicPr>
        <xdr:cNvPr id="188276" name="Grafik 20">
          <a:extLst>
            <a:ext uri="{FF2B5EF4-FFF2-40B4-BE49-F238E27FC236}">
              <a16:creationId xmlns:a16="http://schemas.microsoft.com/office/drawing/2014/main" id="{00000000-0008-0000-0500-000074D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43950" y="29365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38</xdr:row>
      <xdr:rowOff>9525</xdr:rowOff>
    </xdr:from>
    <xdr:to>
      <xdr:col>14</xdr:col>
      <xdr:colOff>523875</xdr:colOff>
      <xdr:row>38</xdr:row>
      <xdr:rowOff>95250</xdr:rowOff>
    </xdr:to>
    <xdr:pic>
      <xdr:nvPicPr>
        <xdr:cNvPr id="38" name="Grafik 29">
          <a:extLst>
            <a:ext uri="{FF2B5EF4-FFF2-40B4-BE49-F238E27FC236}">
              <a16:creationId xmlns:a16="http://schemas.microsoft.com/office/drawing/2014/main" id="{00000000-0008-0000-0500-00002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34425" y="278415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63</xdr:row>
      <xdr:rowOff>9525</xdr:rowOff>
    </xdr:from>
    <xdr:to>
      <xdr:col>14</xdr:col>
      <xdr:colOff>523875</xdr:colOff>
      <xdr:row>63</xdr:row>
      <xdr:rowOff>95250</xdr:rowOff>
    </xdr:to>
    <xdr:pic>
      <xdr:nvPicPr>
        <xdr:cNvPr id="30" name="Grafik 29">
          <a:extLst>
            <a:ext uri="{FF2B5EF4-FFF2-40B4-BE49-F238E27FC236}">
              <a16:creationId xmlns:a16="http://schemas.microsoft.com/office/drawing/2014/main" id="{00000000-0008-0000-0500-00001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582025" y="28117800"/>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6</xdr:row>
      <xdr:rowOff>9525</xdr:rowOff>
    </xdr:from>
    <xdr:to>
      <xdr:col>14</xdr:col>
      <xdr:colOff>523875</xdr:colOff>
      <xdr:row>6</xdr:row>
      <xdr:rowOff>114300</xdr:rowOff>
    </xdr:to>
    <xdr:pic>
      <xdr:nvPicPr>
        <xdr:cNvPr id="31" name="Grafik 18">
          <a:extLst>
            <a:ext uri="{FF2B5EF4-FFF2-40B4-BE49-F238E27FC236}">
              <a16:creationId xmlns:a16="http://schemas.microsoft.com/office/drawing/2014/main" id="{00000000-0008-0000-0500-00001F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91625" y="4238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3105150</xdr:colOff>
      <xdr:row>7</xdr:row>
      <xdr:rowOff>9525</xdr:rowOff>
    </xdr:from>
    <xdr:to>
      <xdr:col>16</xdr:col>
      <xdr:colOff>3105150</xdr:colOff>
      <xdr:row>7</xdr:row>
      <xdr:rowOff>114300</xdr:rowOff>
    </xdr:to>
    <xdr:pic>
      <xdr:nvPicPr>
        <xdr:cNvPr id="32" name="Grafik 18">
          <a:extLst>
            <a:ext uri="{FF2B5EF4-FFF2-40B4-BE49-F238E27FC236}">
              <a16:creationId xmlns:a16="http://schemas.microsoft.com/office/drawing/2014/main" id="{00000000-0008-0000-0500-000020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982575" y="441007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4752975</xdr:colOff>
      <xdr:row>7</xdr:row>
      <xdr:rowOff>9525</xdr:rowOff>
    </xdr:from>
    <xdr:to>
      <xdr:col>16</xdr:col>
      <xdr:colOff>4857750</xdr:colOff>
      <xdr:row>7</xdr:row>
      <xdr:rowOff>114300</xdr:rowOff>
    </xdr:to>
    <xdr:pic>
      <xdr:nvPicPr>
        <xdr:cNvPr id="33" name="Grafik 18">
          <a:extLst>
            <a:ext uri="{FF2B5EF4-FFF2-40B4-BE49-F238E27FC236}">
              <a16:creationId xmlns:a16="http://schemas.microsoft.com/office/drawing/2014/main" id="{00000000-0008-0000-0500-00002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630400" y="4410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323850</xdr:colOff>
      <xdr:row>6</xdr:row>
      <xdr:rowOff>9525</xdr:rowOff>
    </xdr:from>
    <xdr:to>
      <xdr:col>0</xdr:col>
      <xdr:colOff>428625</xdr:colOff>
      <xdr:row>6</xdr:row>
      <xdr:rowOff>114300</xdr:rowOff>
    </xdr:to>
    <xdr:pic>
      <xdr:nvPicPr>
        <xdr:cNvPr id="34" name="Grafik 6">
          <a:extLst>
            <a:ext uri="{FF2B5EF4-FFF2-40B4-BE49-F238E27FC236}">
              <a16:creationId xmlns:a16="http://schemas.microsoft.com/office/drawing/2014/main" id="{00000000-0008-0000-0500-00002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3850" y="1533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209550</xdr:colOff>
      <xdr:row>6</xdr:row>
      <xdr:rowOff>9525</xdr:rowOff>
    </xdr:from>
    <xdr:to>
      <xdr:col>1</xdr:col>
      <xdr:colOff>314325</xdr:colOff>
      <xdr:row>6</xdr:row>
      <xdr:rowOff>114300</xdr:rowOff>
    </xdr:to>
    <xdr:pic>
      <xdr:nvPicPr>
        <xdr:cNvPr id="35" name="Grafik 6">
          <a:extLst>
            <a:ext uri="{FF2B5EF4-FFF2-40B4-BE49-F238E27FC236}">
              <a16:creationId xmlns:a16="http://schemas.microsoft.com/office/drawing/2014/main" id="{00000000-0008-0000-0500-00002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 y="4238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304800</xdr:colOff>
      <xdr:row>0</xdr:row>
      <xdr:rowOff>0</xdr:rowOff>
    </xdr:from>
    <xdr:to>
      <xdr:col>15</xdr:col>
      <xdr:colOff>523875</xdr:colOff>
      <xdr:row>3</xdr:row>
      <xdr:rowOff>88367</xdr:rowOff>
    </xdr:to>
    <xdr:pic>
      <xdr:nvPicPr>
        <xdr:cNvPr id="36" name="Grafik 1">
          <a:extLst>
            <a:ext uri="{FF2B5EF4-FFF2-40B4-BE49-F238E27FC236}">
              <a16:creationId xmlns:a16="http://schemas.microsoft.com/office/drawing/2014/main" id="{00000000-0008-0000-0500-000024000000}"/>
            </a:ext>
          </a:extLst>
        </xdr:cNvPr>
        <xdr:cNvPicPr>
          <a:picLocks noChangeAspect="1"/>
        </xdr:cNvPicPr>
      </xdr:nvPicPr>
      <xdr:blipFill>
        <a:blip xmlns:r="http://schemas.openxmlformats.org/officeDocument/2006/relationships" r:embed="rId4"/>
        <a:stretch>
          <a:fillRect/>
        </a:stretch>
      </xdr:blipFill>
      <xdr:spPr>
        <a:xfrm>
          <a:off x="7953375" y="0"/>
          <a:ext cx="1409700" cy="612242"/>
        </a:xfrm>
        <a:prstGeom prst="rect">
          <a:avLst/>
        </a:prstGeom>
      </xdr:spPr>
    </xdr:pic>
    <xdr:clientData/>
  </xdr:twoCellAnchor>
  <xdr:twoCellAnchor editAs="oneCell">
    <xdr:from>
      <xdr:col>14</xdr:col>
      <xdr:colOff>428625</xdr:colOff>
      <xdr:row>47</xdr:row>
      <xdr:rowOff>0</xdr:rowOff>
    </xdr:from>
    <xdr:to>
      <xdr:col>15</xdr:col>
      <xdr:colOff>0</xdr:colOff>
      <xdr:row>47</xdr:row>
      <xdr:rowOff>104775</xdr:rowOff>
    </xdr:to>
    <xdr:pic>
      <xdr:nvPicPr>
        <xdr:cNvPr id="37" name="Grafik 20">
          <a:extLst>
            <a:ext uri="{FF2B5EF4-FFF2-40B4-BE49-F238E27FC236}">
              <a16:creationId xmlns:a16="http://schemas.microsoft.com/office/drawing/2014/main" id="{599F3407-D25F-4A93-93EE-E84B50F417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34425" y="20497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18</xdr:row>
      <xdr:rowOff>9525</xdr:rowOff>
    </xdr:from>
    <xdr:to>
      <xdr:col>14</xdr:col>
      <xdr:colOff>523875</xdr:colOff>
      <xdr:row>18</xdr:row>
      <xdr:rowOff>114300</xdr:rowOff>
    </xdr:to>
    <xdr:pic>
      <xdr:nvPicPr>
        <xdr:cNvPr id="2" name="Grafik 18">
          <a:extLst>
            <a:ext uri="{FF2B5EF4-FFF2-40B4-BE49-F238E27FC236}">
              <a16:creationId xmlns:a16="http://schemas.microsoft.com/office/drawing/2014/main" id="{FE662022-F87F-4D03-BE7F-C6A34ADE1ED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53500" y="5734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1057275</xdr:colOff>
      <xdr:row>32</xdr:row>
      <xdr:rowOff>9525</xdr:rowOff>
    </xdr:from>
    <xdr:to>
      <xdr:col>2</xdr:col>
      <xdr:colOff>1162050</xdr:colOff>
      <xdr:row>32</xdr:row>
      <xdr:rowOff>114300</xdr:rowOff>
    </xdr:to>
    <xdr:pic>
      <xdr:nvPicPr>
        <xdr:cNvPr id="3" name="Grafik 17">
          <a:extLst>
            <a:ext uri="{FF2B5EF4-FFF2-40B4-BE49-F238E27FC236}">
              <a16:creationId xmlns:a16="http://schemas.microsoft.com/office/drawing/2014/main" id="{A010D83F-EDAC-4809-9E36-80F79CA0CDB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19275" y="12211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590550</xdr:colOff>
      <xdr:row>32</xdr:row>
      <xdr:rowOff>9525</xdr:rowOff>
    </xdr:from>
    <xdr:to>
      <xdr:col>6</xdr:col>
      <xdr:colOff>695325</xdr:colOff>
      <xdr:row>32</xdr:row>
      <xdr:rowOff>114300</xdr:rowOff>
    </xdr:to>
    <xdr:pic>
      <xdr:nvPicPr>
        <xdr:cNvPr id="4" name="Grafik 17">
          <a:extLst>
            <a:ext uri="{FF2B5EF4-FFF2-40B4-BE49-F238E27FC236}">
              <a16:creationId xmlns:a16="http://schemas.microsoft.com/office/drawing/2014/main" id="{E7B33B93-8031-4495-85BC-208BE914ADA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143500" y="12211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69</xdr:row>
      <xdr:rowOff>9525</xdr:rowOff>
    </xdr:from>
    <xdr:to>
      <xdr:col>14</xdr:col>
      <xdr:colOff>523875</xdr:colOff>
      <xdr:row>69</xdr:row>
      <xdr:rowOff>114300</xdr:rowOff>
    </xdr:to>
    <xdr:pic>
      <xdr:nvPicPr>
        <xdr:cNvPr id="5" name="Grafik 11">
          <a:extLst>
            <a:ext uri="{FF2B5EF4-FFF2-40B4-BE49-F238E27FC236}">
              <a16:creationId xmlns:a16="http://schemas.microsoft.com/office/drawing/2014/main" id="{C8E2BD28-D61F-4B81-92DB-108473E0399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96375" y="24736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1047750</xdr:colOff>
      <xdr:row>14</xdr:row>
      <xdr:rowOff>9525</xdr:rowOff>
    </xdr:from>
    <xdr:to>
      <xdr:col>2</xdr:col>
      <xdr:colOff>1162050</xdr:colOff>
      <xdr:row>14</xdr:row>
      <xdr:rowOff>114300</xdr:rowOff>
    </xdr:to>
    <xdr:pic>
      <xdr:nvPicPr>
        <xdr:cNvPr id="7" name="Grafik 18">
          <a:extLst>
            <a:ext uri="{FF2B5EF4-FFF2-40B4-BE49-F238E27FC236}">
              <a16:creationId xmlns:a16="http://schemas.microsoft.com/office/drawing/2014/main" id="{BD31867E-1735-4D0C-82F5-3023CFE1FAE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9750" y="3629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1057275</xdr:colOff>
      <xdr:row>26</xdr:row>
      <xdr:rowOff>9525</xdr:rowOff>
    </xdr:from>
    <xdr:to>
      <xdr:col>2</xdr:col>
      <xdr:colOff>1162050</xdr:colOff>
      <xdr:row>26</xdr:row>
      <xdr:rowOff>114300</xdr:rowOff>
    </xdr:to>
    <xdr:pic>
      <xdr:nvPicPr>
        <xdr:cNvPr id="8" name="Grafik 18">
          <a:extLst>
            <a:ext uri="{FF2B5EF4-FFF2-40B4-BE49-F238E27FC236}">
              <a16:creationId xmlns:a16="http://schemas.microsoft.com/office/drawing/2014/main" id="{E689C250-53C7-4631-A9EE-0F0E0F00CF8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19275" y="8201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1057275</xdr:colOff>
      <xdr:row>29</xdr:row>
      <xdr:rowOff>9525</xdr:rowOff>
    </xdr:from>
    <xdr:to>
      <xdr:col>2</xdr:col>
      <xdr:colOff>1162050</xdr:colOff>
      <xdr:row>29</xdr:row>
      <xdr:rowOff>114300</xdr:rowOff>
    </xdr:to>
    <xdr:pic>
      <xdr:nvPicPr>
        <xdr:cNvPr id="9" name="Grafik 18">
          <a:extLst>
            <a:ext uri="{FF2B5EF4-FFF2-40B4-BE49-F238E27FC236}">
              <a16:creationId xmlns:a16="http://schemas.microsoft.com/office/drawing/2014/main" id="{5F636B99-6A9B-42EB-A2E0-D97249A8D2A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19275" y="9344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1057275</xdr:colOff>
      <xdr:row>59</xdr:row>
      <xdr:rowOff>9525</xdr:rowOff>
    </xdr:from>
    <xdr:to>
      <xdr:col>2</xdr:col>
      <xdr:colOff>1162050</xdr:colOff>
      <xdr:row>59</xdr:row>
      <xdr:rowOff>114300</xdr:rowOff>
    </xdr:to>
    <xdr:pic>
      <xdr:nvPicPr>
        <xdr:cNvPr id="10" name="Grafik 11">
          <a:extLst>
            <a:ext uri="{FF2B5EF4-FFF2-40B4-BE49-F238E27FC236}">
              <a16:creationId xmlns:a16="http://schemas.microsoft.com/office/drawing/2014/main" id="{AA1AA2BF-4698-45FB-8FBD-E27910B1825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19275" y="21116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428625</xdr:colOff>
      <xdr:row>15</xdr:row>
      <xdr:rowOff>9525</xdr:rowOff>
    </xdr:from>
    <xdr:to>
      <xdr:col>15</xdr:col>
      <xdr:colOff>0</xdr:colOff>
      <xdr:row>15</xdr:row>
      <xdr:rowOff>114300</xdr:rowOff>
    </xdr:to>
    <xdr:pic>
      <xdr:nvPicPr>
        <xdr:cNvPr id="11" name="Grafik 18">
          <a:extLst>
            <a:ext uri="{FF2B5EF4-FFF2-40B4-BE49-F238E27FC236}">
              <a16:creationId xmlns:a16="http://schemas.microsoft.com/office/drawing/2014/main" id="{88521241-8810-4418-B8E0-3FD94004495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05900" y="4010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1885950</xdr:colOff>
      <xdr:row>5</xdr:row>
      <xdr:rowOff>9525</xdr:rowOff>
    </xdr:from>
    <xdr:to>
      <xdr:col>10</xdr:col>
      <xdr:colOff>0</xdr:colOff>
      <xdr:row>5</xdr:row>
      <xdr:rowOff>114300</xdr:rowOff>
    </xdr:to>
    <xdr:pic>
      <xdr:nvPicPr>
        <xdr:cNvPr id="179680" name="Grafik 3">
          <a:extLst>
            <a:ext uri="{FF2B5EF4-FFF2-40B4-BE49-F238E27FC236}">
              <a16:creationId xmlns:a16="http://schemas.microsoft.com/office/drawing/2014/main" id="{00000000-0008-0000-0800-0000E0BD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19900" y="838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314325</xdr:colOff>
      <xdr:row>7</xdr:row>
      <xdr:rowOff>9525</xdr:rowOff>
    </xdr:from>
    <xdr:to>
      <xdr:col>6</xdr:col>
      <xdr:colOff>0</xdr:colOff>
      <xdr:row>7</xdr:row>
      <xdr:rowOff>104775</xdr:rowOff>
    </xdr:to>
    <xdr:pic>
      <xdr:nvPicPr>
        <xdr:cNvPr id="179681" name="Grafik 4">
          <a:extLst>
            <a:ext uri="{FF2B5EF4-FFF2-40B4-BE49-F238E27FC236}">
              <a16:creationId xmlns:a16="http://schemas.microsoft.com/office/drawing/2014/main" id="{00000000-0008-0000-0800-0000E1BD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86125" y="10382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638175</xdr:colOff>
      <xdr:row>1</xdr:row>
      <xdr:rowOff>104775</xdr:rowOff>
    </xdr:from>
    <xdr:to>
      <xdr:col>10</xdr:col>
      <xdr:colOff>2019300</xdr:colOff>
      <xdr:row>3</xdr:row>
      <xdr:rowOff>28575</xdr:rowOff>
    </xdr:to>
    <xdr:pic>
      <xdr:nvPicPr>
        <xdr:cNvPr id="179682" name="Grafik 1">
          <a:extLst>
            <a:ext uri="{FF2B5EF4-FFF2-40B4-BE49-F238E27FC236}">
              <a16:creationId xmlns:a16="http://schemas.microsoft.com/office/drawing/2014/main" id="{00000000-0008-0000-0800-0000E2BD02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562850" y="104775"/>
          <a:ext cx="138112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1876425</xdr:colOff>
      <xdr:row>5</xdr:row>
      <xdr:rowOff>9525</xdr:rowOff>
    </xdr:from>
    <xdr:to>
      <xdr:col>9</xdr:col>
      <xdr:colOff>1981200</xdr:colOff>
      <xdr:row>5</xdr:row>
      <xdr:rowOff>114300</xdr:rowOff>
    </xdr:to>
    <xdr:pic>
      <xdr:nvPicPr>
        <xdr:cNvPr id="179683" name="Grafik 3">
          <a:extLst>
            <a:ext uri="{FF2B5EF4-FFF2-40B4-BE49-F238E27FC236}">
              <a16:creationId xmlns:a16="http://schemas.microsoft.com/office/drawing/2014/main" id="{00000000-0008-0000-0800-0000E3BD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10375" y="762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1885950</xdr:colOff>
      <xdr:row>7</xdr:row>
      <xdr:rowOff>9525</xdr:rowOff>
    </xdr:from>
    <xdr:to>
      <xdr:col>10</xdr:col>
      <xdr:colOff>0</xdr:colOff>
      <xdr:row>7</xdr:row>
      <xdr:rowOff>104775</xdr:rowOff>
    </xdr:to>
    <xdr:pic>
      <xdr:nvPicPr>
        <xdr:cNvPr id="6" name="Grafik 4">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19900" y="10382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26</xdr:col>
      <xdr:colOff>133350</xdr:colOff>
      <xdr:row>1</xdr:row>
      <xdr:rowOff>0</xdr:rowOff>
    </xdr:from>
    <xdr:to>
      <xdr:col>31</xdr:col>
      <xdr:colOff>0</xdr:colOff>
      <xdr:row>4</xdr:row>
      <xdr:rowOff>114300</xdr:rowOff>
    </xdr:to>
    <xdr:pic>
      <xdr:nvPicPr>
        <xdr:cNvPr id="185552" name="Grafik 1">
          <a:extLst>
            <a:ext uri="{FF2B5EF4-FFF2-40B4-BE49-F238E27FC236}">
              <a16:creationId xmlns:a16="http://schemas.microsoft.com/office/drawing/2014/main" id="{00000000-0008-0000-0A00-0000D0D402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53375" y="57150"/>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20</xdr:col>
      <xdr:colOff>200025</xdr:colOff>
      <xdr:row>1</xdr:row>
      <xdr:rowOff>123825</xdr:rowOff>
    </xdr:from>
    <xdr:to>
      <xdr:col>26</xdr:col>
      <xdr:colOff>57150</xdr:colOff>
      <xdr:row>3</xdr:row>
      <xdr:rowOff>76200</xdr:rowOff>
    </xdr:to>
    <xdr:pic>
      <xdr:nvPicPr>
        <xdr:cNvPr id="185553" name="Bild 2" descr="DGS (060303)">
          <a:extLst>
            <a:ext uri="{FF2B5EF4-FFF2-40B4-BE49-F238E27FC236}">
              <a16:creationId xmlns:a16="http://schemas.microsoft.com/office/drawing/2014/main" id="{00000000-0008-0000-0A00-0000D1D402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34100" y="180975"/>
          <a:ext cx="17430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485775</xdr:colOff>
      <xdr:row>4</xdr:row>
      <xdr:rowOff>9525</xdr:rowOff>
    </xdr:from>
    <xdr:to>
      <xdr:col>18</xdr:col>
      <xdr:colOff>0</xdr:colOff>
      <xdr:row>4</xdr:row>
      <xdr:rowOff>104775</xdr:rowOff>
    </xdr:to>
    <xdr:pic>
      <xdr:nvPicPr>
        <xdr:cNvPr id="185554" name="Grafik 4">
          <a:extLst>
            <a:ext uri="{FF2B5EF4-FFF2-40B4-BE49-F238E27FC236}">
              <a16:creationId xmlns:a16="http://schemas.microsoft.com/office/drawing/2014/main" id="{00000000-0008-0000-0A00-0000D2D402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76875" y="5810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200025</xdr:colOff>
      <xdr:row>6</xdr:row>
      <xdr:rowOff>9525</xdr:rowOff>
    </xdr:from>
    <xdr:to>
      <xdr:col>5</xdr:col>
      <xdr:colOff>0</xdr:colOff>
      <xdr:row>6</xdr:row>
      <xdr:rowOff>104775</xdr:rowOff>
    </xdr:to>
    <xdr:pic>
      <xdr:nvPicPr>
        <xdr:cNvPr id="185555" name="Grafik 6">
          <a:extLst>
            <a:ext uri="{FF2B5EF4-FFF2-40B4-BE49-F238E27FC236}">
              <a16:creationId xmlns:a16="http://schemas.microsoft.com/office/drawing/2014/main" id="{00000000-0008-0000-0A00-0000D3D402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619250" y="93345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514350</xdr:colOff>
      <xdr:row>32</xdr:row>
      <xdr:rowOff>9525</xdr:rowOff>
    </xdr:from>
    <xdr:to>
      <xdr:col>18</xdr:col>
      <xdr:colOff>0</xdr:colOff>
      <xdr:row>32</xdr:row>
      <xdr:rowOff>85725</xdr:rowOff>
    </xdr:to>
    <xdr:pic>
      <xdr:nvPicPr>
        <xdr:cNvPr id="185556" name="Grafik 5">
          <a:extLst>
            <a:ext uri="{FF2B5EF4-FFF2-40B4-BE49-F238E27FC236}">
              <a16:creationId xmlns:a16="http://schemas.microsoft.com/office/drawing/2014/main" id="{00000000-0008-0000-0A00-0000D4D402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505450" y="6591300"/>
          <a:ext cx="762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495300</xdr:colOff>
      <xdr:row>6</xdr:row>
      <xdr:rowOff>9525</xdr:rowOff>
    </xdr:from>
    <xdr:to>
      <xdr:col>18</xdr:col>
      <xdr:colOff>0</xdr:colOff>
      <xdr:row>6</xdr:row>
      <xdr:rowOff>104775</xdr:rowOff>
    </xdr:to>
    <xdr:pic>
      <xdr:nvPicPr>
        <xdr:cNvPr id="185557" name="Grafik 6">
          <a:extLst>
            <a:ext uri="{FF2B5EF4-FFF2-40B4-BE49-F238E27FC236}">
              <a16:creationId xmlns:a16="http://schemas.microsoft.com/office/drawing/2014/main" id="{00000000-0008-0000-0A00-0000D5D402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86400" y="85725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1285875</xdr:colOff>
      <xdr:row>5</xdr:row>
      <xdr:rowOff>9525</xdr:rowOff>
    </xdr:from>
    <xdr:to>
      <xdr:col>6</xdr:col>
      <xdr:colOff>0</xdr:colOff>
      <xdr:row>5</xdr:row>
      <xdr:rowOff>114300</xdr:rowOff>
    </xdr:to>
    <xdr:pic>
      <xdr:nvPicPr>
        <xdr:cNvPr id="175960" name="Grafik 3">
          <a:extLst>
            <a:ext uri="{FF2B5EF4-FFF2-40B4-BE49-F238E27FC236}">
              <a16:creationId xmlns:a16="http://schemas.microsoft.com/office/drawing/2014/main" id="{00000000-0008-0000-0E00-000058AF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29650" y="8667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1285875</xdr:colOff>
      <xdr:row>7</xdr:row>
      <xdr:rowOff>9525</xdr:rowOff>
    </xdr:from>
    <xdr:to>
      <xdr:col>6</xdr:col>
      <xdr:colOff>0</xdr:colOff>
      <xdr:row>7</xdr:row>
      <xdr:rowOff>104775</xdr:rowOff>
    </xdr:to>
    <xdr:pic>
      <xdr:nvPicPr>
        <xdr:cNvPr id="175961" name="Grafik 4">
          <a:extLst>
            <a:ext uri="{FF2B5EF4-FFF2-40B4-BE49-F238E27FC236}">
              <a16:creationId xmlns:a16="http://schemas.microsoft.com/office/drawing/2014/main" id="{00000000-0008-0000-0E00-000059AF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29650" y="114300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1476375</xdr:colOff>
      <xdr:row>14</xdr:row>
      <xdr:rowOff>9525</xdr:rowOff>
    </xdr:from>
    <xdr:to>
      <xdr:col>2</xdr:col>
      <xdr:colOff>0</xdr:colOff>
      <xdr:row>14</xdr:row>
      <xdr:rowOff>114300</xdr:rowOff>
    </xdr:to>
    <xdr:pic>
      <xdr:nvPicPr>
        <xdr:cNvPr id="175962" name="Grafik 5">
          <a:extLst>
            <a:ext uri="{FF2B5EF4-FFF2-40B4-BE49-F238E27FC236}">
              <a16:creationId xmlns:a16="http://schemas.microsoft.com/office/drawing/2014/main" id="{00000000-0008-0000-0E00-00005AAF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76525" y="23717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304800</xdr:colOff>
      <xdr:row>1</xdr:row>
      <xdr:rowOff>28575</xdr:rowOff>
    </xdr:from>
    <xdr:to>
      <xdr:col>6</xdr:col>
      <xdr:colOff>476250</xdr:colOff>
      <xdr:row>2</xdr:row>
      <xdr:rowOff>171450</xdr:rowOff>
    </xdr:to>
    <xdr:pic>
      <xdr:nvPicPr>
        <xdr:cNvPr id="175963" name="Grafik 1">
          <a:extLst>
            <a:ext uri="{FF2B5EF4-FFF2-40B4-BE49-F238E27FC236}">
              <a16:creationId xmlns:a16="http://schemas.microsoft.com/office/drawing/2014/main" id="{00000000-0008-0000-0E00-00005BAF02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48575" y="114300"/>
          <a:ext cx="157162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1457325</xdr:colOff>
      <xdr:row>7</xdr:row>
      <xdr:rowOff>9525</xdr:rowOff>
    </xdr:from>
    <xdr:to>
      <xdr:col>2</xdr:col>
      <xdr:colOff>0</xdr:colOff>
      <xdr:row>7</xdr:row>
      <xdr:rowOff>114300</xdr:rowOff>
    </xdr:to>
    <xdr:pic>
      <xdr:nvPicPr>
        <xdr:cNvPr id="175964" name="Grafik 3">
          <a:extLst>
            <a:ext uri="{FF2B5EF4-FFF2-40B4-BE49-F238E27FC236}">
              <a16:creationId xmlns:a16="http://schemas.microsoft.com/office/drawing/2014/main" id="{00000000-0008-0000-0E00-00005CAF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7475" y="11430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L:\06_daten\09_excel-kennzahlenb&#246;gen\14_excel-kb%20auditjahr%202025\organe\brust\eb_bz-M1-1_daten_240910.xlsx" TargetMode="External"/><Relationship Id="rId1" Type="http://schemas.openxmlformats.org/officeDocument/2006/relationships/externalLinkPath" Target="/06_daten/09_excel-kennzahlenb&#246;gen/14_excel-kb%20auditjahr%202025/organe/brust/eb_bz-M1-1_daten_2409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enquelle"/>
      <sheetName val="Basisdaten"/>
      <sheetName val="HilfstabelleSD"/>
      <sheetName val="HilfstabelleB"/>
      <sheetName val="HilfstabelleB2"/>
      <sheetName val="Studien"/>
      <sheetName val="HilfstabelleStudien"/>
      <sheetName val="Operateure"/>
      <sheetName val="Kennzahlenbogen_(KB)"/>
      <sheetName val="Berechnung1"/>
      <sheetName val="HilfstabelleKB"/>
      <sheetName val="Datendefizite_KB"/>
      <sheetName val="Hilfstabelle DatendefKB"/>
      <sheetName val="Matrix"/>
      <sheetName val="HilfstabelleM"/>
      <sheetName val="Berechnung3"/>
      <sheetName val="Berechnung2"/>
      <sheetName val="Datendefizite_Matrix"/>
      <sheetName val="HilfstabelleDM"/>
    </sheetNames>
    <sheetDataSet>
      <sheetData sheetId="0">
        <row r="1">
          <cell r="B1" t="str">
            <v>Eigenentwicklung (MS Excel, MS Access etc.)</v>
          </cell>
        </row>
        <row r="2">
          <cell r="B2" t="str">
            <v>Adjumed</v>
          </cell>
        </row>
        <row r="3">
          <cell r="B3" t="str">
            <v>c37.CancerCenter</v>
          </cell>
        </row>
        <row r="4">
          <cell r="B4" t="str">
            <v>CREDOS</v>
          </cell>
        </row>
        <row r="5">
          <cell r="B5" t="str">
            <v>GTDS</v>
          </cell>
        </row>
        <row r="6">
          <cell r="B6" t="str">
            <v>KIS-Erweiterung</v>
          </cell>
        </row>
        <row r="7">
          <cell r="B7" t="str">
            <v>KR7</v>
          </cell>
        </row>
        <row r="8">
          <cell r="B8" t="str">
            <v>KRAZTUR</v>
          </cell>
        </row>
        <row r="9">
          <cell r="B9" t="str">
            <v>MaDoS</v>
          </cell>
        </row>
        <row r="10">
          <cell r="B10" t="str">
            <v>MADOS 4</v>
          </cell>
        </row>
        <row r="11">
          <cell r="B11" t="str">
            <v>ODSeasy / ODSeasyNet</v>
          </cell>
        </row>
        <row r="12">
          <cell r="B12" t="str">
            <v>OncoAssist Tumordokumentation</v>
          </cell>
        </row>
        <row r="13">
          <cell r="B13" t="str">
            <v>ONDIS</v>
          </cell>
        </row>
        <row r="14">
          <cell r="B14" t="str">
            <v>Onkomedia</v>
          </cell>
        </row>
        <row r="15">
          <cell r="B15" t="str">
            <v>ONKOSTAR</v>
          </cell>
        </row>
        <row r="16">
          <cell r="B16" t="str">
            <v>ORBIS-ODOK</v>
          </cell>
        </row>
        <row r="17">
          <cell r="B17" t="str">
            <v>QuaDoSta</v>
          </cell>
        </row>
        <row r="18">
          <cell r="B18" t="str">
            <v>SMATOS</v>
          </cell>
        </row>
        <row r="19">
          <cell r="B19" t="str">
            <v>Tudok (Tumorzentrum Regensburg)</v>
          </cell>
        </row>
        <row r="20">
          <cell r="B20" t="str">
            <v>Tumordokumentation des Instituts für Krebsepidemiologie</v>
          </cell>
        </row>
        <row r="21">
          <cell r="B21" t="str">
            <v>UCC-TDS (Tumorzentrum Dresden)</v>
          </cell>
        </row>
        <row r="22">
          <cell r="B22" t="str">
            <v>Nicht gelistet</v>
          </cell>
        </row>
        <row r="23">
          <cell r="B23" t="str">
            <v>Unbekannt</v>
          </cell>
        </row>
        <row r="28">
          <cell r="A28" t="str">
            <v>Baden-Württemberg</v>
          </cell>
          <cell r="B28" t="str">
            <v>Bayern</v>
          </cell>
          <cell r="C28" t="str">
            <v>Berlin</v>
          </cell>
          <cell r="D28" t="str">
            <v>Brandenburg</v>
          </cell>
          <cell r="E28" t="str">
            <v>Bremen</v>
          </cell>
          <cell r="F28" t="str">
            <v>Hamburg</v>
          </cell>
          <cell r="G28" t="str">
            <v>Hessen</v>
          </cell>
          <cell r="H28" t="str">
            <v>Mecklenburg-Vorpommern</v>
          </cell>
          <cell r="I28" t="str">
            <v>Niedersachsen</v>
          </cell>
          <cell r="J28" t="str">
            <v>Nordrhein-Westfalen</v>
          </cell>
          <cell r="K28" t="str">
            <v>Rheinland-Pfalz</v>
          </cell>
          <cell r="L28" t="str">
            <v>Saarland</v>
          </cell>
          <cell r="M28" t="str">
            <v>Sachsen</v>
          </cell>
          <cell r="N28" t="str">
            <v>Sachsen-Anhalt</v>
          </cell>
          <cell r="O28" t="str">
            <v>Schleswig-Holstein</v>
          </cell>
          <cell r="P28" t="str">
            <v>Thüringen</v>
          </cell>
          <cell r="Q28" t="str">
            <v>Schweiz</v>
          </cell>
          <cell r="R28" t="str">
            <v>Österreich</v>
          </cell>
          <cell r="S28" t="str">
            <v>Italien</v>
          </cell>
        </row>
        <row r="29">
          <cell r="A29" t="str">
            <v>Comprehensive Cancer Center Freiburg</v>
          </cell>
          <cell r="B29" t="str">
            <v>Bevölkerungsbezogenes Krebsregister Bayern</v>
          </cell>
          <cell r="C29" t="str">
            <v>Charité Comprehensive Cancer Center</v>
          </cell>
          <cell r="D29" t="str">
            <v>Gemeinsames Krebsregister Berlin-Brandenburg</v>
          </cell>
          <cell r="E29" t="str">
            <v>Krebsregister des Landes Bremen</v>
          </cell>
          <cell r="F29" t="str">
            <v>Hamburgisches Krebsregister</v>
          </cell>
          <cell r="G29" t="str">
            <v>Hessisches Krebsregister</v>
          </cell>
          <cell r="H29" t="str">
            <v>Tumorzentrum Neubrandenburg</v>
          </cell>
          <cell r="I29" t="str">
            <v>Epidemiologisches Krebsregister Niedersachsen</v>
          </cell>
          <cell r="J29" t="str">
            <v>Westdeutsches Tumorzentrum Essen</v>
          </cell>
          <cell r="K29" t="str">
            <v>Krebsregister Rheinland-Pfalz</v>
          </cell>
          <cell r="L29" t="str">
            <v>Epidemiologisches Krebsregister Saarland</v>
          </cell>
          <cell r="M29" t="str">
            <v>Tumorzentrum Chemnitz</v>
          </cell>
          <cell r="N29" t="str">
            <v>Tumorzentrum Anhalt</v>
          </cell>
          <cell r="O29" t="str">
            <v>klinisches Krebsregister Schleswig Holstein/Lübeck</v>
          </cell>
          <cell r="P29" t="str">
            <v>Tumorzentrum Altenburg</v>
          </cell>
          <cell r="Q29" t="str">
            <v>Krebsregister Schweiz</v>
          </cell>
          <cell r="R29" t="str">
            <v>Krebsregister Österreich</v>
          </cell>
          <cell r="S29" t="str">
            <v>Krebsregister Italien</v>
          </cell>
        </row>
        <row r="30">
          <cell r="A30" t="str">
            <v>Comprehensive Cancer Center Tübingen</v>
          </cell>
          <cell r="B30" t="str">
            <v>Tumorzentrum Augsburg</v>
          </cell>
          <cell r="C30" t="str">
            <v>Gemeinsames Krebsregister Berlin-Brandenburg</v>
          </cell>
          <cell r="D30" t="str">
            <v>Tumorzentrum Land Brandenburg</v>
          </cell>
          <cell r="E30" t="str">
            <v>Keine Anbindung an Klinisches Krebsregister</v>
          </cell>
          <cell r="F30" t="str">
            <v>Keine Anbindung an Klinisches Krebsregister</v>
          </cell>
          <cell r="G30" t="str">
            <v>Krebsregister Hessen</v>
          </cell>
          <cell r="H30" t="str">
            <v>Tumorzentrum Rostock</v>
          </cell>
          <cell r="I30" t="str">
            <v>Kassenärztliche Vereinigung Niedersachsen</v>
          </cell>
          <cell r="J30" t="str">
            <v>Comprehensive Cancer Center Münster</v>
          </cell>
          <cell r="K30" t="str">
            <v>Tumorzentrum Koblenz</v>
          </cell>
          <cell r="L30" t="str">
            <v>Tumorzentrum Homburg</v>
          </cell>
          <cell r="M30" t="str">
            <v>Tumorzentrum Dresden</v>
          </cell>
          <cell r="N30" t="str">
            <v>Tumorzentrum Halle</v>
          </cell>
          <cell r="O30" t="str">
            <v>Krebsregister Schleswig-Holstein</v>
          </cell>
          <cell r="P30" t="str">
            <v>Tumorzentrum Erfurt</v>
          </cell>
          <cell r="Q30" t="str">
            <v>Nicht gelistet</v>
          </cell>
          <cell r="R30" t="str">
            <v>Nicht gelistet</v>
          </cell>
          <cell r="S30" t="str">
            <v>Nicht gelistet</v>
          </cell>
        </row>
        <row r="31">
          <cell r="A31" t="str">
            <v>Comprehensive Cancer Center Ulm</v>
          </cell>
          <cell r="B31" t="str">
            <v>Tumorzentrum Erlangen-Nürnberg</v>
          </cell>
          <cell r="C31" t="str">
            <v>Tumorzentrum Berlin-Buch</v>
          </cell>
          <cell r="D31" t="str">
            <v>GKR (Gemeinsames Krebsregister der Länder)</v>
          </cell>
          <cell r="E31" t="str">
            <v>Nicht gelistet</v>
          </cell>
          <cell r="F31" t="str">
            <v>Nicht gelistet</v>
          </cell>
          <cell r="G31" t="str">
            <v>Onkologischer Schwerpunkt Wiesbaden</v>
          </cell>
          <cell r="H31" t="str">
            <v>Tumorzentrum Schwerin</v>
          </cell>
          <cell r="I31" t="str">
            <v>Krebsregister Niedersachsen</v>
          </cell>
          <cell r="J31" t="str">
            <v xml:space="preserve">Epidemiologisches Krebsregister Münster </v>
          </cell>
          <cell r="K31" t="str">
            <v>Tumorzentrum Rheinland-Pfalz</v>
          </cell>
          <cell r="L31" t="str">
            <v>Keine Anbindung an Klinisches Krebsregister</v>
          </cell>
          <cell r="M31" t="str">
            <v>Tumorzentrum Leipzig</v>
          </cell>
          <cell r="N31" t="str">
            <v>Tumorzentrum Magdeburg</v>
          </cell>
          <cell r="O31" t="str">
            <v>Tumorzentrum Kiel</v>
          </cell>
          <cell r="P31" t="str">
            <v>Tumorzentrum Gera</v>
          </cell>
        </row>
        <row r="32">
          <cell r="A32" t="str">
            <v>Epidemiologisches Krebsregister Baden-Württemberg</v>
          </cell>
          <cell r="B32" t="str">
            <v>Tumorzentrum München</v>
          </cell>
          <cell r="C32" t="str">
            <v>Tumorzentrum für Klinik &amp; Praxis in Berlin</v>
          </cell>
          <cell r="D32" t="str">
            <v>Keine Anbindung an Klinisches Krebsregister</v>
          </cell>
          <cell r="E32" t="str">
            <v>Unbekannt</v>
          </cell>
          <cell r="F32" t="str">
            <v>Unbekannt</v>
          </cell>
          <cell r="G32" t="str">
            <v>Tumorzentrum Kassel</v>
          </cell>
          <cell r="H32" t="str">
            <v>Tumorzentrum Vorpommern</v>
          </cell>
          <cell r="I32" t="str">
            <v>Tumorzentrum Göttingen</v>
          </cell>
          <cell r="J32" t="str">
            <v>Epidemiologisches Krebsregister NRW</v>
          </cell>
          <cell r="K32" t="str">
            <v>Keine Anbindung an Klinisches Krebsregister</v>
          </cell>
          <cell r="L32" t="str">
            <v>Nicht gelistet</v>
          </cell>
          <cell r="M32" t="str">
            <v>Tumorzentrum Ostsachsen</v>
          </cell>
          <cell r="N32" t="str">
            <v>GKR (Gemeinsames Krebsregister der Länder)</v>
          </cell>
          <cell r="O32" t="str">
            <v>Keine Anbindung an Klinisches Krebsregister</v>
          </cell>
          <cell r="P32" t="str">
            <v>Tumorzentrum Jena</v>
          </cell>
        </row>
        <row r="33">
          <cell r="A33" t="str">
            <v>Krebsregister Baden-Württemberg</v>
          </cell>
          <cell r="B33" t="str">
            <v>Tumorzentrum Oberfranken</v>
          </cell>
          <cell r="C33" t="str">
            <v>Tumorzentrum Spandau</v>
          </cell>
          <cell r="D33" t="str">
            <v>Nicht gelistet</v>
          </cell>
          <cell r="G33" t="str">
            <v>Tumorzentrum Marburg</v>
          </cell>
          <cell r="H33" t="str">
            <v>GKR (Gemeinsames Krebsregister der Länder)</v>
          </cell>
          <cell r="I33" t="str">
            <v>Tumorzentrum Hannover</v>
          </cell>
          <cell r="J33" t="str">
            <v>Krebsregister NRW</v>
          </cell>
          <cell r="K33" t="str">
            <v>Nicht gelistet</v>
          </cell>
          <cell r="L33" t="str">
            <v>Unbekannt</v>
          </cell>
          <cell r="M33" t="str">
            <v>Tumorzentrum Zwickau</v>
          </cell>
          <cell r="N33" t="str">
            <v>Keine Anbindung an Klinisches Krebsregister</v>
          </cell>
          <cell r="O33" t="str">
            <v>Nicht gelistet</v>
          </cell>
          <cell r="P33" t="str">
            <v>Tumorzentrum Suhl</v>
          </cell>
        </row>
        <row r="34">
          <cell r="A34" t="str">
            <v>NCT Heidelberg</v>
          </cell>
          <cell r="B34" t="str">
            <v>Tumorzentrum Regensburg</v>
          </cell>
          <cell r="C34" t="str">
            <v>Tumorzentrum Vivantes</v>
          </cell>
          <cell r="D34" t="str">
            <v>Unbekannt</v>
          </cell>
          <cell r="G34" t="str">
            <v>Keine Anbindung an Klinisches Krebsregister</v>
          </cell>
          <cell r="H34" t="str">
            <v>Keine Anbindung an Klinisches Krebsregister</v>
          </cell>
          <cell r="I34" t="str">
            <v>Tumorzentrum Weser-Ems</v>
          </cell>
          <cell r="J34" t="str">
            <v>Onkologischer Schwerpunkt Hamm</v>
          </cell>
          <cell r="K34" t="str">
            <v>Unbekannt</v>
          </cell>
          <cell r="M34" t="str">
            <v>GKR (Gemeinsames Krebsregister der Länder)</v>
          </cell>
          <cell r="N34" t="str">
            <v>Nicht gelistet</v>
          </cell>
          <cell r="O34" t="str">
            <v>Unbekannt</v>
          </cell>
          <cell r="P34" t="str">
            <v>Tumorzentrum Südharz</v>
          </cell>
        </row>
        <row r="35">
          <cell r="A35" t="str">
            <v>Onkol. Schwerpunkt Lörrach-Rheinfelden</v>
          </cell>
          <cell r="B35" t="str">
            <v>Tumorzentrum Würzburg</v>
          </cell>
          <cell r="C35" t="str">
            <v>GKR (Gemeinsames Krebsregister der Länder)</v>
          </cell>
          <cell r="G35" t="str">
            <v>Nicht gelistet</v>
          </cell>
          <cell r="H35" t="str">
            <v>Nicht gelistet</v>
          </cell>
          <cell r="I35" t="str">
            <v>Keine Anbindung an Klinisches Krebsregister</v>
          </cell>
          <cell r="J35" t="str">
            <v>Keine Anbindung an Klinisches Krebsregister</v>
          </cell>
          <cell r="M35" t="str">
            <v>Keine Anbindung an Klinisches Krebsregister</v>
          </cell>
          <cell r="N35" t="str">
            <v>Unbekannt</v>
          </cell>
          <cell r="P35" t="str">
            <v>GKR (Gemeinsames Krebsregister der Länder)</v>
          </cell>
        </row>
        <row r="36">
          <cell r="A36" t="str">
            <v>Onkol. Schwerpunkt Ludwigsburg-Bietigheim</v>
          </cell>
          <cell r="B36" t="str">
            <v>Keine Anbindung an Klinisches Krebsregister</v>
          </cell>
          <cell r="C36" t="str">
            <v>Keine Anbindung an Klinisches Krebsregister</v>
          </cell>
          <cell r="G36" t="str">
            <v>Unbekannt</v>
          </cell>
          <cell r="H36" t="str">
            <v>Unbekannt</v>
          </cell>
          <cell r="I36" t="str">
            <v>Nicht gelistet</v>
          </cell>
          <cell r="J36" t="str">
            <v>Nicht gelistet</v>
          </cell>
          <cell r="M36" t="str">
            <v>Nicht gelistet</v>
          </cell>
          <cell r="P36" t="str">
            <v>Keine Anbindung an Klinisches Krebsregister</v>
          </cell>
        </row>
        <row r="37">
          <cell r="A37" t="str">
            <v>Onkol. Schwerpunkt Villingen-Schwenningen</v>
          </cell>
          <cell r="B37" t="str">
            <v>Nicht gelistet</v>
          </cell>
          <cell r="C37" t="str">
            <v>Nicht gelistet</v>
          </cell>
          <cell r="I37" t="str">
            <v>Unbekannt</v>
          </cell>
          <cell r="J37" t="str">
            <v>Unbekannt</v>
          </cell>
          <cell r="M37" t="str">
            <v>Unbekannt</v>
          </cell>
          <cell r="P37" t="str">
            <v>Nicht gelistet</v>
          </cell>
        </row>
        <row r="38">
          <cell r="A38" t="str">
            <v>Onkologischer Schwerpunkt Göppingen</v>
          </cell>
          <cell r="B38" t="str">
            <v>Unbekannt</v>
          </cell>
          <cell r="C38" t="str">
            <v>Unbekannt</v>
          </cell>
          <cell r="P38" t="str">
            <v>Unbekannt</v>
          </cell>
        </row>
        <row r="39">
          <cell r="A39" t="str">
            <v>Onkologischer Schwerpunkt Heilbronn</v>
          </cell>
        </row>
        <row r="40">
          <cell r="A40" t="str">
            <v>Onkologischer Schwerpunkt Karlsruhe</v>
          </cell>
        </row>
        <row r="41">
          <cell r="A41" t="str">
            <v>Onkologischer Schwerpunkt Konstanz-Singen</v>
          </cell>
        </row>
        <row r="42">
          <cell r="A42" t="str">
            <v>Onkologischer Schwerpunkt Oberschwaben</v>
          </cell>
        </row>
        <row r="43">
          <cell r="A43" t="str">
            <v>Onkologischer Schwerpunkt Ortenaukreis</v>
          </cell>
        </row>
        <row r="44">
          <cell r="A44" t="str">
            <v>Onkologischer Schwerpunkt Ostwürttemberg</v>
          </cell>
        </row>
        <row r="45">
          <cell r="A45" t="str">
            <v>Onkologischer Schwerpunkt Reutlingen</v>
          </cell>
        </row>
        <row r="46">
          <cell r="A46" t="str">
            <v>Onkologischer Schwerpunkt Stuttgart</v>
          </cell>
        </row>
        <row r="47">
          <cell r="A47" t="str">
            <v>Keine Anbindung an Klinisches Krebsregister</v>
          </cell>
        </row>
        <row r="48">
          <cell r="A48" t="str">
            <v>Nicht gelistet</v>
          </cell>
        </row>
        <row r="49">
          <cell r="A49" t="str">
            <v>Unbekannt</v>
          </cell>
        </row>
        <row r="57">
          <cell r="B57" t="str">
            <v>Keine Daten für Berechnung von Kennzahlen und kein Follow-up/ Matrix</v>
          </cell>
        </row>
        <row r="58">
          <cell r="B58" t="str">
            <v>Keine Daten für Berechnung von Kennzahlen, aber teilweise Follow-up/ Matrix (z.B. nur Vitalstatus)</v>
          </cell>
        </row>
        <row r="59">
          <cell r="B59" t="str">
            <v>Keine Daten für Berechnung von Kennzahlen, aber vollständiges Follow-up/ Matrix</v>
          </cell>
        </row>
        <row r="60">
          <cell r="B60" t="str">
            <v>Daten für Berechnung von Kennzahlen und teilweise Follow-up/ Matrix (z.B. nur Vitalstatus)</v>
          </cell>
        </row>
        <row r="61">
          <cell r="B61" t="str">
            <v>Daten für Berechnung von Kennzahlen und vollständiges Follow-up/ Matrix</v>
          </cell>
        </row>
        <row r="62">
          <cell r="B62" t="str">
            <v>Keine Auswahl zutreffend</v>
          </cell>
        </row>
        <row r="66">
          <cell r="E66" t="str">
            <v/>
          </cell>
        </row>
        <row r="69">
          <cell r="A69" t="str">
            <v>FAB-Z-001-BG</v>
          </cell>
        </row>
        <row r="70">
          <cell r="A70" t="str">
            <v>FAB-Z-002</v>
          </cell>
        </row>
        <row r="71">
          <cell r="A71" t="str">
            <v>FAB-Z-003-BG</v>
          </cell>
        </row>
        <row r="72">
          <cell r="A72" t="str">
            <v>FAB-Z-004-BG</v>
          </cell>
        </row>
        <row r="73">
          <cell r="A73" t="str">
            <v>FAB-Z-005-BG</v>
          </cell>
        </row>
        <row r="74">
          <cell r="A74" t="str">
            <v>FAB-Z-006-BG</v>
          </cell>
        </row>
        <row r="75">
          <cell r="A75" t="str">
            <v>FAB-Z-007-1-BG</v>
          </cell>
        </row>
        <row r="76">
          <cell r="A76" t="str">
            <v>FAB-Z-008-1-BG</v>
          </cell>
        </row>
        <row r="77">
          <cell r="A77" t="str">
            <v>FAB-Z-008-2</v>
          </cell>
        </row>
        <row r="78">
          <cell r="A78" t="str">
            <v>FAB-Z-009-BG</v>
          </cell>
        </row>
        <row r="79">
          <cell r="A79" t="str">
            <v>FAB-Z-010-BG</v>
          </cell>
        </row>
        <row r="80">
          <cell r="A80" t="str">
            <v>FAB-Z-012-1-BG</v>
          </cell>
        </row>
        <row r="81">
          <cell r="A81" t="str">
            <v>FAB-Z-012-2</v>
          </cell>
        </row>
        <row r="82">
          <cell r="A82" t="str">
            <v>FAB-Z-013</v>
          </cell>
        </row>
        <row r="83">
          <cell r="A83" t="str">
            <v>FAB-Z-014-BG</v>
          </cell>
        </row>
        <row r="84">
          <cell r="A84" t="str">
            <v>FAB-Z-015-1-BG</v>
          </cell>
        </row>
        <row r="85">
          <cell r="A85" t="str">
            <v>FAB-Z-015-2</v>
          </cell>
        </row>
        <row r="86">
          <cell r="A86" t="str">
            <v>FAB-Z-016-BG</v>
          </cell>
        </row>
        <row r="87">
          <cell r="A87" t="str">
            <v>FAB-Z-017-BG</v>
          </cell>
        </row>
        <row r="88">
          <cell r="A88" t="str">
            <v>FAB-Z-018-BG</v>
          </cell>
        </row>
        <row r="89">
          <cell r="A89" t="str">
            <v>FAB-Z-020-BG</v>
          </cell>
        </row>
        <row r="90">
          <cell r="A90" t="str">
            <v>FAB-Z-021-BG</v>
          </cell>
        </row>
        <row r="91">
          <cell r="A91" t="str">
            <v>FAB-Z-022</v>
          </cell>
        </row>
        <row r="92">
          <cell r="A92" t="str">
            <v>FAB-Z-023-BG</v>
          </cell>
        </row>
        <row r="93">
          <cell r="A93" t="str">
            <v>FAB-Z-024-BG</v>
          </cell>
        </row>
        <row r="94">
          <cell r="A94" t="str">
            <v>FAB-Z-025</v>
          </cell>
        </row>
        <row r="95">
          <cell r="A95" t="str">
            <v>FAB-Z-026</v>
          </cell>
        </row>
        <row r="96">
          <cell r="A96" t="str">
            <v>FAB-Z-027-BG</v>
          </cell>
        </row>
        <row r="97">
          <cell r="A97" t="str">
            <v>FAB-Z-028-1</v>
          </cell>
        </row>
        <row r="98">
          <cell r="A98" t="str">
            <v>FAB-Z-028-2</v>
          </cell>
        </row>
        <row r="99">
          <cell r="A99" t="str">
            <v>FAB-Z-029-BG</v>
          </cell>
        </row>
        <row r="100">
          <cell r="A100" t="str">
            <v>FAB-Z-030-1</v>
          </cell>
        </row>
        <row r="101">
          <cell r="A101" t="str">
            <v>FAB-Z-030-2</v>
          </cell>
        </row>
        <row r="102">
          <cell r="A102" t="str">
            <v>FAB-Z-031-BG</v>
          </cell>
        </row>
        <row r="103">
          <cell r="A103" t="str">
            <v>FAB-Z-032</v>
          </cell>
        </row>
        <row r="104">
          <cell r="A104" t="str">
            <v>FAB-Z-034</v>
          </cell>
        </row>
        <row r="105">
          <cell r="A105" t="str">
            <v>FAB-Z-035</v>
          </cell>
        </row>
        <row r="106">
          <cell r="A106" t="str">
            <v>FAB-Z-036-BG</v>
          </cell>
        </row>
        <row r="107">
          <cell r="A107" t="str">
            <v>FAB-Z-037</v>
          </cell>
        </row>
        <row r="108">
          <cell r="A108" t="str">
            <v>FAB-Z-038-BG</v>
          </cell>
        </row>
        <row r="109">
          <cell r="A109" t="str">
            <v>FAB-Z-039-1</v>
          </cell>
        </row>
        <row r="110">
          <cell r="A110" t="str">
            <v>FAB-Z-039-2</v>
          </cell>
        </row>
        <row r="111">
          <cell r="A111" t="str">
            <v>FAB-Z-040</v>
          </cell>
        </row>
        <row r="112">
          <cell r="A112" t="str">
            <v>FAB-Z-042-BG</v>
          </cell>
        </row>
        <row r="113">
          <cell r="A113" t="str">
            <v>FAB-Z-043-BG</v>
          </cell>
        </row>
        <row r="114">
          <cell r="A114" t="str">
            <v>FAB-Z-044-BG</v>
          </cell>
        </row>
        <row r="115">
          <cell r="A115" t="str">
            <v>FAB-Z-045-BG</v>
          </cell>
        </row>
        <row r="116">
          <cell r="A116" t="str">
            <v>FAB-Z-046-BG</v>
          </cell>
        </row>
        <row r="117">
          <cell r="A117" t="str">
            <v>FAB-Z-047</v>
          </cell>
        </row>
        <row r="118">
          <cell r="A118" t="str">
            <v>FAB-Z-048-BG</v>
          </cell>
        </row>
        <row r="119">
          <cell r="A119" t="str">
            <v>FAB-Z-049</v>
          </cell>
        </row>
        <row r="120">
          <cell r="A120" t="str">
            <v>FAB-Z-050-BG</v>
          </cell>
        </row>
        <row r="121">
          <cell r="A121" t="str">
            <v>FAB-Z-051</v>
          </cell>
        </row>
        <row r="122">
          <cell r="A122" t="str">
            <v>FAB-Z-052-BG</v>
          </cell>
        </row>
        <row r="123">
          <cell r="A123" t="str">
            <v>FAB-Z-053-BG</v>
          </cell>
        </row>
        <row r="124">
          <cell r="A124" t="str">
            <v>FAB-Z-054</v>
          </cell>
        </row>
        <row r="125">
          <cell r="A125" t="str">
            <v>FAB-Z-056-BG</v>
          </cell>
        </row>
        <row r="126">
          <cell r="A126" t="str">
            <v>FAB-Z-057-BG</v>
          </cell>
        </row>
        <row r="127">
          <cell r="A127" t="str">
            <v>FAB-Z-058</v>
          </cell>
        </row>
        <row r="128">
          <cell r="A128" t="str">
            <v>FAB-Z-059-BG</v>
          </cell>
        </row>
        <row r="129">
          <cell r="A129" t="str">
            <v>FAB-Z-060-1-BG</v>
          </cell>
        </row>
        <row r="130">
          <cell r="A130" t="str">
            <v>FAB-Z-060-2</v>
          </cell>
        </row>
        <row r="131">
          <cell r="A131" t="str">
            <v>FAB-Z-061</v>
          </cell>
        </row>
        <row r="132">
          <cell r="A132" t="str">
            <v>FAB-Z-062-BG</v>
          </cell>
        </row>
        <row r="133">
          <cell r="A133" t="str">
            <v>FAB-Z-063-BG</v>
          </cell>
        </row>
        <row r="134">
          <cell r="A134" t="str">
            <v>FAB-Z-064-1-BG</v>
          </cell>
        </row>
        <row r="135">
          <cell r="A135" t="str">
            <v>FAB-Z-064-2</v>
          </cell>
        </row>
        <row r="136">
          <cell r="A136" t="str">
            <v>FAB-Z-064-3</v>
          </cell>
        </row>
        <row r="137">
          <cell r="A137" t="str">
            <v>FAB-Z-064-4</v>
          </cell>
        </row>
        <row r="138">
          <cell r="A138" t="str">
            <v>FAB-Z-065</v>
          </cell>
        </row>
        <row r="139">
          <cell r="A139" t="str">
            <v>FAB-Z-067-BG</v>
          </cell>
        </row>
        <row r="140">
          <cell r="A140" t="str">
            <v>FAB-Z-069-BG</v>
          </cell>
        </row>
        <row r="141">
          <cell r="A141" t="str">
            <v>FAB-Z-070-BG</v>
          </cell>
        </row>
        <row r="142">
          <cell r="A142" t="str">
            <v>FAB-Z-071-1-BG</v>
          </cell>
        </row>
        <row r="143">
          <cell r="A143" t="str">
            <v>FAB-Z-071-2</v>
          </cell>
        </row>
        <row r="144">
          <cell r="A144" t="str">
            <v>FAB-Z-072</v>
          </cell>
        </row>
        <row r="145">
          <cell r="A145" t="str">
            <v>FAB-Z-074</v>
          </cell>
        </row>
        <row r="146">
          <cell r="A146" t="str">
            <v>FAB-Z-076-BG</v>
          </cell>
        </row>
        <row r="147">
          <cell r="A147" t="str">
            <v>FAB-Z-077-BG</v>
          </cell>
        </row>
        <row r="148">
          <cell r="A148" t="str">
            <v>FAB-Z-078-1-BG</v>
          </cell>
        </row>
        <row r="149">
          <cell r="A149" t="str">
            <v>FAB-Z-078-2</v>
          </cell>
        </row>
        <row r="150">
          <cell r="A150" t="str">
            <v>FAB-Z-079</v>
          </cell>
        </row>
        <row r="151">
          <cell r="A151" t="str">
            <v>FAB-Z-081</v>
          </cell>
        </row>
        <row r="152">
          <cell r="A152" t="str">
            <v>FAB-Z-083-BG</v>
          </cell>
        </row>
        <row r="153">
          <cell r="A153" t="str">
            <v>FAB-Z-084-BG</v>
          </cell>
        </row>
        <row r="154">
          <cell r="A154" t="str">
            <v>FAB-Z-085-BG</v>
          </cell>
        </row>
        <row r="155">
          <cell r="A155" t="str">
            <v>FAB-Z-086</v>
          </cell>
        </row>
        <row r="156">
          <cell r="A156" t="str">
            <v>FAB-Z-087-2</v>
          </cell>
        </row>
        <row r="157">
          <cell r="A157" t="str">
            <v>FAB-Z-087-3</v>
          </cell>
        </row>
        <row r="158">
          <cell r="A158" t="str">
            <v>FAB-Z-087-4</v>
          </cell>
        </row>
        <row r="159">
          <cell r="A159" t="str">
            <v>FAB-Z-088-BG</v>
          </cell>
        </row>
        <row r="160">
          <cell r="A160" t="str">
            <v>FAB-Z-089</v>
          </cell>
        </row>
        <row r="161">
          <cell r="A161" t="str">
            <v>FAB-Z-090</v>
          </cell>
        </row>
        <row r="162">
          <cell r="A162" t="str">
            <v>FAB-Z-091-BG</v>
          </cell>
        </row>
        <row r="163">
          <cell r="A163" t="str">
            <v>FAB-Z-092-BG</v>
          </cell>
        </row>
        <row r="164">
          <cell r="A164" t="str">
            <v>FAB-Z-093</v>
          </cell>
        </row>
        <row r="165">
          <cell r="A165" t="str">
            <v>FAB-Z-094</v>
          </cell>
        </row>
        <row r="166">
          <cell r="A166" t="str">
            <v>FAB-Z-095</v>
          </cell>
        </row>
        <row r="167">
          <cell r="A167" t="str">
            <v>FAB-Z-096-BG</v>
          </cell>
        </row>
        <row r="168">
          <cell r="A168" t="str">
            <v>FAB-Z-097</v>
          </cell>
        </row>
        <row r="169">
          <cell r="A169" t="str">
            <v>FAB-Z-098-BG</v>
          </cell>
        </row>
        <row r="170">
          <cell r="A170" t="str">
            <v>FAB-Z-099-BG</v>
          </cell>
        </row>
        <row r="171">
          <cell r="A171" t="str">
            <v>FAB-Z-100</v>
          </cell>
        </row>
        <row r="172">
          <cell r="A172" t="str">
            <v>FAB-Z-101-BG</v>
          </cell>
        </row>
        <row r="173">
          <cell r="A173" t="str">
            <v>FAB-Z-102-BG</v>
          </cell>
        </row>
        <row r="174">
          <cell r="A174" t="str">
            <v>FAB-Z-103-BG</v>
          </cell>
        </row>
        <row r="175">
          <cell r="A175" t="str">
            <v>FAB-Z-104</v>
          </cell>
        </row>
        <row r="176">
          <cell r="A176" t="str">
            <v>FAB-Z-105-BG</v>
          </cell>
        </row>
        <row r="177">
          <cell r="A177" t="str">
            <v>FAB-Z-106-BG</v>
          </cell>
        </row>
        <row r="178">
          <cell r="A178" t="str">
            <v>FAB-Z-107-BG</v>
          </cell>
        </row>
        <row r="179">
          <cell r="A179" t="str">
            <v>FAB-Z-108</v>
          </cell>
        </row>
        <row r="180">
          <cell r="A180" t="str">
            <v>FAB-Z-109-BG</v>
          </cell>
        </row>
        <row r="181">
          <cell r="A181" t="str">
            <v>FAB-Z-110</v>
          </cell>
        </row>
        <row r="182">
          <cell r="A182" t="str">
            <v>FAB-Z-111-BG</v>
          </cell>
        </row>
        <row r="183">
          <cell r="A183" t="str">
            <v>FAB-Z-112-BG</v>
          </cell>
        </row>
        <row r="184">
          <cell r="A184" t="str">
            <v>FAB-Z-113</v>
          </cell>
        </row>
        <row r="185">
          <cell r="A185" t="str">
            <v>FAB-Z-114-BG</v>
          </cell>
        </row>
        <row r="186">
          <cell r="A186" t="str">
            <v>FAB-Z-115-1</v>
          </cell>
        </row>
        <row r="187">
          <cell r="A187" t="str">
            <v>FAB-Z-115-2</v>
          </cell>
        </row>
        <row r="188">
          <cell r="A188" t="str">
            <v>FAB-Z-116-BG</v>
          </cell>
        </row>
        <row r="189">
          <cell r="A189" t="str">
            <v>FAB-Z-117-BG</v>
          </cell>
        </row>
        <row r="190">
          <cell r="A190" t="str">
            <v>FAB-Z-118-BG</v>
          </cell>
        </row>
        <row r="191">
          <cell r="A191" t="str">
            <v>FAB-Z-119</v>
          </cell>
        </row>
        <row r="192">
          <cell r="A192" t="str">
            <v>FAB-Z-120</v>
          </cell>
        </row>
        <row r="193">
          <cell r="A193" t="str">
            <v>FAB-Z-121-BG</v>
          </cell>
        </row>
        <row r="194">
          <cell r="A194" t="str">
            <v>FAB-Z-122-BG</v>
          </cell>
        </row>
        <row r="195">
          <cell r="A195" t="str">
            <v>FAB-Z-123-BG</v>
          </cell>
        </row>
        <row r="196">
          <cell r="A196" t="str">
            <v>FAB-Z-124</v>
          </cell>
        </row>
        <row r="197">
          <cell r="A197" t="str">
            <v>FAB-Z-125-BG</v>
          </cell>
        </row>
        <row r="198">
          <cell r="A198" t="str">
            <v>FAB-Z-126-1</v>
          </cell>
        </row>
        <row r="199">
          <cell r="A199" t="str">
            <v>FAB-Z-126-2</v>
          </cell>
        </row>
        <row r="200">
          <cell r="A200" t="str">
            <v>FAB-Z-127</v>
          </cell>
        </row>
        <row r="201">
          <cell r="A201" t="str">
            <v>FAB-Z-128-BG</v>
          </cell>
        </row>
        <row r="202">
          <cell r="A202" t="str">
            <v>FAB-Z-129-BG</v>
          </cell>
        </row>
        <row r="203">
          <cell r="A203" t="str">
            <v>FAB-Z-130-BG</v>
          </cell>
        </row>
        <row r="204">
          <cell r="A204" t="str">
            <v>FAB-Z-131</v>
          </cell>
        </row>
        <row r="205">
          <cell r="A205" t="str">
            <v>FAB-Z-132</v>
          </cell>
        </row>
        <row r="206">
          <cell r="A206" t="str">
            <v>FAB-Z-133</v>
          </cell>
        </row>
        <row r="207">
          <cell r="A207" t="str">
            <v>FAB-Z-134-1</v>
          </cell>
        </row>
        <row r="208">
          <cell r="A208" t="str">
            <v>FAB-Z-134-2</v>
          </cell>
        </row>
        <row r="209">
          <cell r="A209" t="str">
            <v>FAB-Z-135</v>
          </cell>
        </row>
        <row r="210">
          <cell r="A210" t="str">
            <v>FAB-Z-136-BG</v>
          </cell>
        </row>
        <row r="211">
          <cell r="A211" t="str">
            <v>FAB-Z-137-1</v>
          </cell>
        </row>
        <row r="212">
          <cell r="A212" t="str">
            <v>FAB-Z-137-2</v>
          </cell>
        </row>
        <row r="213">
          <cell r="A213" t="str">
            <v>FAB-Z-138</v>
          </cell>
        </row>
        <row r="214">
          <cell r="A214" t="str">
            <v>FAB-Z-140-1-BG</v>
          </cell>
        </row>
        <row r="215">
          <cell r="A215" t="str">
            <v>FAB-Z-140-2</v>
          </cell>
        </row>
        <row r="216">
          <cell r="A216" t="str">
            <v>FAB-Z-141-BG</v>
          </cell>
        </row>
        <row r="217">
          <cell r="A217" t="str">
            <v>FAB-Z-142-BG</v>
          </cell>
        </row>
        <row r="218">
          <cell r="A218" t="str">
            <v>FAB-Z-143-BG</v>
          </cell>
        </row>
        <row r="219">
          <cell r="A219" t="str">
            <v>FAB-Z-144-BG</v>
          </cell>
        </row>
        <row r="220">
          <cell r="A220" t="str">
            <v>FAB-Z-145</v>
          </cell>
        </row>
        <row r="221">
          <cell r="A221" t="str">
            <v>FAB-Z-146-BG</v>
          </cell>
        </row>
        <row r="222">
          <cell r="A222" t="str">
            <v>FAB-Z-147-BG</v>
          </cell>
        </row>
        <row r="223">
          <cell r="A223" t="str">
            <v>FAB-Z-148-BG</v>
          </cell>
        </row>
        <row r="224">
          <cell r="A224" t="str">
            <v>FAB-Z-149-BG</v>
          </cell>
        </row>
        <row r="225">
          <cell r="A225" t="str">
            <v>FAB-Z-150-BG</v>
          </cell>
        </row>
        <row r="226">
          <cell r="A226" t="str">
            <v>FAB-Z-151-BG</v>
          </cell>
        </row>
        <row r="227">
          <cell r="A227" t="str">
            <v>FAB-Z-152-BG</v>
          </cell>
        </row>
        <row r="228">
          <cell r="A228" t="str">
            <v>FAB-Z-153-BG</v>
          </cell>
        </row>
        <row r="229">
          <cell r="A229" t="str">
            <v>FAB-Z-157</v>
          </cell>
        </row>
        <row r="230">
          <cell r="A230" t="str">
            <v>FAB-Z-158-BG</v>
          </cell>
        </row>
        <row r="231">
          <cell r="A231" t="str">
            <v>FAB-Z-159-1</v>
          </cell>
        </row>
        <row r="232">
          <cell r="A232" t="str">
            <v>FAB-Z-159-2</v>
          </cell>
        </row>
        <row r="233">
          <cell r="A233" t="str">
            <v>FAB-Z-160</v>
          </cell>
        </row>
        <row r="234">
          <cell r="A234" t="str">
            <v>FAB-Z-161-BG</v>
          </cell>
        </row>
        <row r="235">
          <cell r="A235" t="str">
            <v>FAB-Z-162-BG</v>
          </cell>
        </row>
        <row r="236">
          <cell r="A236" t="str">
            <v>FAB-Z-163-BG</v>
          </cell>
        </row>
        <row r="237">
          <cell r="A237" t="str">
            <v>FAB-Z-164-BG</v>
          </cell>
        </row>
        <row r="238">
          <cell r="A238" t="str">
            <v>FAB-Z-165-BG</v>
          </cell>
        </row>
        <row r="239">
          <cell r="A239" t="str">
            <v>FAB-Z-166-BG</v>
          </cell>
        </row>
        <row r="240">
          <cell r="A240" t="str">
            <v>FAB-Z-167-BG</v>
          </cell>
        </row>
        <row r="241">
          <cell r="A241" t="str">
            <v>FAB-Z-168</v>
          </cell>
        </row>
        <row r="242">
          <cell r="A242" t="str">
            <v>FAB-Z-169</v>
          </cell>
        </row>
        <row r="243">
          <cell r="A243" t="str">
            <v>FAB-Z-170</v>
          </cell>
        </row>
        <row r="244">
          <cell r="A244" t="str">
            <v>FAB-Z-171-BG</v>
          </cell>
        </row>
        <row r="245">
          <cell r="A245" t="str">
            <v>FAB-Z-172-BG</v>
          </cell>
        </row>
        <row r="246">
          <cell r="A246" t="str">
            <v>FAB-Z-174</v>
          </cell>
        </row>
        <row r="247">
          <cell r="A247" t="str">
            <v>FAB-Z-175-BG</v>
          </cell>
        </row>
        <row r="248">
          <cell r="A248" t="str">
            <v>FAB-Z-176-BG</v>
          </cell>
        </row>
        <row r="249">
          <cell r="A249" t="str">
            <v>FAB-Z-177</v>
          </cell>
        </row>
        <row r="250">
          <cell r="A250" t="str">
            <v>FAB-Z-178-BG</v>
          </cell>
        </row>
        <row r="251">
          <cell r="A251" t="str">
            <v>FAB-Z-179</v>
          </cell>
        </row>
        <row r="252">
          <cell r="A252" t="str">
            <v>FAB-Z-180-BG</v>
          </cell>
        </row>
        <row r="253">
          <cell r="A253" t="str">
            <v>FAB-Z-181</v>
          </cell>
        </row>
        <row r="254">
          <cell r="A254" t="str">
            <v>FAB-Z-183</v>
          </cell>
        </row>
        <row r="255">
          <cell r="A255" t="str">
            <v>FAB-Z-184</v>
          </cell>
        </row>
        <row r="256">
          <cell r="A256" t="str">
            <v>FAB-Z-185-BG</v>
          </cell>
        </row>
        <row r="257">
          <cell r="A257" t="str">
            <v>FAB-Z-186</v>
          </cell>
        </row>
        <row r="258">
          <cell r="A258" t="str">
            <v>FAB-Z-187</v>
          </cell>
        </row>
        <row r="259">
          <cell r="A259" t="str">
            <v>FAB-Z-188-BG</v>
          </cell>
        </row>
        <row r="260">
          <cell r="A260" t="str">
            <v>FAB-Z-190-BG</v>
          </cell>
        </row>
        <row r="261">
          <cell r="A261" t="str">
            <v>FAB-Z-191-1</v>
          </cell>
        </row>
        <row r="262">
          <cell r="A262" t="str">
            <v>FAB-Z-191-2</v>
          </cell>
        </row>
        <row r="263">
          <cell r="A263" t="str">
            <v>FAB-Z-192-BG</v>
          </cell>
        </row>
        <row r="264">
          <cell r="A264" t="str">
            <v>FAB-Z-193-BG</v>
          </cell>
        </row>
        <row r="265">
          <cell r="A265" t="str">
            <v>FAB-Z-194-1</v>
          </cell>
        </row>
        <row r="266">
          <cell r="A266" t="str">
            <v>FAB-Z-194-2</v>
          </cell>
        </row>
        <row r="267">
          <cell r="A267" t="str">
            <v>FAB-Z-198</v>
          </cell>
        </row>
        <row r="268">
          <cell r="A268" t="str">
            <v>FAB-Z-200</v>
          </cell>
        </row>
        <row r="269">
          <cell r="A269" t="str">
            <v>FAB-Z-201-BG</v>
          </cell>
        </row>
        <row r="270">
          <cell r="A270" t="str">
            <v>FAB-Z-203-BG</v>
          </cell>
        </row>
        <row r="271">
          <cell r="A271" t="str">
            <v>FAB-Z-204</v>
          </cell>
        </row>
        <row r="272">
          <cell r="A272" t="str">
            <v>FAB-Z-205-1</v>
          </cell>
        </row>
        <row r="273">
          <cell r="A273" t="str">
            <v>FAB-Z-205-2</v>
          </cell>
        </row>
        <row r="274">
          <cell r="A274" t="str">
            <v>FAB-Z-207</v>
          </cell>
        </row>
        <row r="275">
          <cell r="A275" t="str">
            <v>FAB-Z-209</v>
          </cell>
        </row>
        <row r="276">
          <cell r="A276" t="str">
            <v>FAB-Z-210</v>
          </cell>
        </row>
        <row r="277">
          <cell r="A277" t="str">
            <v>FAB-Z-211-BG</v>
          </cell>
        </row>
        <row r="278">
          <cell r="A278" t="str">
            <v>FAB-Z-212-BG</v>
          </cell>
        </row>
        <row r="279">
          <cell r="A279" t="str">
            <v>FAB-Z-213</v>
          </cell>
        </row>
        <row r="280">
          <cell r="A280" t="str">
            <v>FAB-Z-214-BG</v>
          </cell>
        </row>
        <row r="281">
          <cell r="A281" t="str">
            <v>FAB-Z-215</v>
          </cell>
        </row>
        <row r="282">
          <cell r="A282" t="str">
            <v>FAB-Z-218</v>
          </cell>
        </row>
        <row r="283">
          <cell r="A283" t="str">
            <v>FAB-Z-219-BG</v>
          </cell>
        </row>
        <row r="284">
          <cell r="A284" t="str">
            <v>FAB-Z-220</v>
          </cell>
        </row>
        <row r="285">
          <cell r="A285" t="str">
            <v>FAB-Z-222</v>
          </cell>
        </row>
        <row r="286">
          <cell r="A286" t="str">
            <v>FAB-Z-223</v>
          </cell>
        </row>
        <row r="287">
          <cell r="A287" t="str">
            <v>FAB-Z-224-BG</v>
          </cell>
        </row>
        <row r="288">
          <cell r="A288" t="str">
            <v>FAB-Z-225-BG</v>
          </cell>
        </row>
        <row r="289">
          <cell r="A289" t="str">
            <v>FAB-Z-227</v>
          </cell>
        </row>
        <row r="290">
          <cell r="A290" t="str">
            <v>FAB-Z-228</v>
          </cell>
        </row>
        <row r="291">
          <cell r="A291" t="str">
            <v>FAB-Z-229-BG</v>
          </cell>
        </row>
        <row r="292">
          <cell r="A292" t="str">
            <v>FAB-Z-230-BG</v>
          </cell>
        </row>
        <row r="293">
          <cell r="A293" t="str">
            <v>FAB-Z-231-BG</v>
          </cell>
        </row>
        <row r="294">
          <cell r="A294" t="str">
            <v>FAB-Z-233</v>
          </cell>
        </row>
        <row r="295">
          <cell r="A295" t="str">
            <v>FAB-Z-234-BG</v>
          </cell>
        </row>
        <row r="296">
          <cell r="A296" t="str">
            <v>FAB-Z-235</v>
          </cell>
        </row>
        <row r="297">
          <cell r="A297" t="str">
            <v>FAB-Z-236-BG</v>
          </cell>
        </row>
        <row r="298">
          <cell r="A298" t="str">
            <v>FAB-Z-237-BG</v>
          </cell>
        </row>
        <row r="299">
          <cell r="A299" t="str">
            <v>FAB-Z-238-BG</v>
          </cell>
        </row>
        <row r="300">
          <cell r="A300" t="str">
            <v>FAB-Z-239</v>
          </cell>
        </row>
        <row r="301">
          <cell r="A301" t="str">
            <v>FAB-Z-240-BG</v>
          </cell>
        </row>
        <row r="302">
          <cell r="A302" t="str">
            <v>FAB-Z-241-BG</v>
          </cell>
        </row>
        <row r="303">
          <cell r="A303" t="str">
            <v>FAB-Z-243</v>
          </cell>
        </row>
        <row r="304">
          <cell r="A304" t="str">
            <v>FAB-Z-244-BG</v>
          </cell>
        </row>
        <row r="305">
          <cell r="A305" t="str">
            <v>FAB-Z-245</v>
          </cell>
        </row>
        <row r="306">
          <cell r="A306" t="str">
            <v>FAB-Z-246</v>
          </cell>
        </row>
        <row r="307">
          <cell r="A307" t="str">
            <v>FAB-Z-247-BG</v>
          </cell>
        </row>
        <row r="308">
          <cell r="A308" t="str">
            <v>FAB-Z-248-BG</v>
          </cell>
        </row>
        <row r="309">
          <cell r="A309" t="str">
            <v>FAB-Z-249</v>
          </cell>
        </row>
        <row r="310">
          <cell r="A310" t="str">
            <v>FAB-Z-251-BG</v>
          </cell>
        </row>
        <row r="311">
          <cell r="A311" t="str">
            <v>FAB-Z-252</v>
          </cell>
        </row>
        <row r="312">
          <cell r="A312" t="str">
            <v>FAB-Z-253-BG</v>
          </cell>
        </row>
        <row r="313">
          <cell r="A313" t="str">
            <v>FAB-Z-254-1-BG</v>
          </cell>
        </row>
        <row r="314">
          <cell r="A314" t="str">
            <v>FAB-Z-254-2</v>
          </cell>
        </row>
        <row r="315">
          <cell r="A315" t="str">
            <v>FAB-Z-255-BG</v>
          </cell>
        </row>
        <row r="316">
          <cell r="A316" t="str">
            <v>FAB-Z-257-BG</v>
          </cell>
        </row>
        <row r="317">
          <cell r="A317" t="str">
            <v>FAB-Z-258-BG</v>
          </cell>
        </row>
        <row r="318">
          <cell r="A318" t="str">
            <v>FAB-Z-259-BG</v>
          </cell>
        </row>
        <row r="319">
          <cell r="A319" t="str">
            <v>FAB-Z-260-BG</v>
          </cell>
        </row>
        <row r="320">
          <cell r="A320" t="str">
            <v>FAB-Z-261</v>
          </cell>
        </row>
        <row r="321">
          <cell r="A321" t="str">
            <v>FAB-Z-262-BG</v>
          </cell>
        </row>
        <row r="322">
          <cell r="A322" t="str">
            <v>FAB-Z-263</v>
          </cell>
        </row>
        <row r="323">
          <cell r="A323" t="str">
            <v>FAB-Z-265-BG</v>
          </cell>
        </row>
        <row r="324">
          <cell r="A324" t="str">
            <v>FAB-Z-267-BG</v>
          </cell>
        </row>
        <row r="325">
          <cell r="A325" t="str">
            <v>FAB-Z-268</v>
          </cell>
        </row>
        <row r="326">
          <cell r="A326" t="str">
            <v>FAB-Z-269-BG</v>
          </cell>
        </row>
        <row r="327">
          <cell r="A327" t="str">
            <v>FAB-Z-271-BG</v>
          </cell>
        </row>
        <row r="328">
          <cell r="A328" t="str">
            <v>FAB-Z-272</v>
          </cell>
        </row>
        <row r="329">
          <cell r="A329" t="str">
            <v>FAB-Z-273-BG</v>
          </cell>
        </row>
        <row r="330">
          <cell r="A330" t="str">
            <v>FAB-Z-274</v>
          </cell>
        </row>
        <row r="331">
          <cell r="A331" t="str">
            <v>FAB-Z-275</v>
          </cell>
        </row>
        <row r="332">
          <cell r="A332" t="str">
            <v>FAB-Z-277</v>
          </cell>
        </row>
        <row r="333">
          <cell r="A333" t="str">
            <v>FAB-Z-278-1-BG</v>
          </cell>
        </row>
        <row r="334">
          <cell r="A334" t="str">
            <v>FAB-Z-278-2</v>
          </cell>
        </row>
        <row r="335">
          <cell r="A335" t="str">
            <v>FAB-Z-279-BG</v>
          </cell>
        </row>
        <row r="336">
          <cell r="A336" t="str">
            <v>FAB-Z-280-BG</v>
          </cell>
        </row>
        <row r="337">
          <cell r="A337" t="str">
            <v>FAB-Z-282</v>
          </cell>
        </row>
        <row r="338">
          <cell r="A338" t="str">
            <v>FAB-Z-284</v>
          </cell>
        </row>
        <row r="339">
          <cell r="A339" t="str">
            <v>FAB-Z-285</v>
          </cell>
        </row>
        <row r="340">
          <cell r="A340" t="str">
            <v>FAB-Z-286-BG</v>
          </cell>
        </row>
        <row r="341">
          <cell r="A341" t="str">
            <v>FAB-Z-287</v>
          </cell>
        </row>
        <row r="342">
          <cell r="A342" t="str">
            <v>FAB-Z-288-BG</v>
          </cell>
        </row>
        <row r="343">
          <cell r="A343" t="str">
            <v>FAB-Z-289</v>
          </cell>
        </row>
        <row r="344">
          <cell r="A344" t="str">
            <v>FAB-Z-290</v>
          </cell>
        </row>
        <row r="345">
          <cell r="A345" t="str">
            <v>FAB-Z-291</v>
          </cell>
        </row>
        <row r="346">
          <cell r="A346" t="str">
            <v>FAB-Z-292</v>
          </cell>
        </row>
        <row r="347">
          <cell r="A347" t="str">
            <v>FAB-Z-293</v>
          </cell>
        </row>
        <row r="348">
          <cell r="A348" t="str">
            <v>FAB-Z-294-BG</v>
          </cell>
        </row>
        <row r="349">
          <cell r="A349" t="str">
            <v>FAB-Z-296</v>
          </cell>
        </row>
        <row r="350">
          <cell r="A350" t="str">
            <v>FAB-Z-298-1</v>
          </cell>
        </row>
        <row r="351">
          <cell r="A351" t="str">
            <v>FAB-Z-298-2</v>
          </cell>
        </row>
        <row r="352">
          <cell r="A352" t="str">
            <v>FAB-Z-299-BG</v>
          </cell>
        </row>
        <row r="353">
          <cell r="A353" t="str">
            <v>FAB-Z-300-BG</v>
          </cell>
        </row>
        <row r="354">
          <cell r="A354" t="str">
            <v>FAB-Z-301-BG</v>
          </cell>
        </row>
        <row r="355">
          <cell r="A355" t="str">
            <v>FAB-Z-302</v>
          </cell>
        </row>
        <row r="356">
          <cell r="A356" t="str">
            <v>FAB-Z-303</v>
          </cell>
        </row>
        <row r="357">
          <cell r="A357" t="str">
            <v>FAB-Z-304</v>
          </cell>
        </row>
        <row r="358">
          <cell r="A358" t="str">
            <v>FAB-Z-305</v>
          </cell>
        </row>
        <row r="359">
          <cell r="A359" t="str">
            <v>FAB-Z-306</v>
          </cell>
        </row>
        <row r="360">
          <cell r="A360" t="str">
            <v>FAB-Z-307</v>
          </cell>
        </row>
        <row r="361">
          <cell r="A361" t="str">
            <v>FAB-Z-308</v>
          </cell>
        </row>
        <row r="362">
          <cell r="A362" t="str">
            <v>FAB-Z-310</v>
          </cell>
        </row>
        <row r="363">
          <cell r="A363" t="str">
            <v>NRW-Z-001</v>
          </cell>
        </row>
        <row r="364">
          <cell r="A364" t="str">
            <v>NRW-Z-002</v>
          </cell>
        </row>
        <row r="365">
          <cell r="A365" t="str">
            <v>NRW-Z-003</v>
          </cell>
        </row>
        <row r="366">
          <cell r="A366" t="str">
            <v>NRW-Z-004</v>
          </cell>
        </row>
        <row r="367">
          <cell r="A367" t="str">
            <v>NRW-Z-006</v>
          </cell>
        </row>
        <row r="368">
          <cell r="A368" t="str">
            <v>NRW-Z-008</v>
          </cell>
        </row>
        <row r="369">
          <cell r="A369" t="str">
            <v>NRW-Z-009</v>
          </cell>
        </row>
        <row r="370">
          <cell r="A370" t="str">
            <v>NRW-Z-010</v>
          </cell>
        </row>
        <row r="371">
          <cell r="A371" t="str">
            <v>NRW-Z-011-1</v>
          </cell>
        </row>
        <row r="372">
          <cell r="A372" t="str">
            <v>NRW-Z-011-2</v>
          </cell>
        </row>
        <row r="373">
          <cell r="A373" t="str">
            <v>NRW-Z-012</v>
          </cell>
        </row>
        <row r="374">
          <cell r="A374" t="str">
            <v>NRW-Z-013</v>
          </cell>
        </row>
        <row r="375">
          <cell r="A375" t="str">
            <v>NRW-Z-014</v>
          </cell>
        </row>
        <row r="376">
          <cell r="A376" t="str">
            <v>NRW-Z-015</v>
          </cell>
        </row>
        <row r="377">
          <cell r="A377" t="str">
            <v>NRW-Z-018-1</v>
          </cell>
        </row>
        <row r="378">
          <cell r="A378" t="str">
            <v>NRW-Z-018-2</v>
          </cell>
        </row>
        <row r="379">
          <cell r="A379" t="str">
            <v>NRW-Z-019</v>
          </cell>
        </row>
        <row r="380">
          <cell r="A380" t="str">
            <v>NRW-Z-020</v>
          </cell>
        </row>
        <row r="381">
          <cell r="A381" t="str">
            <v>NRW-Z-022</v>
          </cell>
        </row>
        <row r="382">
          <cell r="A382" t="str">
            <v>NRW-Z-023</v>
          </cell>
        </row>
        <row r="383">
          <cell r="A383" t="str">
            <v>NRW-Z-024</v>
          </cell>
        </row>
        <row r="384">
          <cell r="A384" t="str">
            <v>NRW-Z-025</v>
          </cell>
        </row>
        <row r="385">
          <cell r="A385" t="str">
            <v>NRW-Z-026</v>
          </cell>
        </row>
        <row r="386">
          <cell r="A386" t="str">
            <v>NRW-Z-027</v>
          </cell>
        </row>
        <row r="387">
          <cell r="A387" t="str">
            <v>NRW-Z-028</v>
          </cell>
        </row>
        <row r="388">
          <cell r="A388" t="str">
            <v>Nicht gelistet</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7.xml"/><Relationship Id="rId1" Type="http://schemas.openxmlformats.org/officeDocument/2006/relationships/printerSettings" Target="../printerSettings/printerSettings16.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8.bin"/><Relationship Id="rId5" Type="http://schemas.openxmlformats.org/officeDocument/2006/relationships/comments" Target="../comments4.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O101"/>
  <sheetViews>
    <sheetView showGridLines="0" tabSelected="1" showRuler="0" showWhiteSpace="0" zoomScaleNormal="100" zoomScaleSheetLayoutView="91" workbookViewId="0">
      <selection activeCell="C6" sqref="C6:F6"/>
    </sheetView>
  </sheetViews>
  <sheetFormatPr defaultColWidth="11.42578125" defaultRowHeight="14.25" x14ac:dyDescent="0.2"/>
  <cols>
    <col min="1" max="1" width="9.85546875" style="1" customWidth="1"/>
    <col min="2" max="2" width="10.42578125" style="1" customWidth="1"/>
    <col min="3" max="3" width="13.28515625" style="1" customWidth="1"/>
    <col min="4" max="4" width="8.85546875" style="1" customWidth="1"/>
    <col min="5" max="7" width="7.28515625" style="1" customWidth="1"/>
    <col min="8" max="8" width="6.7109375" style="1" customWidth="1"/>
    <col min="9" max="9" width="9.7109375" style="1" customWidth="1"/>
    <col min="10" max="10" width="11.28515625" style="1" customWidth="1"/>
    <col min="11" max="11" width="7.42578125" style="1" customWidth="1"/>
    <col min="12" max="12" width="10.85546875" style="1" customWidth="1"/>
    <col min="13" max="13" width="12.42578125" style="1" customWidth="1"/>
    <col min="14" max="14" width="11.28515625" style="1" customWidth="1"/>
    <col min="15" max="256" width="9.140625" style="1" customWidth="1"/>
    <col min="257" max="16384" width="11.42578125" style="1"/>
  </cols>
  <sheetData>
    <row r="1" spans="1:12" ht="5.25" customHeight="1" x14ac:dyDescent="0.2"/>
    <row r="2" spans="1:12" ht="12.95" customHeight="1" x14ac:dyDescent="0.2">
      <c r="A2" s="9" t="s">
        <v>816</v>
      </c>
      <c r="B2" s="9"/>
    </row>
    <row r="3" spans="1:12" ht="15.75" x14ac:dyDescent="0.2">
      <c r="A3" s="274" t="s">
        <v>396</v>
      </c>
      <c r="B3" s="274"/>
    </row>
    <row r="4" spans="1:12" ht="9.75" customHeight="1" x14ac:dyDescent="0.2"/>
    <row r="5" spans="1:12" ht="30.75" customHeight="1" x14ac:dyDescent="0.2">
      <c r="D5" s="7"/>
      <c r="E5" s="7"/>
      <c r="F5" s="7"/>
      <c r="G5" s="7"/>
      <c r="H5" s="7"/>
      <c r="I5" s="7"/>
      <c r="J5" s="7"/>
      <c r="K5" s="7"/>
      <c r="L5" s="7"/>
    </row>
    <row r="6" spans="1:12" ht="15.95" customHeight="1" x14ac:dyDescent="0.2">
      <c r="A6" s="277" t="s">
        <v>397</v>
      </c>
      <c r="B6" s="277"/>
      <c r="C6" s="504" t="s">
        <v>421</v>
      </c>
      <c r="D6" s="505"/>
      <c r="E6" s="505"/>
      <c r="F6" s="506"/>
      <c r="G6" s="17"/>
      <c r="H6" s="17"/>
      <c r="I6" s="17"/>
      <c r="J6" s="510"/>
      <c r="K6" s="510"/>
      <c r="L6" s="511"/>
    </row>
    <row r="7" spans="1:12" ht="9.9499999999999993" customHeight="1" x14ac:dyDescent="0.2">
      <c r="A7" s="17"/>
      <c r="B7" s="17"/>
      <c r="C7" s="17"/>
      <c r="D7" s="13"/>
      <c r="E7" s="13"/>
      <c r="F7" s="13"/>
      <c r="G7" s="13"/>
      <c r="H7" s="13"/>
      <c r="I7" s="13"/>
      <c r="J7" s="13"/>
      <c r="K7" s="13"/>
      <c r="L7" s="4"/>
    </row>
    <row r="8" spans="1:12" s="2" customFormat="1" ht="15.95" customHeight="1" x14ac:dyDescent="0.2">
      <c r="A8" s="277" t="s">
        <v>398</v>
      </c>
      <c r="B8" s="277"/>
      <c r="C8" s="512" t="str">
        <f>IF($C$6="","",Datenquelle!B42)</f>
        <v>-----</v>
      </c>
      <c r="D8" s="513"/>
      <c r="E8" s="513"/>
      <c r="F8" s="513"/>
      <c r="G8" s="513"/>
      <c r="H8" s="513"/>
      <c r="I8" s="513"/>
      <c r="J8" s="513"/>
      <c r="K8" s="513"/>
      <c r="L8" s="514"/>
    </row>
    <row r="9" spans="1:12" s="2" customFormat="1" ht="9.9499999999999993" customHeight="1" x14ac:dyDescent="0.2">
      <c r="A9" s="13"/>
      <c r="B9" s="13"/>
      <c r="C9" s="13"/>
      <c r="D9" s="13"/>
      <c r="E9" s="13"/>
      <c r="F9" s="13"/>
      <c r="G9" s="13"/>
      <c r="H9" s="13"/>
      <c r="I9" s="17"/>
      <c r="J9" s="17"/>
      <c r="K9" s="17"/>
      <c r="L9" s="17"/>
    </row>
    <row r="10" spans="1:12" s="2" customFormat="1" ht="15.95" customHeight="1" x14ac:dyDescent="0.2">
      <c r="A10" s="277" t="s">
        <v>399</v>
      </c>
      <c r="B10" s="277"/>
      <c r="C10" s="512" t="str">
        <f>IF($C$6="","",Datenquelle!C42)</f>
        <v>-----</v>
      </c>
      <c r="D10" s="513"/>
      <c r="E10" s="513"/>
      <c r="F10" s="513"/>
      <c r="G10" s="513"/>
      <c r="H10" s="513"/>
      <c r="I10" s="513"/>
      <c r="J10" s="513"/>
      <c r="K10" s="513"/>
      <c r="L10" s="514"/>
    </row>
    <row r="11" spans="1:12" s="2" customFormat="1" ht="9.9499999999999993" customHeight="1" x14ac:dyDescent="0.2">
      <c r="B11" s="13"/>
      <c r="C11" s="13"/>
      <c r="D11" s="13"/>
      <c r="E11" s="13"/>
      <c r="F11" s="13"/>
      <c r="G11" s="13"/>
      <c r="H11" s="13"/>
      <c r="I11" s="17"/>
      <c r="J11" s="17"/>
      <c r="K11" s="17"/>
      <c r="L11" s="17"/>
    </row>
    <row r="12" spans="1:12" s="2" customFormat="1" ht="15.95" customHeight="1" x14ac:dyDescent="0.2">
      <c r="A12" s="507" t="s">
        <v>769</v>
      </c>
      <c r="B12" s="507"/>
      <c r="C12" s="521"/>
      <c r="D12" s="522"/>
      <c r="E12" s="522"/>
      <c r="F12" s="523"/>
      <c r="G12" s="17"/>
      <c r="H12" s="277" t="s">
        <v>401</v>
      </c>
      <c r="I12" s="17"/>
      <c r="K12" s="517"/>
      <c r="L12" s="518"/>
    </row>
    <row r="13" spans="1:12" ht="9.9499999999999993" customHeight="1" x14ac:dyDescent="0.2">
      <c r="A13" s="507"/>
      <c r="B13" s="507"/>
      <c r="C13" s="17"/>
      <c r="D13" s="13"/>
      <c r="E13" s="13"/>
      <c r="F13" s="13"/>
      <c r="G13" s="13"/>
      <c r="H13" s="13"/>
      <c r="I13" s="17"/>
      <c r="K13" s="17"/>
      <c r="L13" s="17"/>
    </row>
    <row r="14" spans="1:12" s="2" customFormat="1" ht="15.95" customHeight="1" x14ac:dyDescent="0.2">
      <c r="A14" s="507" t="s">
        <v>770</v>
      </c>
      <c r="B14" s="507"/>
      <c r="C14" s="521"/>
      <c r="D14" s="522"/>
      <c r="E14" s="522"/>
      <c r="F14" s="523"/>
      <c r="G14" s="13"/>
      <c r="H14" s="277" t="s">
        <v>402</v>
      </c>
      <c r="I14" s="17"/>
      <c r="K14" s="519" t="str">
        <f>IF($C$6="","",Datenquelle!F42)</f>
        <v>-----</v>
      </c>
      <c r="L14" s="520"/>
    </row>
    <row r="15" spans="1:12" ht="9.9499999999999993" customHeight="1" x14ac:dyDescent="0.2">
      <c r="A15" s="507"/>
      <c r="B15" s="507"/>
      <c r="C15" s="17"/>
      <c r="D15" s="13"/>
      <c r="E15" s="13"/>
      <c r="F15" s="13"/>
      <c r="G15" s="13"/>
      <c r="H15" s="13"/>
      <c r="I15" s="13"/>
      <c r="K15" s="13"/>
      <c r="L15" s="4"/>
    </row>
    <row r="16" spans="1:12" s="2" customFormat="1" ht="15.95" customHeight="1" x14ac:dyDescent="0.2">
      <c r="A16" s="419" t="s">
        <v>400</v>
      </c>
      <c r="B16" s="277"/>
      <c r="C16" s="504"/>
      <c r="D16" s="505"/>
      <c r="E16" s="505"/>
      <c r="F16" s="506"/>
      <c r="G16" s="17"/>
      <c r="H16" s="9" t="s">
        <v>403</v>
      </c>
      <c r="I16" s="17"/>
      <c r="K16" s="515">
        <v>2025</v>
      </c>
      <c r="L16" s="516"/>
    </row>
    <row r="17" spans="1:15" s="2" customFormat="1" ht="4.5" customHeight="1" x14ac:dyDescent="0.2">
      <c r="A17" s="277"/>
      <c r="B17" s="277"/>
      <c r="C17" s="17"/>
      <c r="D17" s="17"/>
      <c r="E17" s="17"/>
      <c r="F17" s="17"/>
      <c r="G17" s="17"/>
      <c r="H17" s="9"/>
      <c r="I17" s="17"/>
      <c r="J17" s="278"/>
      <c r="K17" s="278"/>
      <c r="L17" s="17"/>
    </row>
    <row r="18" spans="1:15" s="2" customFormat="1" ht="11.25" customHeight="1" x14ac:dyDescent="0.2">
      <c r="G18" s="17"/>
      <c r="H18" s="279"/>
      <c r="I18" s="279"/>
      <c r="J18" s="279"/>
      <c r="K18" s="279"/>
      <c r="L18" s="279"/>
    </row>
    <row r="19" spans="1:15" s="2" customFormat="1" ht="13.5" customHeight="1" x14ac:dyDescent="0.2">
      <c r="G19" s="17"/>
      <c r="H19" s="279"/>
      <c r="I19" s="279"/>
      <c r="J19" s="279"/>
      <c r="K19" s="279"/>
      <c r="L19" s="279"/>
    </row>
    <row r="20" spans="1:15" s="2" customFormat="1" ht="4.5" customHeight="1" x14ac:dyDescent="0.2">
      <c r="A20" s="13"/>
      <c r="B20" s="13"/>
      <c r="C20" s="13"/>
      <c r="D20" s="13"/>
      <c r="E20" s="17"/>
      <c r="F20" s="17"/>
      <c r="G20" s="17"/>
      <c r="H20" s="13"/>
      <c r="I20" s="13"/>
      <c r="J20" s="17"/>
      <c r="K20" s="17"/>
      <c r="L20" s="17"/>
    </row>
    <row r="21" spans="1:15" s="2" customFormat="1" ht="15.95" customHeight="1" x14ac:dyDescent="0.2">
      <c r="A21" s="524" t="s">
        <v>404</v>
      </c>
      <c r="B21" s="525"/>
      <c r="C21" s="525"/>
      <c r="D21" s="525"/>
      <c r="E21" s="525"/>
      <c r="F21" s="526"/>
    </row>
    <row r="22" spans="1:15" s="2" customFormat="1" ht="15.95" customHeight="1" x14ac:dyDescent="0.2">
      <c r="A22" s="533"/>
      <c r="B22" s="534"/>
      <c r="C22" s="534"/>
      <c r="D22" s="534"/>
      <c r="E22" s="534"/>
      <c r="F22" s="535"/>
    </row>
    <row r="23" spans="1:15" s="2" customFormat="1" ht="9.9499999999999993" customHeight="1" x14ac:dyDescent="0.2">
      <c r="A23" s="13"/>
      <c r="B23" s="13"/>
      <c r="C23" s="13"/>
      <c r="D23" s="13"/>
      <c r="E23" s="17"/>
      <c r="F23" s="17"/>
      <c r="G23" s="13"/>
      <c r="I23" s="13"/>
      <c r="J23" s="17"/>
      <c r="K23" s="17"/>
      <c r="L23" s="17"/>
    </row>
    <row r="24" spans="1:15" s="2" customFormat="1" ht="15.95" customHeight="1" x14ac:dyDescent="0.2">
      <c r="A24" s="524" t="s">
        <v>405</v>
      </c>
      <c r="B24" s="525"/>
      <c r="C24" s="525"/>
      <c r="D24" s="525"/>
      <c r="E24" s="525"/>
      <c r="F24" s="526"/>
      <c r="G24" s="532" t="s">
        <v>406</v>
      </c>
      <c r="H24" s="532"/>
      <c r="I24" s="532"/>
      <c r="J24" s="532"/>
      <c r="K24" s="532"/>
      <c r="L24" s="532"/>
      <c r="O24" s="280"/>
    </row>
    <row r="25" spans="1:15" s="2" customFormat="1" ht="15.95" customHeight="1" x14ac:dyDescent="0.2">
      <c r="A25" s="533"/>
      <c r="B25" s="534"/>
      <c r="C25" s="534"/>
      <c r="D25" s="534"/>
      <c r="E25" s="534"/>
      <c r="F25" s="535"/>
      <c r="G25" s="532" t="s">
        <v>771</v>
      </c>
      <c r="H25" s="532"/>
      <c r="I25" s="532"/>
      <c r="J25" s="532"/>
      <c r="K25" s="532"/>
      <c r="L25" s="532"/>
    </row>
    <row r="26" spans="1:15" s="2" customFormat="1" ht="34.5" customHeight="1" x14ac:dyDescent="0.2">
      <c r="A26" s="389"/>
      <c r="B26" s="389"/>
      <c r="C26" s="389"/>
      <c r="D26" s="389"/>
      <c r="E26" s="389"/>
      <c r="F26" s="389"/>
      <c r="G26" s="542"/>
      <c r="H26" s="542"/>
      <c r="I26" s="542"/>
      <c r="J26" s="542"/>
      <c r="K26" s="542"/>
      <c r="L26" s="542"/>
    </row>
    <row r="27" spans="1:15" s="2" customFormat="1" ht="31.5" customHeight="1" x14ac:dyDescent="0.2">
      <c r="A27" s="539" t="s">
        <v>708</v>
      </c>
      <c r="B27" s="540"/>
      <c r="C27" s="541"/>
      <c r="D27" s="536" t="s">
        <v>695</v>
      </c>
      <c r="E27" s="537"/>
      <c r="F27" s="537"/>
      <c r="G27" s="537"/>
      <c r="H27" s="537"/>
      <c r="I27" s="537"/>
      <c r="J27" s="537"/>
      <c r="K27" s="538"/>
      <c r="L27" s="527" t="s">
        <v>825</v>
      </c>
    </row>
    <row r="28" spans="1:15" s="2" customFormat="1" ht="9.75" customHeight="1" x14ac:dyDescent="0.2">
      <c r="A28" s="577" t="s">
        <v>781</v>
      </c>
      <c r="B28" s="578"/>
      <c r="C28" s="579"/>
      <c r="D28" s="368" t="s">
        <v>783</v>
      </c>
      <c r="E28" s="369" t="s">
        <v>144</v>
      </c>
      <c r="F28" s="370" t="s">
        <v>145</v>
      </c>
      <c r="G28" s="370" t="s">
        <v>146</v>
      </c>
      <c r="H28" s="371" t="s">
        <v>147</v>
      </c>
      <c r="I28" s="372" t="s">
        <v>30</v>
      </c>
      <c r="J28" s="373" t="s">
        <v>31</v>
      </c>
      <c r="K28" s="530" t="s">
        <v>407</v>
      </c>
      <c r="L28" s="528"/>
    </row>
    <row r="29" spans="1:15" s="2" customFormat="1" ht="36" customHeight="1" x14ac:dyDescent="0.2">
      <c r="A29" s="580"/>
      <c r="B29" s="581"/>
      <c r="C29" s="582"/>
      <c r="D29" s="374" t="s">
        <v>784</v>
      </c>
      <c r="E29" s="375" t="s">
        <v>32</v>
      </c>
      <c r="F29" s="376" t="s">
        <v>33</v>
      </c>
      <c r="G29" s="376" t="s">
        <v>33</v>
      </c>
      <c r="H29" s="376" t="s">
        <v>33</v>
      </c>
      <c r="I29" s="377" t="s">
        <v>750</v>
      </c>
      <c r="J29" s="378" t="s">
        <v>751</v>
      </c>
      <c r="K29" s="531"/>
      <c r="L29" s="529"/>
    </row>
    <row r="30" spans="1:15" s="2" customFormat="1" ht="15.95" customHeight="1" x14ac:dyDescent="0.2">
      <c r="A30" s="575" t="s">
        <v>696</v>
      </c>
      <c r="B30" s="575"/>
      <c r="C30" s="576"/>
      <c r="D30" s="413"/>
      <c r="E30" s="413"/>
      <c r="F30" s="413"/>
      <c r="G30" s="413"/>
      <c r="H30" s="413"/>
      <c r="I30" s="413"/>
      <c r="J30" s="413"/>
      <c r="K30" s="414"/>
      <c r="L30" s="281" t="str">
        <f>IF(AND(D30="",E30="",F30="",G30="",H30="",I30="",J30="",K30=""),"",SUM(D30:K30))</f>
        <v/>
      </c>
    </row>
    <row r="31" spans="1:15" s="2" customFormat="1" ht="51.75" customHeight="1" x14ac:dyDescent="0.2">
      <c r="A31" s="508" t="s">
        <v>782</v>
      </c>
      <c r="B31" s="508"/>
      <c r="C31" s="509"/>
      <c r="D31" s="413"/>
      <c r="E31" s="413"/>
      <c r="F31" s="413"/>
      <c r="G31" s="413"/>
      <c r="H31" s="413"/>
      <c r="I31" s="413"/>
      <c r="J31" s="413"/>
      <c r="K31" s="414"/>
      <c r="L31" s="51" t="str">
        <f>IF(AND(D31="",E31="",F31="",G31="",H31="",I31="",J31="",K31=""),"",SUM(D31:K31))</f>
        <v/>
      </c>
    </row>
    <row r="32" spans="1:15" s="2" customFormat="1" ht="12" customHeight="1" x14ac:dyDescent="0.2">
      <c r="A32" s="417"/>
      <c r="B32" s="418"/>
      <c r="C32" s="47"/>
      <c r="D32" s="47"/>
      <c r="E32" s="47"/>
      <c r="F32" s="47"/>
      <c r="G32" s="47"/>
      <c r="H32" s="47"/>
      <c r="I32" s="47"/>
      <c r="J32" s="47"/>
      <c r="K32" s="47"/>
      <c r="L32" s="63"/>
    </row>
    <row r="33" spans="1:13" s="2" customFormat="1" ht="15.95" customHeight="1" x14ac:dyDescent="0.2">
      <c r="A33" s="587" t="s">
        <v>785</v>
      </c>
      <c r="B33" s="588"/>
      <c r="C33" s="589"/>
      <c r="D33" s="25" t="str">
        <f t="shared" ref="D33:K33" si="0">IF(AND(D34="",D35=""),"",SUM(D34:D35))</f>
        <v/>
      </c>
      <c r="E33" s="25" t="str">
        <f t="shared" si="0"/>
        <v/>
      </c>
      <c r="F33" s="25" t="str">
        <f t="shared" si="0"/>
        <v/>
      </c>
      <c r="G33" s="25" t="str">
        <f t="shared" si="0"/>
        <v/>
      </c>
      <c r="H33" s="25" t="str">
        <f t="shared" si="0"/>
        <v/>
      </c>
      <c r="I33" s="25" t="str">
        <f t="shared" si="0"/>
        <v/>
      </c>
      <c r="J33" s="25" t="str">
        <f t="shared" si="0"/>
        <v/>
      </c>
      <c r="K33" s="25" t="str">
        <f t="shared" si="0"/>
        <v/>
      </c>
      <c r="L33" s="281" t="str">
        <f>IF(AND(D33="",E33="",F33="",G33="",H33="",I33="",J33="",K33=""),"",SUM(D33:K33))</f>
        <v/>
      </c>
    </row>
    <row r="34" spans="1:13" s="2" customFormat="1" ht="15.95" customHeight="1" x14ac:dyDescent="0.2">
      <c r="A34" s="508" t="s">
        <v>409</v>
      </c>
      <c r="B34" s="508"/>
      <c r="C34" s="509"/>
      <c r="D34" s="413"/>
      <c r="E34" s="413"/>
      <c r="F34" s="413"/>
      <c r="G34" s="413"/>
      <c r="H34" s="413"/>
      <c r="I34" s="413"/>
      <c r="J34" s="413"/>
      <c r="K34" s="414"/>
      <c r="L34" s="281" t="str">
        <f>IF(AND(D34="",E34="",F34="",G34="",H34="",I34="",J34="",K34=""),"",SUM(D34:K34))</f>
        <v/>
      </c>
    </row>
    <row r="35" spans="1:13" s="2" customFormat="1" ht="15.95" customHeight="1" x14ac:dyDescent="0.2">
      <c r="A35" s="508" t="s">
        <v>410</v>
      </c>
      <c r="B35" s="508"/>
      <c r="C35" s="509"/>
      <c r="D35" s="413"/>
      <c r="E35" s="413"/>
      <c r="F35" s="413"/>
      <c r="G35" s="413"/>
      <c r="H35" s="413"/>
      <c r="I35" s="413"/>
      <c r="J35" s="413"/>
      <c r="K35" s="414"/>
      <c r="L35" s="281" t="str">
        <f>IF(AND(D35="",E35="",F35="",G35="",H35="",I35="",J35="",K35=""),"",SUM(D35:K35))</f>
        <v/>
      </c>
    </row>
    <row r="36" spans="1:13" s="2" customFormat="1" ht="51" customHeight="1" x14ac:dyDescent="0.2">
      <c r="A36" s="583" t="s">
        <v>748</v>
      </c>
      <c r="B36" s="584"/>
      <c r="C36" s="585"/>
      <c r="D36" s="415"/>
      <c r="E36" s="415"/>
      <c r="F36" s="415"/>
      <c r="G36" s="415"/>
      <c r="H36" s="415"/>
      <c r="I36" s="415"/>
      <c r="J36" s="415"/>
      <c r="K36" s="415"/>
      <c r="L36" s="281" t="str">
        <f>IF(AND(D36="",E36="",F36="",G36="",H36="",I36="",J36="",K36=""),"",SUM(D36:K36))</f>
        <v/>
      </c>
    </row>
    <row r="37" spans="1:13" s="2" customFormat="1" ht="12" customHeight="1" x14ac:dyDescent="0.2">
      <c r="A37" s="586"/>
      <c r="B37" s="586"/>
      <c r="C37" s="586"/>
      <c r="D37" s="282"/>
      <c r="E37" s="282"/>
      <c r="F37" s="282"/>
      <c r="G37" s="282"/>
      <c r="H37" s="282"/>
      <c r="I37" s="282"/>
      <c r="J37" s="282"/>
      <c r="K37" s="282"/>
      <c r="L37" s="282"/>
    </row>
    <row r="38" spans="1:13" s="2" customFormat="1" ht="24.75" customHeight="1" x14ac:dyDescent="0.2">
      <c r="A38" s="556" t="s">
        <v>709</v>
      </c>
      <c r="B38" s="556"/>
      <c r="C38" s="556"/>
      <c r="D38" s="557" t="s">
        <v>411</v>
      </c>
      <c r="E38" s="558"/>
      <c r="F38" s="558"/>
      <c r="G38" s="559"/>
      <c r="H38" s="557" t="s">
        <v>412</v>
      </c>
      <c r="I38" s="558"/>
      <c r="J38" s="558"/>
      <c r="K38" s="559"/>
      <c r="L38" s="379" t="s">
        <v>413</v>
      </c>
      <c r="M38" s="275"/>
    </row>
    <row r="39" spans="1:13" s="2" customFormat="1" ht="15.95" customHeight="1" x14ac:dyDescent="0.2">
      <c r="A39" s="553" t="s">
        <v>414</v>
      </c>
      <c r="B39" s="554"/>
      <c r="C39" s="554"/>
      <c r="D39" s="560"/>
      <c r="E39" s="561"/>
      <c r="F39" s="561"/>
      <c r="G39" s="562"/>
      <c r="H39" s="560"/>
      <c r="I39" s="561"/>
      <c r="J39" s="561"/>
      <c r="K39" s="562"/>
      <c r="L39" s="120" t="str">
        <f>IF(AND(D39="",H39=""),"",SUM(D39:K39))</f>
        <v/>
      </c>
    </row>
    <row r="40" spans="1:13" s="2" customFormat="1" ht="15.95" customHeight="1" x14ac:dyDescent="0.2">
      <c r="A40" s="555" t="s">
        <v>826</v>
      </c>
      <c r="B40" s="555"/>
      <c r="C40" s="555"/>
      <c r="D40" s="560"/>
      <c r="E40" s="561"/>
      <c r="F40" s="561"/>
      <c r="G40" s="562"/>
      <c r="H40" s="560"/>
      <c r="I40" s="561"/>
      <c r="J40" s="561"/>
      <c r="K40" s="562"/>
      <c r="L40" s="120" t="str">
        <f>IF(AND(D40="",H40=""),"",D40*2+H40*2)</f>
        <v/>
      </c>
    </row>
    <row r="41" spans="1:13" s="2" customFormat="1" ht="15.95" customHeight="1" x14ac:dyDescent="0.2">
      <c r="A41" s="550"/>
      <c r="B41" s="551"/>
      <c r="C41" s="552"/>
      <c r="D41" s="80"/>
      <c r="E41" s="283"/>
      <c r="F41" s="283"/>
      <c r="G41" s="283"/>
      <c r="H41" s="283"/>
      <c r="I41" s="283"/>
      <c r="J41" s="283"/>
      <c r="K41" s="283"/>
      <c r="L41" s="284" t="str">
        <f>IF(AND(L39="",L40=""),"",SUM(L39:L40))</f>
        <v/>
      </c>
    </row>
    <row r="42" spans="1:13" s="2" customFormat="1" ht="15.95" customHeight="1" x14ac:dyDescent="0.2">
      <c r="A42" s="563" t="s">
        <v>415</v>
      </c>
      <c r="B42" s="563"/>
      <c r="C42" s="563"/>
      <c r="D42" s="567" t="str">
        <f>IF(AND(D39="",D40=""),"",SUM(D39:G40))</f>
        <v/>
      </c>
      <c r="E42" s="568"/>
      <c r="F42" s="568"/>
      <c r="G42" s="569"/>
      <c r="H42" s="567" t="str">
        <f>IF(AND(H39="",H40=""),"",SUM(H39:K40))</f>
        <v/>
      </c>
      <c r="I42" s="568"/>
      <c r="J42" s="568"/>
      <c r="K42" s="569"/>
      <c r="L42" s="285"/>
    </row>
    <row r="43" spans="1:13" s="2" customFormat="1" ht="15.75" customHeight="1" x14ac:dyDescent="0.2">
      <c r="A43" s="286"/>
      <c r="B43" s="286"/>
      <c r="C43" s="286"/>
      <c r="D43" s="287"/>
      <c r="E43" s="287"/>
      <c r="F43" s="287"/>
      <c r="G43" s="287"/>
      <c r="H43" s="287"/>
      <c r="I43" s="287"/>
      <c r="J43" s="287"/>
      <c r="K43" s="287"/>
      <c r="L43" s="288"/>
    </row>
    <row r="44" spans="1:13" s="2" customFormat="1" ht="24.95" customHeight="1" x14ac:dyDescent="0.2">
      <c r="A44" s="572" t="s">
        <v>827</v>
      </c>
      <c r="B44" s="563"/>
      <c r="C44" s="563"/>
      <c r="D44" s="563"/>
      <c r="E44" s="563"/>
      <c r="F44" s="563"/>
      <c r="G44" s="563"/>
      <c r="H44" s="563"/>
      <c r="I44" s="563"/>
      <c r="J44" s="570"/>
      <c r="K44" s="571"/>
      <c r="L44" s="288"/>
    </row>
    <row r="45" spans="1:13" s="2" customFormat="1" ht="12" customHeight="1" x14ac:dyDescent="0.2">
      <c r="A45" s="286"/>
      <c r="B45" s="286"/>
      <c r="C45" s="286"/>
      <c r="D45" s="287"/>
      <c r="E45" s="287"/>
      <c r="F45" s="287"/>
      <c r="G45" s="287"/>
      <c r="H45" s="287"/>
      <c r="I45" s="287"/>
      <c r="J45" s="287"/>
      <c r="K45" s="287"/>
      <c r="L45" s="288"/>
    </row>
    <row r="46" spans="1:13" s="2" customFormat="1" ht="24.95" customHeight="1" x14ac:dyDescent="0.2">
      <c r="A46" s="563" t="s">
        <v>828</v>
      </c>
      <c r="B46" s="563"/>
      <c r="C46" s="563"/>
      <c r="D46" s="563"/>
      <c r="E46" s="563"/>
      <c r="F46" s="563"/>
      <c r="G46" s="563"/>
      <c r="H46" s="563"/>
      <c r="I46" s="563"/>
      <c r="J46" s="573" t="str">
        <f>IF(AND(L30="",J44=""),"",SUM(L30,J44))</f>
        <v/>
      </c>
      <c r="K46" s="574"/>
      <c r="L46" s="288"/>
    </row>
    <row r="47" spans="1:13" s="2" customFormat="1" ht="12" customHeight="1" x14ac:dyDescent="0.2">
      <c r="A47" s="482"/>
      <c r="B47" s="482"/>
      <c r="C47" s="482"/>
      <c r="D47" s="482"/>
      <c r="E47" s="482"/>
      <c r="F47" s="482"/>
      <c r="G47" s="482"/>
      <c r="H47" s="482"/>
      <c r="I47" s="482"/>
      <c r="J47" s="287"/>
      <c r="K47" s="287"/>
      <c r="L47" s="288"/>
    </row>
    <row r="48" spans="1:13" s="2" customFormat="1" ht="58.5" customHeight="1" x14ac:dyDescent="0.2">
      <c r="A48" s="566" t="s">
        <v>830</v>
      </c>
      <c r="B48" s="566"/>
      <c r="C48" s="566"/>
      <c r="D48" s="566"/>
      <c r="E48" s="566"/>
      <c r="F48" s="566"/>
      <c r="G48" s="566"/>
      <c r="H48" s="566"/>
      <c r="I48" s="566"/>
      <c r="J48" s="566"/>
      <c r="K48" s="566"/>
      <c r="L48" s="566"/>
    </row>
    <row r="49" spans="1:15" s="2" customFormat="1" ht="18.75" customHeight="1" x14ac:dyDescent="0.2">
      <c r="A49" s="545" t="s">
        <v>416</v>
      </c>
      <c r="B49" s="545"/>
      <c r="C49" s="545"/>
      <c r="D49" s="545"/>
      <c r="E49" s="545"/>
      <c r="F49" s="545"/>
      <c r="G49" s="545"/>
      <c r="H49" s="545"/>
      <c r="I49" s="545"/>
      <c r="J49" s="545"/>
      <c r="K49" s="545"/>
      <c r="L49" s="545"/>
      <c r="O49" s="2" t="s">
        <v>34</v>
      </c>
    </row>
    <row r="50" spans="1:15" s="2" customFormat="1" ht="46.5" customHeight="1" x14ac:dyDescent="0.2">
      <c r="A50" s="546" t="s">
        <v>734</v>
      </c>
      <c r="B50" s="547"/>
      <c r="C50" s="547"/>
      <c r="D50" s="547"/>
      <c r="E50" s="547"/>
      <c r="F50" s="547"/>
      <c r="G50" s="547"/>
      <c r="H50" s="547"/>
      <c r="I50" s="547"/>
      <c r="J50" s="547"/>
      <c r="K50" s="547"/>
      <c r="L50" s="547"/>
    </row>
    <row r="51" spans="1:15" s="2" customFormat="1" ht="23.25" customHeight="1" x14ac:dyDescent="0.2">
      <c r="A51" s="564" t="s">
        <v>752</v>
      </c>
      <c r="B51" s="564"/>
      <c r="C51" s="565"/>
      <c r="D51" s="565"/>
      <c r="E51" s="565"/>
      <c r="F51" s="565"/>
      <c r="G51" s="565"/>
      <c r="H51" s="565"/>
      <c r="I51" s="565"/>
      <c r="J51" s="565"/>
      <c r="K51" s="565"/>
      <c r="L51" s="565"/>
    </row>
    <row r="52" spans="1:15" s="2" customFormat="1" ht="35.25" customHeight="1" x14ac:dyDescent="0.2">
      <c r="A52" s="548" t="s">
        <v>417</v>
      </c>
      <c r="B52" s="548"/>
      <c r="C52" s="548"/>
      <c r="D52" s="548"/>
      <c r="E52" s="548"/>
      <c r="F52" s="548"/>
      <c r="G52" s="548"/>
      <c r="H52" s="548"/>
      <c r="I52" s="548"/>
      <c r="J52" s="548"/>
      <c r="K52" s="548"/>
      <c r="L52" s="548"/>
    </row>
    <row r="53" spans="1:15" s="2" customFormat="1" ht="24" customHeight="1" x14ac:dyDescent="0.2">
      <c r="A53" s="549" t="s">
        <v>418</v>
      </c>
      <c r="B53" s="549"/>
      <c r="C53" s="549"/>
      <c r="D53" s="549"/>
      <c r="E53" s="549"/>
      <c r="F53" s="549"/>
      <c r="G53" s="549"/>
      <c r="H53" s="549"/>
      <c r="I53" s="549"/>
      <c r="J53" s="549"/>
      <c r="K53" s="549"/>
      <c r="L53" s="549"/>
    </row>
    <row r="54" spans="1:15" s="2" customFormat="1" ht="14.25" customHeight="1" x14ac:dyDescent="0.2">
      <c r="A54" s="549" t="s">
        <v>735</v>
      </c>
      <c r="B54" s="549"/>
      <c r="C54" s="549"/>
      <c r="D54" s="549"/>
      <c r="E54" s="549"/>
      <c r="F54" s="549"/>
      <c r="G54" s="549"/>
      <c r="H54" s="549"/>
      <c r="I54" s="549"/>
      <c r="J54" s="549"/>
      <c r="K54" s="549"/>
      <c r="L54" s="549"/>
    </row>
    <row r="55" spans="1:15" s="2" customFormat="1" ht="47.25" customHeight="1" x14ac:dyDescent="0.2">
      <c r="A55" s="564" t="s">
        <v>829</v>
      </c>
      <c r="B55" s="564"/>
      <c r="C55" s="564"/>
      <c r="D55" s="564"/>
      <c r="E55" s="564"/>
      <c r="F55" s="564"/>
      <c r="G55" s="564"/>
      <c r="H55" s="564"/>
      <c r="I55" s="564"/>
      <c r="J55" s="564"/>
      <c r="K55" s="564"/>
      <c r="L55" s="564"/>
    </row>
    <row r="56" spans="1:15" s="2" customFormat="1" ht="22.5" customHeight="1" x14ac:dyDescent="0.2">
      <c r="A56" s="549" t="s">
        <v>419</v>
      </c>
      <c r="B56" s="549"/>
      <c r="C56" s="549"/>
      <c r="D56" s="549"/>
      <c r="E56" s="549"/>
      <c r="F56" s="549"/>
      <c r="G56" s="549"/>
      <c r="H56" s="549"/>
      <c r="I56" s="549"/>
      <c r="J56" s="549"/>
      <c r="K56" s="549"/>
      <c r="L56" s="549"/>
    </row>
    <row r="57" spans="1:15" s="2" customFormat="1" ht="93" customHeight="1" x14ac:dyDescent="0.25">
      <c r="A57" s="543" t="s">
        <v>420</v>
      </c>
      <c r="B57" s="544"/>
      <c r="C57" s="544"/>
      <c r="D57" s="544"/>
      <c r="E57" s="544"/>
      <c r="F57" s="544"/>
      <c r="G57" s="544"/>
      <c r="H57" s="544"/>
      <c r="I57" s="544"/>
      <c r="J57" s="544"/>
      <c r="K57" s="544"/>
      <c r="L57" s="544"/>
    </row>
    <row r="69" spans="3:12" ht="71.25" hidden="1" x14ac:dyDescent="0.2">
      <c r="C69" s="333" t="str">
        <f>Berechnung1!C24</f>
        <v>Primärfälle</v>
      </c>
      <c r="D69" s="334" t="str">
        <f>Berechnung1!D24</f>
        <v xml:space="preserve">Tis (= DCIS Paget) 
(N0, M0) </v>
      </c>
      <c r="E69" s="334" t="str">
        <f>Berechnung1!E24</f>
        <v xml:space="preserve">T1 (N0, M0) </v>
      </c>
      <c r="F69" s="334" t="str">
        <f>Berechnung1!F24</f>
        <v>T2 (N0, M0)</v>
      </c>
      <c r="G69" s="334" t="str">
        <f>Berechnung1!G24</f>
        <v>T3 (N0, M0)</v>
      </c>
      <c r="H69" s="334" t="str">
        <f>Berechnung1!H24</f>
        <v>T4 (N0, M0)</v>
      </c>
      <c r="I69" s="334" t="str">
        <f>Berechnung1!I24</f>
        <v>N+ (every T incl. Tis/Tx 2a), M0)</v>
      </c>
      <c r="J69" s="334" t="str">
        <f>Berechnung1!J24</f>
        <v xml:space="preserve">M1 (every N, every T
incl. Tis/Tx) 2b) </v>
      </c>
      <c r="K69" s="334" t="str">
        <f>Berechnung1!K24</f>
        <v xml:space="preserve">not to be attributed </v>
      </c>
      <c r="L69" s="334" t="str">
        <f>Berechnung1!L24</f>
        <v>Gesamt</v>
      </c>
    </row>
    <row r="70" spans="3:12" hidden="1" x14ac:dyDescent="0.2">
      <c r="C70" s="333" t="str">
        <f>Berechnung1!C25</f>
        <v>Gesamt</v>
      </c>
      <c r="D70" s="334">
        <f>Berechnung1!D25</f>
        <v>0</v>
      </c>
      <c r="E70" s="334">
        <f>Berechnung1!E25</f>
        <v>0</v>
      </c>
      <c r="F70" s="334">
        <f>Berechnung1!F25</f>
        <v>0</v>
      </c>
      <c r="G70" s="334">
        <f>Berechnung1!G25</f>
        <v>0</v>
      </c>
      <c r="H70" s="334">
        <f>Berechnung1!H25</f>
        <v>0</v>
      </c>
      <c r="I70" s="334">
        <f>Berechnung1!I25</f>
        <v>0</v>
      </c>
      <c r="J70" s="334">
        <f>Berechnung1!J25</f>
        <v>0</v>
      </c>
      <c r="K70" s="334">
        <f>Berechnung1!K25</f>
        <v>0</v>
      </c>
      <c r="L70" s="334" t="str">
        <f>Berechnung1!L25</f>
        <v/>
      </c>
    </row>
    <row r="71" spans="3:12" hidden="1" x14ac:dyDescent="0.2">
      <c r="C71" s="333">
        <f>Berechnung1!C26</f>
        <v>0</v>
      </c>
      <c r="D71" s="334">
        <f>Berechnung1!D26</f>
        <v>0</v>
      </c>
      <c r="E71" s="334">
        <f>Berechnung1!E26</f>
        <v>0</v>
      </c>
      <c r="F71" s="334">
        <f>Berechnung1!F26</f>
        <v>0</v>
      </c>
      <c r="G71" s="334">
        <f>Berechnung1!G26</f>
        <v>0</v>
      </c>
      <c r="H71" s="334">
        <f>Berechnung1!H26</f>
        <v>0</v>
      </c>
      <c r="I71" s="334">
        <f>Berechnung1!I26</f>
        <v>0</v>
      </c>
      <c r="J71" s="334">
        <f>Berechnung1!J26</f>
        <v>0</v>
      </c>
      <c r="K71" s="334">
        <f>Berechnung1!K26</f>
        <v>0</v>
      </c>
      <c r="L71" s="334">
        <f>Berechnung1!L26</f>
        <v>0</v>
      </c>
    </row>
    <row r="72" spans="3:12" hidden="1" x14ac:dyDescent="0.2">
      <c r="C72" s="333" t="str">
        <f>Berechnung1!C27</f>
        <v>Operiert</v>
      </c>
      <c r="D72" s="334" t="str">
        <f>Berechnung1!D27</f>
        <v/>
      </c>
      <c r="E72" s="334" t="str">
        <f>Berechnung1!E27</f>
        <v/>
      </c>
      <c r="F72" s="334" t="str">
        <f>Berechnung1!F27</f>
        <v/>
      </c>
      <c r="G72" s="334" t="str">
        <f>Berechnung1!G27</f>
        <v/>
      </c>
      <c r="H72" s="334" t="str">
        <f>Berechnung1!H27</f>
        <v/>
      </c>
      <c r="I72" s="334" t="str">
        <f>Berechnung1!I27</f>
        <v/>
      </c>
      <c r="J72" s="334" t="str">
        <f>Berechnung1!J27</f>
        <v/>
      </c>
      <c r="K72" s="334" t="str">
        <f>Berechnung1!K27</f>
        <v/>
      </c>
      <c r="L72" s="334" t="str">
        <f>Berechnung1!L27</f>
        <v/>
      </c>
    </row>
    <row r="73" spans="3:12" hidden="1" x14ac:dyDescent="0.2">
      <c r="C73" s="333" t="str">
        <f>Berechnung1!C28</f>
        <v xml:space="preserve">   Mit BET 3)</v>
      </c>
      <c r="D73" s="334">
        <f>Berechnung1!D28</f>
        <v>0</v>
      </c>
      <c r="E73" s="334">
        <f>Berechnung1!E28</f>
        <v>0</v>
      </c>
      <c r="F73" s="334">
        <f>Berechnung1!F28</f>
        <v>0</v>
      </c>
      <c r="G73" s="334">
        <f>Berechnung1!G28</f>
        <v>0</v>
      </c>
      <c r="H73" s="334">
        <f>Berechnung1!H28</f>
        <v>0</v>
      </c>
      <c r="I73" s="334">
        <f>Berechnung1!I28</f>
        <v>0</v>
      </c>
      <c r="J73" s="334">
        <f>Berechnung1!J28</f>
        <v>0</v>
      </c>
      <c r="K73" s="334">
        <f>Berechnung1!K28</f>
        <v>0</v>
      </c>
      <c r="L73" s="334" t="str">
        <f>Berechnung1!L28</f>
        <v/>
      </c>
    </row>
    <row r="74" spans="3:12" ht="42.75" hidden="1" x14ac:dyDescent="0.2">
      <c r="C74" s="333" t="str">
        <f>Berechnung1!C29</f>
        <v xml:space="preserve">   Mastektomien 3)</v>
      </c>
      <c r="D74" s="334">
        <f>Berechnung1!D29</f>
        <v>0</v>
      </c>
      <c r="E74" s="334">
        <f>Berechnung1!E29</f>
        <v>0</v>
      </c>
      <c r="F74" s="334">
        <f>Berechnung1!F29</f>
        <v>0</v>
      </c>
      <c r="G74" s="334">
        <f>Berechnung1!G29</f>
        <v>0</v>
      </c>
      <c r="H74" s="334">
        <f>Berechnung1!H29</f>
        <v>0</v>
      </c>
      <c r="I74" s="334">
        <f>Berechnung1!I29</f>
        <v>0</v>
      </c>
      <c r="J74" s="334">
        <f>Berechnung1!J29</f>
        <v>0</v>
      </c>
      <c r="K74" s="334">
        <f>Berechnung1!K29</f>
        <v>0</v>
      </c>
      <c r="L74" s="334" t="str">
        <f>Berechnung1!L29</f>
        <v/>
      </c>
    </row>
    <row r="75" spans="3:12" hidden="1" x14ac:dyDescent="0.2">
      <c r="C75" s="333" t="str">
        <f>Berechnung1!C30</f>
        <v>BET</v>
      </c>
      <c r="D75" s="334">
        <f>Berechnung1!D30</f>
        <v>0</v>
      </c>
      <c r="E75" s="334">
        <f>Berechnung1!E30</f>
        <v>0</v>
      </c>
      <c r="F75" s="334">
        <f>Berechnung1!F30</f>
        <v>0</v>
      </c>
      <c r="G75" s="334">
        <f>Berechnung1!G30</f>
        <v>0</v>
      </c>
      <c r="H75" s="334">
        <f>Berechnung1!H30</f>
        <v>0</v>
      </c>
      <c r="I75" s="334">
        <f>Berechnung1!I30</f>
        <v>0</v>
      </c>
      <c r="J75" s="334">
        <f>Berechnung1!J30</f>
        <v>0</v>
      </c>
      <c r="K75" s="334">
        <f>Berechnung1!K30</f>
        <v>0</v>
      </c>
      <c r="L75" s="334">
        <f>Berechnung1!L30</f>
        <v>0</v>
      </c>
    </row>
    <row r="76" spans="3:12" hidden="1" x14ac:dyDescent="0.2">
      <c r="C76" s="333" t="str">
        <f>Berechnung1!C31</f>
        <v>Mastektomie</v>
      </c>
      <c r="D76" s="334">
        <f>Berechnung1!D31</f>
        <v>0</v>
      </c>
      <c r="E76" s="334">
        <f>Berechnung1!E31</f>
        <v>0</v>
      </c>
      <c r="F76" s="334">
        <f>Berechnung1!F31</f>
        <v>0</v>
      </c>
      <c r="G76" s="334">
        <f>Berechnung1!G31</f>
        <v>0</v>
      </c>
      <c r="H76" s="334">
        <f>Berechnung1!H31</f>
        <v>0</v>
      </c>
      <c r="I76" s="334">
        <f>Berechnung1!I31</f>
        <v>0</v>
      </c>
      <c r="J76" s="334">
        <f>Berechnung1!J31</f>
        <v>0</v>
      </c>
      <c r="K76" s="334">
        <f>Berechnung1!K31</f>
        <v>0</v>
      </c>
      <c r="L76" s="334">
        <f>Berechnung1!L31</f>
        <v>0</v>
      </c>
    </row>
    <row r="101" spans="15:15" hidden="1" x14ac:dyDescent="0.2">
      <c r="O101" s="1" t="b">
        <f>IF('Basic data'!E33="",'Basic data'!F33="",'Basic data'!G33="")</f>
        <v>1</v>
      </c>
    </row>
  </sheetData>
  <sheetProtection algorithmName="SHA-512" hashValue="lWvSl8A/vRT0fXFIlhqlI40/mDs4ENxVutrwjKGjNBzt4gtQ/X/PJZ4lPQoyfmZXIMWH3kDUcbAeKjH/eisE8Q==" saltValue="4D+ZcnFEoQ2oU0VubsxAIw==" spinCount="100000" sheet="1" objects="1" scenarios="1" selectLockedCells="1"/>
  <dataConsolidate link="1"/>
  <mergeCells count="58">
    <mergeCell ref="A30:C30"/>
    <mergeCell ref="A28:C29"/>
    <mergeCell ref="A36:C36"/>
    <mergeCell ref="A37:C37"/>
    <mergeCell ref="A33:C33"/>
    <mergeCell ref="A34:C34"/>
    <mergeCell ref="D40:G40"/>
    <mergeCell ref="H39:K39"/>
    <mergeCell ref="H40:K40"/>
    <mergeCell ref="A42:C42"/>
    <mergeCell ref="A55:L55"/>
    <mergeCell ref="A54:L54"/>
    <mergeCell ref="A51:L51"/>
    <mergeCell ref="A48:L48"/>
    <mergeCell ref="D42:G42"/>
    <mergeCell ref="H42:K42"/>
    <mergeCell ref="J44:K44"/>
    <mergeCell ref="A44:I44"/>
    <mergeCell ref="A46:I46"/>
    <mergeCell ref="J46:K46"/>
    <mergeCell ref="A21:F21"/>
    <mergeCell ref="G26:L26"/>
    <mergeCell ref="A57:L57"/>
    <mergeCell ref="A49:L49"/>
    <mergeCell ref="A50:L50"/>
    <mergeCell ref="A52:L52"/>
    <mergeCell ref="A53:L53"/>
    <mergeCell ref="A56:L56"/>
    <mergeCell ref="A41:C41"/>
    <mergeCell ref="A39:C39"/>
    <mergeCell ref="A40:C40"/>
    <mergeCell ref="A35:C35"/>
    <mergeCell ref="A38:C38"/>
    <mergeCell ref="D38:G38"/>
    <mergeCell ref="H38:K38"/>
    <mergeCell ref="D39:G39"/>
    <mergeCell ref="G24:L24"/>
    <mergeCell ref="G25:L25"/>
    <mergeCell ref="A22:F22"/>
    <mergeCell ref="D27:K27"/>
    <mergeCell ref="A25:F25"/>
    <mergeCell ref="A27:C27"/>
    <mergeCell ref="C6:F6"/>
    <mergeCell ref="A12:B13"/>
    <mergeCell ref="A14:B15"/>
    <mergeCell ref="A31:C31"/>
    <mergeCell ref="J6:L6"/>
    <mergeCell ref="C10:L10"/>
    <mergeCell ref="C8:L8"/>
    <mergeCell ref="K16:L16"/>
    <mergeCell ref="K12:L12"/>
    <mergeCell ref="K14:L14"/>
    <mergeCell ref="C12:F12"/>
    <mergeCell ref="C14:F14"/>
    <mergeCell ref="A24:F24"/>
    <mergeCell ref="C16:F16"/>
    <mergeCell ref="L27:L29"/>
    <mergeCell ref="K28:K29"/>
  </mergeCells>
  <phoneticPr fontId="33" type="noConversion"/>
  <conditionalFormatting sqref="A22">
    <cfRule type="expression" dxfId="171" priority="13" stopIfTrue="1">
      <formula>LEN(TRIM(A22))=0</formula>
    </cfRule>
  </conditionalFormatting>
  <conditionalFormatting sqref="A25">
    <cfRule type="expression" dxfId="170" priority="48" stopIfTrue="1">
      <formula>LEN(TRIM(A25))=0</formula>
    </cfRule>
  </conditionalFormatting>
  <conditionalFormatting sqref="C6">
    <cfRule type="expression" dxfId="169" priority="6" stopIfTrue="1">
      <formula>LEN(TRIM(C6))=0</formula>
    </cfRule>
  </conditionalFormatting>
  <conditionalFormatting sqref="C12">
    <cfRule type="expression" dxfId="168" priority="9" stopIfTrue="1">
      <formula>LEN(TRIM(C12))=0</formula>
    </cfRule>
  </conditionalFormatting>
  <conditionalFormatting sqref="C14">
    <cfRule type="expression" dxfId="167" priority="4" stopIfTrue="1">
      <formula>LEN(TRIM(C14))=0</formula>
    </cfRule>
  </conditionalFormatting>
  <conditionalFormatting sqref="C16">
    <cfRule type="expression" dxfId="166" priority="46" stopIfTrue="1">
      <formula>LEN(TRIM(C16))=0</formula>
    </cfRule>
  </conditionalFormatting>
  <conditionalFormatting sqref="C12:F12">
    <cfRule type="expression" dxfId="165" priority="5">
      <formula>$A$22&lt;&gt;"Germany"</formula>
    </cfRule>
  </conditionalFormatting>
  <conditionalFormatting sqref="C14:F14">
    <cfRule type="expression" dxfId="164" priority="3">
      <formula>$A$22&lt;&gt;"Germany"</formula>
    </cfRule>
  </conditionalFormatting>
  <conditionalFormatting sqref="D39:D40">
    <cfRule type="expression" dxfId="163" priority="24" stopIfTrue="1">
      <formula>LEN(TRIM(D39))=0</formula>
    </cfRule>
  </conditionalFormatting>
  <conditionalFormatting sqref="D30:K31">
    <cfRule type="expression" dxfId="162" priority="7" stopIfTrue="1">
      <formula>LEN(TRIM(D30))=0</formula>
    </cfRule>
  </conditionalFormatting>
  <conditionalFormatting sqref="D34:K34">
    <cfRule type="expression" dxfId="161" priority="57" stopIfTrue="1">
      <formula>LEN(TRIM(D34))=0</formula>
    </cfRule>
  </conditionalFormatting>
  <conditionalFormatting sqref="D35:K36">
    <cfRule type="expression" dxfId="160" priority="26" stopIfTrue="1">
      <formula>LEN(TRIM(D35))=0</formula>
    </cfRule>
  </conditionalFormatting>
  <conditionalFormatting sqref="H39:H40">
    <cfRule type="expression" dxfId="159" priority="14" stopIfTrue="1">
      <formula>LEN(TRIM(H39))=0</formula>
    </cfRule>
  </conditionalFormatting>
  <conditionalFormatting sqref="J44">
    <cfRule type="expression" dxfId="158" priority="2" stopIfTrue="1">
      <formula>LEN(TRIM(J44))=0</formula>
    </cfRule>
  </conditionalFormatting>
  <conditionalFormatting sqref="K12">
    <cfRule type="expression" dxfId="157" priority="47" stopIfTrue="1">
      <formula>LEN(TRIM(K12))=0</formula>
    </cfRule>
  </conditionalFormatting>
  <conditionalFormatting sqref="K36">
    <cfRule type="expression" priority="27" stopIfTrue="1">
      <formula>LEN(TRIM(K36))=0</formula>
    </cfRule>
  </conditionalFormatting>
  <conditionalFormatting sqref="L30">
    <cfRule type="expression" dxfId="156" priority="16" stopIfTrue="1">
      <formula>OR($L$41="",$L$41="")</formula>
    </cfRule>
    <cfRule type="cellIs" dxfId="155" priority="17" stopIfTrue="1" operator="notEqual">
      <formula>$L$41</formula>
    </cfRule>
    <cfRule type="cellIs" dxfId="154" priority="18" stopIfTrue="1" operator="equal">
      <formula>$L$41</formula>
    </cfRule>
  </conditionalFormatting>
  <conditionalFormatting sqref="L41">
    <cfRule type="containsBlanks" dxfId="153" priority="19" stopIfTrue="1">
      <formula>LEN(TRIM(L41))=0</formula>
    </cfRule>
    <cfRule type="cellIs" dxfId="152" priority="20" stopIfTrue="1" operator="notEqual">
      <formula>$L$30</formula>
    </cfRule>
    <cfRule type="cellIs" dxfId="151" priority="21" stopIfTrue="1" operator="equal">
      <formula>$L$30</formula>
    </cfRule>
  </conditionalFormatting>
  <dataValidations xWindow="315" yWindow="383" count="18">
    <dataValidation allowBlank="1" showInputMessage="1" showErrorMessage="1" errorTitle="Eingabefehler" sqref="K14" xr:uid="{00000000-0002-0000-0000-000000000000}"/>
    <dataValidation type="date" errorStyle="information" allowBlank="1" showInputMessage="1" showErrorMessage="1" errorTitle="Kennzahlenjahr" error="Es können nur Kennzahlenjahre von 2012 bis 2014 eingetragen werden." sqref="J17:K17" xr:uid="{00000000-0002-0000-0000-000001000000}">
      <formula1>2010</formula1>
      <formula2>2012</formula2>
    </dataValidation>
    <dataValidation type="list" allowBlank="1" showInputMessage="1" showErrorMessage="1" errorTitle="Hinweis" error="Auswahl treffen über Dropdown-Liste." sqref="I19:L19" xr:uid="{00000000-0002-0000-0000-000002000000}">
      <formula1>Universitätsstatus</formula1>
    </dataValidation>
    <dataValidation type="date" allowBlank="1" showErrorMessage="1" errorTitle="Input data error" error="Format: dd.mm.yyyy_x000a__x000a_Time period between 01.10.2025 - 31.01.2027." sqref="K12:L12" xr:uid="{00000000-0002-0000-0000-000003000000}">
      <formula1>45931</formula1>
      <formula2>46418</formula2>
    </dataValidation>
    <dataValidation operator="greaterThan" allowBlank="1" showInputMessage="1" showErrorMessage="1" sqref="L30 L33:L37" xr:uid="{00000000-0002-0000-0000-000004000000}"/>
    <dataValidation errorStyle="information" allowBlank="1" showInputMessage="1" showErrorMessage="1" errorTitle="Kennzahlenjahr" error="Es können nur Kennzahlenjahre von 2012 bis 2014 eingetragen werden." sqref="K16" xr:uid="{00000000-0002-0000-0000-000005000000}"/>
    <dataValidation type="whole" allowBlank="1" showInputMessage="1" showErrorMessage="1" errorTitle="Eingabefehler" error="Anzahl BET +  Mastektomie kann nicht größer sein als Anzahl Primärfälle." sqref="D37:K37" xr:uid="{00000000-0002-0000-0000-000006000000}">
      <formula1>0</formula1>
      <formula2>D69</formula2>
    </dataValidation>
    <dataValidation allowBlank="1" showInputMessage="1" showErrorMessage="1" errorTitle="Eingabefehler" error="Anzahl BET +  Mastektomie kann nicht größer sein als Anzahl Primärfälle." sqref="M38 D38:K38 A38:C40" xr:uid="{00000000-0002-0000-0000-000007000000}"/>
    <dataValidation type="textLength" allowBlank="1" showErrorMessage="1" errorTitle="Input data error" error="Only texts up to 100 characters is allowed. " prompt="Name, Vorname" sqref="C16:F16" xr:uid="{00000000-0002-0000-0000-000008000000}">
      <formula1>0</formula1>
      <formula2>100</formula2>
    </dataValidation>
    <dataValidation type="list" showInputMessage="1" showErrorMessage="1" errorTitle="Hinweis" error="Auswahl treffen über Dropdown-Liste." sqref="G22:H22 J22:L22" xr:uid="{00000000-0002-0000-0000-000009000000}">
      <formula1>zentrumsintern___ohne_Krebsregister</formula1>
    </dataValidation>
    <dataValidation type="whole" allowBlank="1" showInputMessage="1" showErrorMessage="1" errorTitle="Input data error" error="Number of primary cases with neoadjuvant treatment cannot be bigger than the number of surgical primary cases." sqref="D36:K36" xr:uid="{00000000-0002-0000-0000-00000B000000}">
      <formula1>0</formula1>
      <formula2>D72</formula2>
    </dataValidation>
    <dataValidation showInputMessage="1" showErrorMessage="1" errorTitle="Hinweis" error="Auswahl treffen über Dropdown-Liste." sqref="I22" xr:uid="{00000000-0002-0000-0000-00000C000000}"/>
    <dataValidation type="whole" allowBlank="1" showInputMessage="1" showErrorMessage="1" errorTitle="Input data error" error="Whole number between 0 and 5000." sqref="D39:G40 H40:K40 H39:K39 J44:K44" xr:uid="{00000000-0002-0000-0000-00000E000000}">
      <formula1>0</formula1>
      <formula2>5000</formula2>
    </dataValidation>
    <dataValidation type="whole" allowBlank="1" showInputMessage="1" showErrorMessage="1" errorTitle="Input data error" error="1. Whole number between 0 and 5000._x000a_2. Can not be smaller than surgical primary cases." sqref="D30:K30" xr:uid="{00000000-0002-0000-0000-00000F000000}">
      <formula1>SUM(D34:D35)</formula1>
      <formula2>5000</formula2>
    </dataValidation>
    <dataValidation type="whole" allowBlank="1" showInputMessage="1" showErrorMessage="1" errorTitle="Input data error" error="Number of BCS + mastectomies cannot be bigger than the number of primary cases." sqref="D34:K35" xr:uid="{00000000-0002-0000-0000-000010000000}">
      <formula1>0</formula1>
      <formula2>D75</formula2>
    </dataValidation>
    <dataValidation type="whole" allowBlank="1" showInputMessage="1" showErrorMessage="1" errorTitle="Input data error" error="1. Whole number between 0 and 5000._x000a_2. Can not be greater than primary cases._x000a_" sqref="D31:K31" xr:uid="{8030DC8D-7888-43F5-9B6D-C87963EAA1FC}">
      <formula1>0</formula1>
      <formula2>D30</formula2>
    </dataValidation>
    <dataValidation type="whole" allowBlank="1" showErrorMessage="1" errorTitle="Input data error" error="The Institution identification (II) number must be a 9-digit sequence of numbers beginning with 26." prompt="Name, Vorname" sqref="C12:F12" xr:uid="{229A5DE3-88F1-4241-BE08-6C151732FEE6}">
      <formula1>260000000</formula1>
      <formula2>269999999</formula2>
    </dataValidation>
    <dataValidation type="whole" allowBlank="1" showErrorMessage="1" errorTitle="Input data error" error="The Clinical sites number must be a 9-digit sequence of numbers beginning with 77." prompt="Name, Vorname" sqref="C14:F14" xr:uid="{9D03D8B6-530D-407C-A5ED-1C53556C1BEF}">
      <formula1>770000000</formula1>
      <formula2>779999999</formula2>
    </dataValidation>
  </dataValidations>
  <pageMargins left="0.59055118110236227" right="7.874015748031496E-2" top="0.19685039370078741" bottom="0.19685039370078741" header="0.11811023622047245" footer="0.11811023622047245"/>
  <pageSetup paperSize="9" scale="77" orientation="portrait" r:id="rId1"/>
  <headerFooter>
    <oddFooter xml:space="preserve">&amp;L&amp;"Arial,Regular"&amp;7&amp;F&amp;R&amp;"Arial,Regular"&amp;7&amp;P       </oddFooter>
  </headerFooter>
  <rowBreaks count="1" manualBreakCount="1">
    <brk id="48" max="11" man="1"/>
  </rowBreaks>
  <ignoredErrors>
    <ignoredError sqref="L9 C9:E9 H9:J9" emptyCellReference="1"/>
  </ignoredErrors>
  <drawing r:id="rId2"/>
  <legacyDrawing r:id="rId3"/>
  <legacyDrawingHF r:id="rId4"/>
  <extLst>
    <ext xmlns:x14="http://schemas.microsoft.com/office/spreadsheetml/2009/9/main" uri="{CCE6A557-97BC-4b89-ADB6-D9C93CAAB3DF}">
      <x14:dataValidations xmlns:xm="http://schemas.microsoft.com/office/excel/2006/main" xWindow="315" yWindow="383" count="3">
        <x14:dataValidation type="list" allowBlank="1" showInputMessage="1" showErrorMessage="1" errorTitle="Input data error" error="Only values from the dropdown list are allowed." xr:uid="{00000000-0002-0000-0000-000012000000}">
          <x14:formula1>
            <xm:f>Datenquelle!$A$64:$A$259</xm:f>
          </x14:formula1>
          <xm:sqref>A22:F22</xm:sqref>
        </x14:dataValidation>
        <x14:dataValidation type="list" showInputMessage="1" showErrorMessage="1" errorTitle="Input data error" error="Only values from the dropdown list are allowed." xr:uid="{00000000-0002-0000-0000-00000D000000}">
          <x14:formula1>
            <xm:f>Datenquelle!$A$45:$A$49</xm:f>
          </x14:formula1>
          <xm:sqref>C6</xm:sqref>
        </x14:dataValidation>
        <x14:dataValidation type="list" showInputMessage="1" showErrorMessage="1" errorTitle="Input data error" error="Only values from the dropdown list are allowed." xr:uid="{00000000-0002-0000-0000-000011000000}">
          <x14:formula1>
            <xm:f>Datenquelle!$B$1:$B$25</xm:f>
          </x14:formula1>
          <xm:sqref>A25:F25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5"/>
  <dimension ref="A1:K35"/>
  <sheetViews>
    <sheetView topLeftCell="A4" workbookViewId="0">
      <selection activeCell="D39" sqref="D39"/>
    </sheetView>
  </sheetViews>
  <sheetFormatPr defaultColWidth="11.42578125" defaultRowHeight="12.75" x14ac:dyDescent="0.25"/>
  <cols>
    <col min="1" max="1" width="23.42578125" style="73" customWidth="1"/>
    <col min="2" max="4" width="20.7109375" style="73" customWidth="1"/>
    <col min="5" max="5" width="9.7109375" style="73" customWidth="1"/>
    <col min="6" max="6" width="32.140625" style="472" customWidth="1"/>
    <col min="7" max="7" width="31" style="73" customWidth="1"/>
    <col min="8" max="8" width="10.7109375" style="99" customWidth="1"/>
    <col min="9" max="9" width="23" style="73" customWidth="1"/>
    <col min="10" max="11" width="23.85546875" style="73" customWidth="1"/>
    <col min="12" max="256" width="9.140625" style="73" customWidth="1"/>
    <col min="257" max="16384" width="11.42578125" style="73"/>
  </cols>
  <sheetData>
    <row r="1" spans="1:11" x14ac:dyDescent="0.25">
      <c r="A1" s="75" t="s">
        <v>167</v>
      </c>
      <c r="B1" s="69"/>
    </row>
    <row r="2" spans="1:11" x14ac:dyDescent="0.25">
      <c r="A2" s="75" t="s">
        <v>150</v>
      </c>
      <c r="B2" s="69" t="str">
        <f>IF('Basic data'!C6=0,"",'Basic data'!C6)</f>
        <v>Not listed</v>
      </c>
      <c r="K2" s="95"/>
    </row>
    <row r="3" spans="1:11" x14ac:dyDescent="0.25">
      <c r="A3" s="75" t="s">
        <v>191</v>
      </c>
      <c r="B3" s="96" t="str">
        <f>IF('Basic data'!K12=0,"",'Basic data'!K12)</f>
        <v/>
      </c>
    </row>
    <row r="5" spans="1:11" x14ac:dyDescent="0.25">
      <c r="A5" s="97" t="s">
        <v>9</v>
      </c>
      <c r="B5" s="69"/>
    </row>
    <row r="6" spans="1:11" x14ac:dyDescent="0.25">
      <c r="A6" s="97" t="s">
        <v>10</v>
      </c>
      <c r="B6" s="69"/>
    </row>
    <row r="7" spans="1:11" x14ac:dyDescent="0.25">
      <c r="A7" s="97" t="s">
        <v>11</v>
      </c>
      <c r="B7" s="69"/>
    </row>
    <row r="8" spans="1:11" x14ac:dyDescent="0.25">
      <c r="A8" s="97" t="s">
        <v>12</v>
      </c>
      <c r="B8" s="69"/>
    </row>
    <row r="9" spans="1:11" x14ac:dyDescent="0.25">
      <c r="A9" s="97" t="s">
        <v>13</v>
      </c>
      <c r="B9" s="69"/>
    </row>
    <row r="11" spans="1:11" x14ac:dyDescent="0.25">
      <c r="A11" s="98" t="s">
        <v>166</v>
      </c>
      <c r="B11" s="98" t="s">
        <v>165</v>
      </c>
      <c r="C11" s="98" t="s">
        <v>118</v>
      </c>
      <c r="D11" s="98" t="s">
        <v>149</v>
      </c>
      <c r="E11" s="98" t="s">
        <v>164</v>
      </c>
      <c r="F11" s="473" t="s">
        <v>168</v>
      </c>
      <c r="G11" s="98" t="s">
        <v>162</v>
      </c>
      <c r="H11" s="98" t="s">
        <v>163</v>
      </c>
      <c r="I11" s="119" t="s">
        <v>14</v>
      </c>
      <c r="J11" s="119" t="s">
        <v>15</v>
      </c>
      <c r="K11" s="119" t="s">
        <v>16</v>
      </c>
    </row>
    <row r="12" spans="1:11" s="464" customFormat="1" ht="24.95" customHeight="1" x14ac:dyDescent="0.25">
      <c r="A12" s="461">
        <v>1</v>
      </c>
      <c r="B12" s="462" t="str">
        <f>IF('Indicator sheet'!O9 = "", "", 'Indicator sheet'!O9)</f>
        <v/>
      </c>
      <c r="C12" s="462">
        <f>IF('Indicator sheet'!O10="","",'Indicator sheet'!O10)</f>
        <v>0</v>
      </c>
      <c r="D12" s="463" t="str">
        <f>IF('Indicator sheet'!O11="n.d.","n.d.",'Indicator sheet'!O11*100)</f>
        <v>n.d.</v>
      </c>
      <c r="E12" s="462">
        <f>Berechnung1!N40</f>
        <v>1</v>
      </c>
      <c r="F12" s="471" t="str">
        <f>IF('Indicator sheet'!Q9=0,"",'Indicator sheet'!Q9)</f>
        <v/>
      </c>
      <c r="G12" s="171" t="str">
        <f>IF('Indicator sheet'!R9=0,"",'Indicator sheet'!R9)</f>
        <v/>
      </c>
      <c r="H12" s="462">
        <f>Berechnung1!O40</f>
        <v>0</v>
      </c>
      <c r="I12" s="171"/>
      <c r="J12" s="171"/>
      <c r="K12" s="171"/>
    </row>
    <row r="13" spans="1:11" s="464" customFormat="1" ht="24.95" customHeight="1" x14ac:dyDescent="0.25">
      <c r="A13" s="461">
        <v>2</v>
      </c>
      <c r="B13" s="462" t="str">
        <f>IF('Indicator sheet'!O12 = "", "",'Indicator sheet'!O12)</f>
        <v/>
      </c>
      <c r="C13" s="462">
        <f>IF('Indicator sheet'!O13="","",'Indicator sheet'!O13)</f>
        <v>0</v>
      </c>
      <c r="D13" s="463" t="str">
        <f>IF('Indicator sheet'!O14="n.d.","n.d.",'Indicator sheet'!O14*100)</f>
        <v>n.d.</v>
      </c>
      <c r="E13" s="462">
        <f>Berechnung1!N43</f>
        <v>1</v>
      </c>
      <c r="F13" s="471" t="str">
        <f>IF('Indicator sheet'!Q12=0,"",'Indicator sheet'!Q12)</f>
        <v/>
      </c>
      <c r="G13" s="171" t="str">
        <f>IF('Indicator sheet'!R12=0,"",'Indicator sheet'!R12)</f>
        <v/>
      </c>
      <c r="H13" s="462">
        <f>Berechnung1!O43</f>
        <v>0</v>
      </c>
      <c r="I13" s="171"/>
      <c r="J13" s="171"/>
      <c r="K13" s="171"/>
    </row>
    <row r="14" spans="1:11" s="464" customFormat="1" ht="24.95" customHeight="1" x14ac:dyDescent="0.25">
      <c r="A14" s="461">
        <v>3</v>
      </c>
      <c r="B14" s="462" t="str">
        <f>IF('Indicator sheet'!O15 = "", "",'Indicator sheet'!O15)</f>
        <v/>
      </c>
      <c r="C14" s="462">
        <f>IF('Indicator sheet'!O16="","",'Indicator sheet'!O16)</f>
        <v>0</v>
      </c>
      <c r="D14" s="465" t="str">
        <f>IF('Indicator sheet'!O17="n.d.","n.d.",IF('Indicator sheet'!O17="","n.d.",'Indicator sheet'!O17*100))</f>
        <v>n.d.</v>
      </c>
      <c r="E14" s="462">
        <f>Berechnung1!N46</f>
        <v>1</v>
      </c>
      <c r="F14" s="471" t="str">
        <f>IF('Indicator sheet'!Q15=0,"",'Indicator sheet'!Q15)</f>
        <v/>
      </c>
      <c r="G14" s="171" t="str">
        <f>IF('Indicator sheet'!R15=0,"",'Indicator sheet'!R15)</f>
        <v/>
      </c>
      <c r="H14" s="462">
        <f>Berechnung1!O46</f>
        <v>0</v>
      </c>
      <c r="I14" s="171"/>
      <c r="J14" s="171"/>
      <c r="K14" s="171"/>
    </row>
    <row r="15" spans="1:11" s="464" customFormat="1" ht="24.95" customHeight="1" x14ac:dyDescent="0.25">
      <c r="A15" s="461">
        <v>4</v>
      </c>
      <c r="B15" s="462" t="str">
        <f>IF('Indicator sheet'!O18 = "", "",'Indicator sheet'!O18)</f>
        <v/>
      </c>
      <c r="C15" s="462">
        <f>IF('Indicator sheet'!O19="","",'Indicator sheet'!O19)</f>
        <v>0</v>
      </c>
      <c r="D15" s="463" t="str">
        <f>IF('Indicator sheet'!O20="n.d.","n.d.",'Indicator sheet'!O20*100)</f>
        <v>n.d.</v>
      </c>
      <c r="E15" s="462">
        <f>Berechnung1!N49</f>
        <v>1</v>
      </c>
      <c r="F15" s="471" t="str">
        <f>IF('Indicator sheet'!Q18=0,"",'Indicator sheet'!Q18)</f>
        <v/>
      </c>
      <c r="G15" s="171" t="str">
        <f>IF('Indicator sheet'!R18=0,"",'Indicator sheet'!R18)</f>
        <v/>
      </c>
      <c r="H15" s="462">
        <f>Berechnung1!O49</f>
        <v>0</v>
      </c>
      <c r="I15" s="171"/>
      <c r="J15" s="171"/>
      <c r="K15" s="466"/>
    </row>
    <row r="16" spans="1:11" s="464" customFormat="1" ht="24.95" customHeight="1" x14ac:dyDescent="0.25">
      <c r="A16" s="461">
        <v>5</v>
      </c>
      <c r="B16" s="462" t="str">
        <f>IF('Indicator sheet'!O21 = "", "",'Indicator sheet'!O21)</f>
        <v/>
      </c>
      <c r="C16" s="462" t="str">
        <f>IF('Indicator sheet'!O22="","",'Indicator sheet'!O22)</f>
        <v/>
      </c>
      <c r="D16" s="465" t="str">
        <f>IF('Indicator sheet'!O23="n.d.","n.d.",IF('Indicator sheet'!O23="","n.d.",'Indicator sheet'!O23*100))</f>
        <v>n.d.</v>
      </c>
      <c r="E16" s="462">
        <f>Berechnung1!N52</f>
        <v>1</v>
      </c>
      <c r="F16" s="471" t="str">
        <f>IF('Indicator sheet'!Q21=0,"",'Indicator sheet'!Q21)</f>
        <v/>
      </c>
      <c r="G16" s="171" t="str">
        <f>IF('Indicator sheet'!R21=0,"",'Indicator sheet'!R21)</f>
        <v/>
      </c>
      <c r="H16" s="462">
        <f>Berechnung1!O52</f>
        <v>0</v>
      </c>
      <c r="I16" s="171"/>
      <c r="J16" s="171"/>
      <c r="K16" s="466"/>
    </row>
    <row r="17" spans="1:11" s="464" customFormat="1" ht="24.95" customHeight="1" x14ac:dyDescent="0.25">
      <c r="A17" s="461">
        <v>6</v>
      </c>
      <c r="B17" s="462" t="str">
        <f>IF('Indicator sheet'!O24 = "", "", 'Indicator sheet'!O24)</f>
        <v/>
      </c>
      <c r="C17" s="462" t="str">
        <f>IF('Indicator sheet'!O25="","",'Indicator sheet'!O25)</f>
        <v/>
      </c>
      <c r="D17" s="463" t="str">
        <f>IF('Indicator sheet'!O26="n.d.","n.d.",'Indicator sheet'!O26*100)</f>
        <v>n.d.</v>
      </c>
      <c r="E17" s="462">
        <f>Berechnung1!N55</f>
        <v>1</v>
      </c>
      <c r="F17" s="471" t="str">
        <f>IF('Indicator sheet'!Q24=0,"",'Indicator sheet'!Q24)</f>
        <v/>
      </c>
      <c r="G17" s="171" t="str">
        <f>IF('Indicator sheet'!R24=0,"",'Indicator sheet'!R24)</f>
        <v/>
      </c>
      <c r="H17" s="462">
        <f>Berechnung1!O55</f>
        <v>0</v>
      </c>
      <c r="I17" s="171"/>
      <c r="J17" s="171"/>
      <c r="K17" s="171"/>
    </row>
    <row r="18" spans="1:11" s="464" customFormat="1" ht="24.95" customHeight="1" x14ac:dyDescent="0.25">
      <c r="A18" s="461">
        <v>7</v>
      </c>
      <c r="B18" s="462" t="str">
        <f>IF('Indicator sheet'!O27 = "", "", 'Indicator sheet'!O27)</f>
        <v/>
      </c>
      <c r="C18" s="462" t="str">
        <f>IF('Indicator sheet'!O28="","",'Indicator sheet'!O28)</f>
        <v/>
      </c>
      <c r="D18" s="465" t="str">
        <f>IF('Indicator sheet'!O29="n.d.","n.d.",IF('Indicator sheet'!O29="","n.d.",'Indicator sheet'!O29*100))</f>
        <v>n.d.</v>
      </c>
      <c r="E18" s="462">
        <f>Berechnung1!N58</f>
        <v>1</v>
      </c>
      <c r="F18" s="471" t="str">
        <f>IF('Indicator sheet'!Q27=0,"",'Indicator sheet'!Q27)</f>
        <v/>
      </c>
      <c r="G18" s="171" t="str">
        <f>IF('Indicator sheet'!R27=0,"",'Indicator sheet'!R27)</f>
        <v/>
      </c>
      <c r="H18" s="462">
        <f>Berechnung1!O58</f>
        <v>0</v>
      </c>
      <c r="I18" s="171"/>
      <c r="J18" s="171"/>
      <c r="K18" s="171"/>
    </row>
    <row r="19" spans="1:11" s="464" customFormat="1" ht="24.95" customHeight="1" x14ac:dyDescent="0.25">
      <c r="A19" s="461">
        <v>8</v>
      </c>
      <c r="B19" s="462" t="str">
        <f>IF('Indicator sheet'!O30 = "", "", 'Indicator sheet'!O30)</f>
        <v/>
      </c>
      <c r="C19" s="462" t="str">
        <f>IF('Indicator sheet'!O31="","",'Indicator sheet'!O31)</f>
        <v/>
      </c>
      <c r="D19" s="465" t="str">
        <f>IF('Indicator sheet'!O32="n.d.","n.d.",IF('Indicator sheet'!O32="","n.d.",'Indicator sheet'!O32*100))</f>
        <v>n.d.</v>
      </c>
      <c r="E19" s="462">
        <f>Berechnung1!N61</f>
        <v>1</v>
      </c>
      <c r="F19" s="471" t="str">
        <f>IF('Indicator sheet'!Q30=0,"",'Indicator sheet'!Q30)</f>
        <v/>
      </c>
      <c r="G19" s="171" t="str">
        <f>IF('Indicator sheet'!R30=0,"",'Indicator sheet'!R30)</f>
        <v/>
      </c>
      <c r="H19" s="462">
        <f>Berechnung1!O61</f>
        <v>0</v>
      </c>
      <c r="I19" s="171"/>
      <c r="J19" s="171"/>
      <c r="K19" s="171"/>
    </row>
    <row r="20" spans="1:11" s="464" customFormat="1" ht="24.95" customHeight="1" x14ac:dyDescent="0.25">
      <c r="A20" s="461">
        <v>9</v>
      </c>
      <c r="B20" s="462" t="str">
        <f>IF('Indicator sheet'!O33 = "", "", 'Indicator sheet'!O33)</f>
        <v/>
      </c>
      <c r="C20" s="462">
        <f>IF('Indicator sheet'!O34="","",'Indicator sheet'!O34)</f>
        <v>0</v>
      </c>
      <c r="D20" s="463" t="str">
        <f>IF('Indicator sheet'!O35="n.d.","n.d.",'Indicator sheet'!O35*100)</f>
        <v>n.d.</v>
      </c>
      <c r="E20" s="462">
        <f>Berechnung1!N64</f>
        <v>1</v>
      </c>
      <c r="F20" s="471" t="str">
        <f>IF('Indicator sheet'!Q33=0,"",'Indicator sheet'!Q33)</f>
        <v/>
      </c>
      <c r="G20" s="171" t="str">
        <f>IF('Indicator sheet'!R33=0,"",'Indicator sheet'!R33)</f>
        <v/>
      </c>
      <c r="H20" s="462">
        <f>Berechnung1!O64</f>
        <v>0</v>
      </c>
      <c r="I20" s="171"/>
      <c r="J20" s="171"/>
      <c r="K20" s="171"/>
    </row>
    <row r="21" spans="1:11" s="464" customFormat="1" ht="24.95" customHeight="1" x14ac:dyDescent="0.25">
      <c r="A21" s="461">
        <v>10</v>
      </c>
      <c r="B21" s="462" t="str">
        <f>IF('Indicator sheet'!O36 = "", "", 'Indicator sheet'!O36)</f>
        <v/>
      </c>
      <c r="C21" s="462">
        <f>IF('Indicator sheet'!O37="","",'Indicator sheet'!O37)</f>
        <v>0</v>
      </c>
      <c r="D21" s="463" t="str">
        <f>IF('Indicator sheet'!O38="n.d.","n.d.",'Indicator sheet'!O38*100)</f>
        <v>n.d.</v>
      </c>
      <c r="E21" s="462">
        <f>Berechnung1!N67</f>
        <v>1</v>
      </c>
      <c r="F21" s="471" t="str">
        <f>IF('Indicator sheet'!Q36=0,"",'Indicator sheet'!Q36)</f>
        <v/>
      </c>
      <c r="G21" s="171" t="str">
        <f>IF('Indicator sheet'!R36=0,"",'Indicator sheet'!R36)</f>
        <v/>
      </c>
      <c r="H21" s="462">
        <f>Berechnung1!O67</f>
        <v>0</v>
      </c>
      <c r="I21" s="171"/>
      <c r="J21" s="171"/>
      <c r="K21" s="171"/>
    </row>
    <row r="22" spans="1:11" s="464" customFormat="1" ht="24.95" customHeight="1" x14ac:dyDescent="0.25">
      <c r="A22" s="461">
        <v>11</v>
      </c>
      <c r="B22" s="462">
        <f>IF('Indicator sheet'!O39 = "", "", 'Indicator sheet'!O39)</f>
        <v>0</v>
      </c>
      <c r="C22" s="462">
        <f>IF('Indicator sheet'!O40="","",'Indicator sheet'!O40)</f>
        <v>0</v>
      </c>
      <c r="D22" s="463" t="str">
        <f>IF('Indicator sheet'!O41="n.d.","n.d.",'Indicator sheet'!O41*100)</f>
        <v>n.d.</v>
      </c>
      <c r="E22" s="462">
        <f>Berechnung1!N70</f>
        <v>1</v>
      </c>
      <c r="F22" s="471" t="str">
        <f>IF('Indicator sheet'!Q39=0,"",'Indicator sheet'!Q39)</f>
        <v/>
      </c>
      <c r="G22" s="171" t="str">
        <f>IF('Indicator sheet'!R39=0,"",'Indicator sheet'!R39)</f>
        <v/>
      </c>
      <c r="H22" s="462">
        <f>Berechnung1!O70</f>
        <v>0</v>
      </c>
      <c r="I22" s="171"/>
      <c r="J22" s="171"/>
      <c r="K22" s="171"/>
    </row>
    <row r="23" spans="1:11" s="464" customFormat="1" ht="24.95" customHeight="1" x14ac:dyDescent="0.25">
      <c r="A23" s="461">
        <v>12</v>
      </c>
      <c r="B23" s="462" t="str">
        <f>IF('Indicator sheet'!O42 = "", "", 'Indicator sheet'!O42)</f>
        <v/>
      </c>
      <c r="C23" s="462">
        <f>IF('Indicator sheet'!O43="","",'Indicator sheet'!O43)</f>
        <v>0</v>
      </c>
      <c r="D23" s="463" t="str">
        <f>IF('Indicator sheet'!O44="n.d.","n.d.",'Indicator sheet'!O44*100)</f>
        <v>n.d.</v>
      </c>
      <c r="E23" s="462">
        <f>Berechnung1!N73</f>
        <v>1</v>
      </c>
      <c r="F23" s="471" t="str">
        <f>IF('Indicator sheet'!Q42=0,"",'Indicator sheet'!Q42)</f>
        <v/>
      </c>
      <c r="G23" s="171" t="str">
        <f>IF('Indicator sheet'!R42=0,"",'Indicator sheet'!R42)</f>
        <v/>
      </c>
      <c r="H23" s="462">
        <f>Berechnung1!O73</f>
        <v>0</v>
      </c>
      <c r="I23" s="171"/>
      <c r="J23" s="171"/>
      <c r="K23" s="171"/>
    </row>
    <row r="24" spans="1:11" s="464" customFormat="1" ht="24.95" customHeight="1" x14ac:dyDescent="0.25">
      <c r="A24" s="467" t="s">
        <v>845</v>
      </c>
      <c r="B24" s="462" t="str">
        <f>IF('Indicator sheet'!O45 = 0, "n.d.", 'Indicator sheet'!O45)</f>
        <v>n.d.</v>
      </c>
      <c r="C24" s="468"/>
      <c r="D24" s="469"/>
      <c r="E24" s="462">
        <f>Berechnung1!N76</f>
        <v>1</v>
      </c>
      <c r="F24" s="471" t="str">
        <f>IF('Indicator sheet'!Q45=0,"",'Indicator sheet'!Q45)</f>
        <v/>
      </c>
      <c r="G24" s="171" t="str">
        <f>IF('Indicator sheet'!R45=0,"",'Indicator sheet'!R45)</f>
        <v/>
      </c>
      <c r="H24" s="462">
        <f>Berechnung1!O76</f>
        <v>0</v>
      </c>
      <c r="I24" s="171"/>
      <c r="J24" s="171"/>
      <c r="K24" s="171"/>
    </row>
    <row r="25" spans="1:11" s="464" customFormat="1" ht="24.95" customHeight="1" x14ac:dyDescent="0.25">
      <c r="A25" s="467" t="s">
        <v>846</v>
      </c>
      <c r="B25" s="503" t="str">
        <f>IF('Indicator sheet'!O48 = 0, "0", 'Indicator sheet'!O48)</f>
        <v>0</v>
      </c>
      <c r="C25" s="468"/>
      <c r="D25" s="469"/>
      <c r="E25" s="462">
        <f>Berechnung1!N79</f>
        <v>1</v>
      </c>
      <c r="F25" s="471" t="str">
        <f>IF('Indicator sheet'!Q48=0,"",'Indicator sheet'!Q48)</f>
        <v/>
      </c>
      <c r="G25" s="171" t="str">
        <f>IF('Indicator sheet'!R48=0,"",'Indicator sheet'!R48)</f>
        <v/>
      </c>
      <c r="H25" s="462">
        <f>Berechnung1!O79</f>
        <v>0</v>
      </c>
      <c r="I25" s="171"/>
      <c r="J25" s="171"/>
      <c r="K25" s="171"/>
    </row>
    <row r="26" spans="1:11" s="464" customFormat="1" ht="24.95" customHeight="1" x14ac:dyDescent="0.25">
      <c r="A26" s="461">
        <v>14</v>
      </c>
      <c r="B26" s="462" t="str">
        <f>IF('Indicator sheet'!O51= "", "", 'Indicator sheet'!O51)</f>
        <v/>
      </c>
      <c r="C26" s="462" t="str">
        <f>IF('Indicator sheet'!O52="","",'Indicator sheet'!O52)</f>
        <v/>
      </c>
      <c r="D26" s="463" t="str">
        <f>IF('Indicator sheet'!O53="n.d.","n.d.",'Indicator sheet'!O53*100)</f>
        <v>n.d.</v>
      </c>
      <c r="E26" s="462">
        <f>Berechnung1!N82</f>
        <v>1</v>
      </c>
      <c r="F26" s="471" t="str">
        <f>IF('Indicator sheet'!Q51=0,"",'Indicator sheet'!Q51)</f>
        <v/>
      </c>
      <c r="G26" s="171" t="str">
        <f>IF('Indicator sheet'!R51=0,"",'Indicator sheet'!R51)</f>
        <v/>
      </c>
      <c r="H26" s="462">
        <f>Berechnung1!O82</f>
        <v>0</v>
      </c>
      <c r="I26" s="171"/>
      <c r="J26" s="171"/>
      <c r="K26" s="171"/>
    </row>
    <row r="27" spans="1:11" s="464" customFormat="1" ht="24.95" customHeight="1" x14ac:dyDescent="0.25">
      <c r="A27" s="461">
        <v>15</v>
      </c>
      <c r="B27" s="462" t="str">
        <f>IF('Indicator sheet'!O54 = "", "", 'Indicator sheet'!O54)</f>
        <v/>
      </c>
      <c r="C27" s="462" t="str">
        <f>IF('Indicator sheet'!O55="","",'Indicator sheet'!O55)</f>
        <v/>
      </c>
      <c r="D27" s="463" t="str">
        <f>IF('Indicator sheet'!O56="n.d.","n.d.",'Indicator sheet'!O56*100)</f>
        <v>n.d.</v>
      </c>
      <c r="E27" s="462">
        <f>Berechnung1!N85</f>
        <v>1</v>
      </c>
      <c r="F27" s="471" t="str">
        <f>IF('Indicator sheet'!Q54=0,"",'Indicator sheet'!Q54)</f>
        <v/>
      </c>
      <c r="G27" s="171" t="str">
        <f>IF('Indicator sheet'!R54=0,"",'Indicator sheet'!R54)</f>
        <v/>
      </c>
      <c r="H27" s="462">
        <f>Berechnung1!O85</f>
        <v>0</v>
      </c>
      <c r="I27" s="171"/>
      <c r="J27" s="171"/>
      <c r="K27" s="171"/>
    </row>
    <row r="28" spans="1:11" s="464" customFormat="1" ht="24.95" customHeight="1" x14ac:dyDescent="0.25">
      <c r="A28" s="461">
        <v>16</v>
      </c>
      <c r="B28" s="462">
        <f>IF('Indicator sheet'!O57 = "", "", 'Indicator sheet'!O57)</f>
        <v>0</v>
      </c>
      <c r="C28" s="462">
        <f>IF('Indicator sheet'!O58="","",'Indicator sheet'!O58)</f>
        <v>0</v>
      </c>
      <c r="D28" s="463" t="str">
        <f>IF('Indicator sheet'!O59="n.d.","n.d.",'Indicator sheet'!O59*100)</f>
        <v>n.d.</v>
      </c>
      <c r="E28" s="462">
        <f>Berechnung1!N88</f>
        <v>1</v>
      </c>
      <c r="F28" s="471" t="str">
        <f>IF('Indicator sheet'!Q57=0,"",'Indicator sheet'!Q57)</f>
        <v/>
      </c>
      <c r="G28" s="171" t="str">
        <f>IF('Indicator sheet'!R57=0,"",'Indicator sheet'!R57)</f>
        <v/>
      </c>
      <c r="H28" s="462">
        <f>Berechnung1!O88</f>
        <v>0</v>
      </c>
      <c r="I28" s="171"/>
      <c r="J28" s="171"/>
      <c r="K28" s="171"/>
    </row>
    <row r="29" spans="1:11" s="464" customFormat="1" ht="24.95" customHeight="1" x14ac:dyDescent="0.25">
      <c r="A29" s="461">
        <v>17</v>
      </c>
      <c r="B29" s="462" t="str">
        <f>IF('Indicator sheet'!O60 = "", "", 'Indicator sheet'!O60)</f>
        <v/>
      </c>
      <c r="C29" s="462" t="str">
        <f>IF('Indicator sheet'!O61="","",'Indicator sheet'!O61)</f>
        <v/>
      </c>
      <c r="D29" s="465" t="str">
        <f>IF('Indicator sheet'!O62="n.d.","n.d.",IF('Indicator sheet'!O62="","n.d.",'Indicator sheet'!O62*100))</f>
        <v>n.d.</v>
      </c>
      <c r="E29" s="462">
        <f>Berechnung1!N91</f>
        <v>1</v>
      </c>
      <c r="F29" s="471" t="str">
        <f>IF('Indicator sheet'!Q60=0,"",'Indicator sheet'!Q60)</f>
        <v/>
      </c>
      <c r="G29" s="171" t="str">
        <f>IF('Indicator sheet'!R60=0,"",'Indicator sheet'!R60)</f>
        <v/>
      </c>
      <c r="H29" s="462">
        <f>Berechnung1!O91</f>
        <v>0</v>
      </c>
      <c r="I29" s="171"/>
      <c r="J29" s="171"/>
      <c r="K29" s="171"/>
    </row>
    <row r="30" spans="1:11" s="464" customFormat="1" ht="24.95" customHeight="1" x14ac:dyDescent="0.25">
      <c r="A30" s="461">
        <v>18</v>
      </c>
      <c r="B30" s="462" t="str">
        <f>IF('Indicator sheet'!O63 = "", "", 'Indicator sheet'!O63)</f>
        <v/>
      </c>
      <c r="C30" s="462" t="str">
        <f>IF('Indicator sheet'!O64="","",'Indicator sheet'!O64)</f>
        <v/>
      </c>
      <c r="D30" s="463" t="str">
        <f>IF('Indicator sheet'!O65="n.d.","n.d.",'Indicator sheet'!O65*100)</f>
        <v>n.d.</v>
      </c>
      <c r="E30" s="462">
        <f>Berechnung1!N94</f>
        <v>1</v>
      </c>
      <c r="F30" s="471" t="str">
        <f>IF('Indicator sheet'!Q63=0,"",'Indicator sheet'!Q63)</f>
        <v/>
      </c>
      <c r="G30" s="171" t="str">
        <f>IF('Indicator sheet'!R63=0,"",'Indicator sheet'!R63)</f>
        <v/>
      </c>
      <c r="H30" s="462">
        <f>Berechnung1!O94</f>
        <v>0</v>
      </c>
      <c r="I30" s="171"/>
      <c r="J30" s="171"/>
      <c r="K30" s="171"/>
    </row>
    <row r="31" spans="1:11" s="464" customFormat="1" ht="24.95" customHeight="1" x14ac:dyDescent="0.25">
      <c r="A31" s="461">
        <v>19</v>
      </c>
      <c r="B31" s="462" t="str">
        <f>IF('Indicator sheet'!O66 = "", "", 'Indicator sheet'!O66)</f>
        <v/>
      </c>
      <c r="C31" s="462">
        <f>IF('Indicator sheet'!O67="","",'Indicator sheet'!O67)</f>
        <v>0</v>
      </c>
      <c r="D31" s="463" t="str">
        <f>IF('Indicator sheet'!O68="n.d.","n.d.",'Indicator sheet'!O68*100)</f>
        <v>n.d.</v>
      </c>
      <c r="E31" s="462">
        <f>Berechnung1!N97</f>
        <v>1</v>
      </c>
      <c r="F31" s="471" t="str">
        <f>IF('Indicator sheet'!Q66=0,"",'Indicator sheet'!Q66)</f>
        <v/>
      </c>
      <c r="G31" s="171" t="str">
        <f>IF('Indicator sheet'!R66=0,"",'Indicator sheet'!R66)</f>
        <v/>
      </c>
      <c r="H31" s="462">
        <f>Berechnung1!O97</f>
        <v>0</v>
      </c>
      <c r="I31" s="171"/>
      <c r="J31" s="171"/>
      <c r="K31" s="171"/>
    </row>
    <row r="32" spans="1:11" s="464" customFormat="1" ht="24.95" customHeight="1" x14ac:dyDescent="0.25">
      <c r="A32" s="461">
        <v>20</v>
      </c>
      <c r="B32" s="462" t="str">
        <f>IF('Indicator sheet'!O69 = "", "", 'Indicator sheet'!O69)</f>
        <v/>
      </c>
      <c r="C32" s="462">
        <f>IF('Indicator sheet'!O70="","",'Indicator sheet'!O70)</f>
        <v>0</v>
      </c>
      <c r="D32" s="465" t="str">
        <f>IF('Indicator sheet'!O71="n.d.","n.d.",IF('Indicator sheet'!O71="","n.d.",'Indicator sheet'!O71*100))</f>
        <v>n.d.</v>
      </c>
      <c r="E32" s="462">
        <f>Berechnung1!N100</f>
        <v>1</v>
      </c>
      <c r="F32" s="471" t="str">
        <f>IF('Indicator sheet'!Q69=0,"",'Indicator sheet'!Q69)</f>
        <v/>
      </c>
      <c r="G32" s="171" t="str">
        <f>IF('Indicator sheet'!R69=0,"",'Indicator sheet'!R69)</f>
        <v/>
      </c>
      <c r="H32" s="462">
        <f>Berechnung1!O100</f>
        <v>0</v>
      </c>
      <c r="I32" s="470"/>
      <c r="J32" s="470"/>
      <c r="K32" s="470"/>
    </row>
    <row r="33" spans="4:8" x14ac:dyDescent="0.25">
      <c r="D33" s="319"/>
    </row>
    <row r="34" spans="4:8" x14ac:dyDescent="0.25">
      <c r="H34" s="93"/>
    </row>
    <row r="35" spans="4:8" x14ac:dyDescent="0.25">
      <c r="H35" s="93"/>
    </row>
  </sheetData>
  <phoneticPr fontId="33" type="noConversion"/>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3"/>
  <dimension ref="A3:O144"/>
  <sheetViews>
    <sheetView zoomScaleNormal="100" workbookViewId="0">
      <selection activeCell="H100" sqref="H100"/>
    </sheetView>
  </sheetViews>
  <sheetFormatPr defaultColWidth="11.42578125" defaultRowHeight="11.25" x14ac:dyDescent="0.2"/>
  <cols>
    <col min="1" max="1" width="9.140625" style="258" customWidth="1"/>
    <col min="2" max="2" width="14.85546875" style="258" customWidth="1"/>
    <col min="3" max="3" width="9.140625" style="258" customWidth="1"/>
    <col min="4" max="4" width="16.28515625" style="258" customWidth="1"/>
    <col min="5" max="5" width="18.42578125" style="258" customWidth="1"/>
    <col min="6" max="6" width="15.42578125" style="258" customWidth="1"/>
    <col min="7" max="7" width="16.7109375" style="258" customWidth="1"/>
    <col min="8" max="9" width="20.28515625" style="258" customWidth="1"/>
    <col min="10" max="10" width="17.7109375" style="258" customWidth="1"/>
    <col min="11" max="11" width="15.42578125" style="258" customWidth="1"/>
    <col min="12" max="12" width="16.28515625" style="258" customWidth="1"/>
    <col min="13" max="256" width="9.140625" style="258" customWidth="1"/>
    <col min="257" max="16384" width="11.42578125" style="258"/>
  </cols>
  <sheetData>
    <row r="3" spans="2:15" x14ac:dyDescent="0.2">
      <c r="C3" s="257" t="s">
        <v>199</v>
      </c>
      <c r="M3" s="259"/>
      <c r="N3" s="259"/>
      <c r="O3" s="259"/>
    </row>
    <row r="4" spans="2:15" x14ac:dyDescent="0.2">
      <c r="C4" s="5"/>
      <c r="D4" s="386" t="s">
        <v>429</v>
      </c>
      <c r="E4" s="5"/>
      <c r="F4" s="5"/>
      <c r="G4" s="5"/>
      <c r="H4" s="5"/>
      <c r="I4" s="386"/>
      <c r="J4" s="5"/>
      <c r="K4" s="5"/>
      <c r="M4" s="259"/>
      <c r="N4" s="259"/>
      <c r="O4" s="259"/>
    </row>
    <row r="5" spans="2:15" ht="22.5" x14ac:dyDescent="0.2">
      <c r="C5" s="287" t="s">
        <v>425</v>
      </c>
      <c r="D5" s="287" t="s">
        <v>477</v>
      </c>
      <c r="E5" s="287" t="s">
        <v>426</v>
      </c>
      <c r="F5" s="287" t="s">
        <v>428</v>
      </c>
      <c r="G5" s="287" t="s">
        <v>427</v>
      </c>
      <c r="H5" s="287" t="s">
        <v>478</v>
      </c>
      <c r="I5" s="287" t="s">
        <v>479</v>
      </c>
      <c r="J5" s="297"/>
      <c r="K5" s="287" t="s">
        <v>480</v>
      </c>
      <c r="M5" s="259"/>
      <c r="N5" s="259"/>
      <c r="O5" s="259"/>
    </row>
    <row r="6" spans="2:15" ht="14.25" x14ac:dyDescent="0.2">
      <c r="C6" s="287">
        <f>COUNTIF('Indicator sheet'!$P$9:$P$69,C5)</f>
        <v>0</v>
      </c>
      <c r="D6" s="287">
        <f>COUNTIF('Indicator sheet'!$P$9:$P$69,D5)</f>
        <v>0</v>
      </c>
      <c r="E6" s="287">
        <f>COUNTIF('Indicator sheet'!$P$9:$P$69,E5)</f>
        <v>0</v>
      </c>
      <c r="F6" s="287">
        <f>COUNTIF('Indicator sheet'!$P$9:$P$69,F5)</f>
        <v>20</v>
      </c>
      <c r="G6" s="287">
        <f>COUNTIF('Indicator sheet'!$P$9:$P$69,G5)</f>
        <v>0</v>
      </c>
      <c r="H6" s="287">
        <f>COUNTIF('Indicator sheet'!$P$9:$P$69,H5)</f>
        <v>0</v>
      </c>
      <c r="I6" s="287">
        <f>SUM(D6:H6)</f>
        <v>20</v>
      </c>
      <c r="J6" s="297"/>
      <c r="K6" s="287">
        <f>D6+H6</f>
        <v>0</v>
      </c>
      <c r="M6" s="259"/>
      <c r="N6" s="259"/>
      <c r="O6" s="259"/>
    </row>
    <row r="7" spans="2:15" ht="14.25" x14ac:dyDescent="0.2">
      <c r="C7" s="287"/>
      <c r="D7" s="287">
        <f>C6+D6+H6</f>
        <v>0</v>
      </c>
      <c r="E7" s="287">
        <f>E6</f>
        <v>0</v>
      </c>
      <c r="F7" s="287"/>
      <c r="G7" s="287">
        <f>F6+G6</f>
        <v>20</v>
      </c>
      <c r="H7" s="287"/>
      <c r="I7" s="287">
        <f>SUM(D7:H7)</f>
        <v>20</v>
      </c>
      <c r="J7" s="297"/>
      <c r="K7" s="287"/>
      <c r="M7" s="259"/>
      <c r="N7" s="259"/>
      <c r="O7" s="259"/>
    </row>
    <row r="8" spans="2:15" ht="14.25" x14ac:dyDescent="0.2">
      <c r="B8" s="5" t="s">
        <v>364</v>
      </c>
      <c r="C8" s="287"/>
      <c r="D8" s="287"/>
      <c r="E8" s="287">
        <f>D7+E7</f>
        <v>0</v>
      </c>
      <c r="F8" s="287"/>
      <c r="G8" s="287">
        <f>G7</f>
        <v>20</v>
      </c>
      <c r="H8" s="287"/>
      <c r="I8" s="287">
        <f>SUM(D8:H8)</f>
        <v>20</v>
      </c>
      <c r="J8" s="297"/>
      <c r="K8" s="287"/>
      <c r="M8" s="259"/>
      <c r="N8" s="259"/>
      <c r="O8" s="259"/>
    </row>
    <row r="9" spans="2:15" ht="14.25" x14ac:dyDescent="0.2">
      <c r="B9" s="276">
        <v>20</v>
      </c>
      <c r="C9" s="298">
        <f t="shared" ref="C9:G9" si="0">ROUND(C6/$B$9,4)</f>
        <v>0</v>
      </c>
      <c r="D9" s="298">
        <f t="shared" si="0"/>
        <v>0</v>
      </c>
      <c r="E9" s="298">
        <f t="shared" si="0"/>
        <v>0</v>
      </c>
      <c r="F9" s="298">
        <f t="shared" si="0"/>
        <v>1</v>
      </c>
      <c r="G9" s="298">
        <f t="shared" si="0"/>
        <v>0</v>
      </c>
      <c r="H9" s="298">
        <f>ROUND(H6/$B$9,4)</f>
        <v>0</v>
      </c>
      <c r="I9" s="298">
        <f>SUM(C9:H9)</f>
        <v>1</v>
      </c>
      <c r="J9" s="297"/>
      <c r="K9" s="298">
        <f>D9+H9</f>
        <v>0</v>
      </c>
      <c r="M9" s="259"/>
      <c r="N9" s="259"/>
      <c r="O9" s="259"/>
    </row>
    <row r="10" spans="2:15" ht="14.25" x14ac:dyDescent="0.2">
      <c r="C10" s="299"/>
      <c r="D10" s="298">
        <f>ROUND((C6+D6+H6)/$B$9,4)</f>
        <v>0</v>
      </c>
      <c r="E10" s="298">
        <f>ROUND(E6/$B$9,4)</f>
        <v>0</v>
      </c>
      <c r="F10" s="298"/>
      <c r="G10" s="298">
        <f>ROUND((F6+G6)/$B$9,4)</f>
        <v>1</v>
      </c>
      <c r="H10" s="298"/>
      <c r="I10" s="298">
        <f>SUM(D10:G10)</f>
        <v>1</v>
      </c>
      <c r="J10" s="297"/>
      <c r="K10" s="298"/>
      <c r="M10" s="259"/>
      <c r="N10" s="259"/>
      <c r="O10" s="259"/>
    </row>
    <row r="11" spans="2:15" ht="14.25" x14ac:dyDescent="0.2">
      <c r="C11" s="297"/>
      <c r="D11" s="300"/>
      <c r="E11" s="298">
        <f>ROUND((C6+D6+E6+H6)/$B$9,4)</f>
        <v>0</v>
      </c>
      <c r="F11" s="300"/>
      <c r="G11" s="298">
        <f>G10</f>
        <v>1</v>
      </c>
      <c r="H11" s="298"/>
      <c r="I11" s="298">
        <f>SUM(D11:H11)</f>
        <v>1</v>
      </c>
      <c r="J11" s="297"/>
      <c r="K11" s="297"/>
      <c r="M11" s="259"/>
      <c r="N11" s="259"/>
      <c r="O11" s="259"/>
    </row>
    <row r="12" spans="2:15" x14ac:dyDescent="0.2">
      <c r="E12" s="260"/>
      <c r="G12" s="260"/>
      <c r="H12" s="260"/>
      <c r="I12" s="260"/>
      <c r="M12" s="259"/>
      <c r="N12" s="259"/>
      <c r="O12" s="259"/>
    </row>
    <row r="13" spans="2:15" x14ac:dyDescent="0.2">
      <c r="M13" s="259"/>
      <c r="N13" s="259"/>
      <c r="O13" s="259"/>
    </row>
    <row r="14" spans="2:15" x14ac:dyDescent="0.2">
      <c r="M14" s="259"/>
      <c r="N14" s="259"/>
      <c r="O14" s="259"/>
    </row>
    <row r="15" spans="2:15" x14ac:dyDescent="0.2">
      <c r="M15" s="259"/>
      <c r="N15" s="259"/>
      <c r="O15" s="259"/>
    </row>
    <row r="16" spans="2:15" x14ac:dyDescent="0.2">
      <c r="B16" s="768" t="s">
        <v>380</v>
      </c>
      <c r="C16" s="336" t="s">
        <v>200</v>
      </c>
      <c r="D16" s="337"/>
      <c r="E16" s="337"/>
      <c r="F16" s="337"/>
      <c r="G16" s="337"/>
      <c r="M16" s="259"/>
      <c r="N16" s="259"/>
      <c r="O16" s="259"/>
    </row>
    <row r="17" spans="2:15" ht="22.5" x14ac:dyDescent="0.2">
      <c r="B17" s="768"/>
      <c r="C17" s="338" t="s">
        <v>481</v>
      </c>
      <c r="D17" s="338" t="s">
        <v>482</v>
      </c>
      <c r="E17" s="338" t="s">
        <v>483</v>
      </c>
      <c r="F17" s="338" t="s">
        <v>484</v>
      </c>
      <c r="G17" s="338" t="s">
        <v>485</v>
      </c>
      <c r="H17" s="258" t="s">
        <v>486</v>
      </c>
      <c r="M17" s="259"/>
      <c r="N17" s="259"/>
      <c r="O17" s="259"/>
    </row>
    <row r="18" spans="2:15" x14ac:dyDescent="0.2">
      <c r="C18" s="261"/>
      <c r="D18" s="261"/>
      <c r="E18" s="261"/>
      <c r="F18" s="261"/>
      <c r="G18" s="261"/>
      <c r="M18" s="259"/>
      <c r="N18" s="259"/>
      <c r="O18" s="259"/>
    </row>
    <row r="19" spans="2:15" x14ac:dyDescent="0.2">
      <c r="C19" s="261"/>
      <c r="D19" s="261"/>
      <c r="E19" s="261"/>
      <c r="F19" s="261"/>
      <c r="G19" s="261"/>
      <c r="M19" s="259"/>
      <c r="N19" s="259"/>
      <c r="O19" s="259"/>
    </row>
    <row r="20" spans="2:15" x14ac:dyDescent="0.2">
      <c r="C20" s="261"/>
      <c r="D20" s="261"/>
      <c r="E20" s="261"/>
      <c r="F20" s="261"/>
      <c r="G20" s="261"/>
      <c r="M20" s="259"/>
      <c r="N20" s="259"/>
      <c r="O20" s="259"/>
    </row>
    <row r="21" spans="2:15" hidden="1" x14ac:dyDescent="0.2">
      <c r="C21" s="64" t="s">
        <v>373</v>
      </c>
      <c r="D21" s="327"/>
      <c r="E21" s="327"/>
      <c r="F21" s="327"/>
      <c r="G21" s="327"/>
      <c r="H21" s="5"/>
      <c r="I21" s="5"/>
      <c r="J21" s="5"/>
      <c r="K21" s="5"/>
      <c r="L21" s="5"/>
    </row>
    <row r="22" spans="2:15" hidden="1" x14ac:dyDescent="0.2">
      <c r="C22" s="5" t="s">
        <v>374</v>
      </c>
      <c r="D22" s="327"/>
      <c r="E22" s="327"/>
      <c r="F22" s="327"/>
      <c r="G22" s="327"/>
      <c r="H22" s="5"/>
      <c r="I22" s="5"/>
      <c r="J22" s="5"/>
      <c r="K22" s="5"/>
      <c r="L22" s="5"/>
    </row>
    <row r="23" spans="2:15" hidden="1" x14ac:dyDescent="0.2">
      <c r="C23" s="327"/>
      <c r="D23" s="327"/>
      <c r="E23" s="327"/>
      <c r="F23" s="327"/>
      <c r="G23" s="327"/>
      <c r="H23" s="5"/>
      <c r="I23" s="5"/>
      <c r="J23" s="5"/>
      <c r="K23" s="5"/>
      <c r="L23" s="5"/>
    </row>
    <row r="24" spans="2:15" ht="22.5" hidden="1" x14ac:dyDescent="0.2">
      <c r="C24" s="25" t="s">
        <v>120</v>
      </c>
      <c r="D24" s="25" t="str">
        <f>CONCATENATE('Basic data'!D28," ",'Basic data'!D29)</f>
        <v xml:space="preserve">Tis (= DCIS Paget) 
(N0, M0) </v>
      </c>
      <c r="E24" s="25" t="str">
        <f>CONCATENATE('Basic data'!E28," ",'Basic data'!E29)</f>
        <v xml:space="preserve">T1 (N0, M0) </v>
      </c>
      <c r="F24" s="25" t="str">
        <f>CONCATENATE('Basic data'!F28," ",'Basic data'!F29)</f>
        <v>T2 (N0, M0)</v>
      </c>
      <c r="G24" s="25" t="str">
        <f>CONCATENATE('Basic data'!G28," ",'Basic data'!G29)</f>
        <v>T3 (N0, M0)</v>
      </c>
      <c r="H24" s="25" t="str">
        <f>CONCATENATE('Basic data'!H28," ",'Basic data'!H29)</f>
        <v>T4 (N0, M0)</v>
      </c>
      <c r="I24" s="25" t="str">
        <f>CONCATENATE('Basic data'!I28," ",'Basic data'!I29)</f>
        <v>N+ (every T incl. Tis/Tx 2a), M0)</v>
      </c>
      <c r="J24" s="25" t="str">
        <f>CONCATENATE('Basic data'!J28," ",'Basic data'!J29)</f>
        <v xml:space="preserve">M1 (every N, every T
incl. Tis/Tx) 2b) </v>
      </c>
      <c r="K24" s="25" t="str">
        <f>CONCATENATE('Basic data'!K28," ",'Basic data'!K29)</f>
        <v xml:space="preserve">not to be attributed </v>
      </c>
      <c r="L24" s="25" t="s">
        <v>148</v>
      </c>
    </row>
    <row r="25" spans="2:15" hidden="1" x14ac:dyDescent="0.2">
      <c r="C25" s="328" t="s">
        <v>148</v>
      </c>
      <c r="D25" s="25">
        <f>'Basic data'!D30</f>
        <v>0</v>
      </c>
      <c r="E25" s="25">
        <f>'Basic data'!E30</f>
        <v>0</v>
      </c>
      <c r="F25" s="25">
        <f>'Basic data'!F30</f>
        <v>0</v>
      </c>
      <c r="G25" s="25">
        <f>'Basic data'!G30</f>
        <v>0</v>
      </c>
      <c r="H25" s="25">
        <f>'Basic data'!H30</f>
        <v>0</v>
      </c>
      <c r="I25" s="25">
        <f>'Basic data'!I30</f>
        <v>0</v>
      </c>
      <c r="J25" s="25">
        <f>'Basic data'!J30</f>
        <v>0</v>
      </c>
      <c r="K25" s="25">
        <f>'Basic data'!K30</f>
        <v>0</v>
      </c>
      <c r="L25" s="25" t="str">
        <f>'Basic data'!L30</f>
        <v/>
      </c>
    </row>
    <row r="26" spans="2:15" hidden="1" x14ac:dyDescent="0.2">
      <c r="C26" s="329"/>
      <c r="D26" s="330"/>
      <c r="E26" s="330"/>
      <c r="F26" s="330"/>
      <c r="G26" s="330"/>
      <c r="H26" s="47"/>
      <c r="I26" s="63"/>
      <c r="J26" s="5"/>
      <c r="K26" s="5"/>
      <c r="L26" s="5"/>
    </row>
    <row r="27" spans="2:15" hidden="1" x14ac:dyDescent="0.2">
      <c r="C27" s="331" t="s">
        <v>375</v>
      </c>
      <c r="D27" s="25" t="str">
        <f>'Basic data'!D33</f>
        <v/>
      </c>
      <c r="E27" s="25" t="str">
        <f>'Basic data'!E33</f>
        <v/>
      </c>
      <c r="F27" s="25" t="str">
        <f>'Basic data'!F33</f>
        <v/>
      </c>
      <c r="G27" s="25" t="str">
        <f>'Basic data'!G33</f>
        <v/>
      </c>
      <c r="H27" s="25" t="str">
        <f>'Basic data'!H33</f>
        <v/>
      </c>
      <c r="I27" s="25" t="str">
        <f>'Basic data'!I33</f>
        <v/>
      </c>
      <c r="J27" s="25" t="str">
        <f>'Basic data'!J33</f>
        <v/>
      </c>
      <c r="K27" s="25" t="str">
        <f>'Basic data'!K33</f>
        <v/>
      </c>
      <c r="L27" s="25" t="str">
        <f>'Basic data'!L33</f>
        <v/>
      </c>
    </row>
    <row r="28" spans="2:15" ht="17.25" hidden="1" x14ac:dyDescent="0.25">
      <c r="C28" s="331" t="s">
        <v>376</v>
      </c>
      <c r="D28" s="25">
        <f>'Basic data'!D34</f>
        <v>0</v>
      </c>
      <c r="E28" s="25">
        <f>'Basic data'!E34</f>
        <v>0</v>
      </c>
      <c r="F28" s="25">
        <f>'Basic data'!F34</f>
        <v>0</v>
      </c>
      <c r="G28" s="25">
        <f>'Basic data'!G34</f>
        <v>0</v>
      </c>
      <c r="H28" s="25">
        <f>'Basic data'!H34</f>
        <v>0</v>
      </c>
      <c r="I28" s="25">
        <f>'Basic data'!I34</f>
        <v>0</v>
      </c>
      <c r="J28" s="25">
        <f>'Basic data'!J34</f>
        <v>0</v>
      </c>
      <c r="K28" s="25">
        <f>'Basic data'!K34</f>
        <v>0</v>
      </c>
      <c r="L28" s="25" t="str">
        <f>'Basic data'!L34</f>
        <v/>
      </c>
    </row>
    <row r="29" spans="2:15" ht="39.75" hidden="1" x14ac:dyDescent="0.25">
      <c r="C29" s="331" t="s">
        <v>377</v>
      </c>
      <c r="D29" s="25">
        <f>'Basic data'!D35</f>
        <v>0</v>
      </c>
      <c r="E29" s="25">
        <f>'Basic data'!E35</f>
        <v>0</v>
      </c>
      <c r="F29" s="25">
        <f>'Basic data'!F35</f>
        <v>0</v>
      </c>
      <c r="G29" s="25">
        <f>'Basic data'!G35</f>
        <v>0</v>
      </c>
      <c r="H29" s="25">
        <f>'Basic data'!H35</f>
        <v>0</v>
      </c>
      <c r="I29" s="25">
        <f>'Basic data'!I35</f>
        <v>0</v>
      </c>
      <c r="J29" s="25">
        <f>'Basic data'!J35</f>
        <v>0</v>
      </c>
      <c r="K29" s="25">
        <f>'Basic data'!K35</f>
        <v>0</v>
      </c>
      <c r="L29" s="25" t="str">
        <f>'Basic data'!L35</f>
        <v/>
      </c>
    </row>
    <row r="30" spans="2:15" hidden="1" x14ac:dyDescent="0.2">
      <c r="B30" s="261"/>
      <c r="C30" s="327" t="s">
        <v>378</v>
      </c>
      <c r="D30" s="332">
        <f>IF('Basic data'!D$30="",0,'Basic data'!D$30)-IF('Basic data'!D$35="",0,'Basic data'!D$35)</f>
        <v>0</v>
      </c>
      <c r="E30" s="332">
        <f>IF('Basic data'!E$30="",0,'Basic data'!E$30)-IF('Basic data'!E$35="",0,'Basic data'!E$35)</f>
        <v>0</v>
      </c>
      <c r="F30" s="332">
        <f>IF('Basic data'!F$30="",0,'Basic data'!F$30)-IF('Basic data'!F$35="",0,'Basic data'!F$35)</f>
        <v>0</v>
      </c>
      <c r="G30" s="332">
        <f>IF('Basic data'!G$30="",0,'Basic data'!G$30)-IF('Basic data'!G$35="",0,'Basic data'!G$35)</f>
        <v>0</v>
      </c>
      <c r="H30" s="332">
        <f>IF('Basic data'!H$30="",0,'Basic data'!H$30)-IF('Basic data'!H$35="",0,'Basic data'!H$35)</f>
        <v>0</v>
      </c>
      <c r="I30" s="332">
        <f>IF('Basic data'!I$30="",0,'Basic data'!I$30)-IF('Basic data'!I$35="",0,'Basic data'!I$35)</f>
        <v>0</v>
      </c>
      <c r="J30" s="332">
        <f>IF('Basic data'!J$30="",0,'Basic data'!J$30)-IF('Basic data'!J$35="",0,'Basic data'!J$35)</f>
        <v>0</v>
      </c>
      <c r="K30" s="332">
        <f>IF('Basic data'!K$30="",0,'Basic data'!K$30)-IF('Basic data'!K$35="",0,'Basic data'!K$35)</f>
        <v>0</v>
      </c>
      <c r="L30" s="332">
        <f>IF('Basic data'!L$30="",0,'Basic data'!L$30)-IF('Basic data'!L$35="",0,'Basic data'!L$35)</f>
        <v>0</v>
      </c>
      <c r="M30" s="259"/>
      <c r="N30" s="259"/>
      <c r="O30" s="259"/>
    </row>
    <row r="31" spans="2:15" ht="22.5" hidden="1" x14ac:dyDescent="0.2">
      <c r="B31" s="261"/>
      <c r="C31" s="327" t="s">
        <v>122</v>
      </c>
      <c r="D31" s="332">
        <f>IF('Basic data'!D$30="",0,'Basic data'!D$30)-IF('Basic data'!D$34="",0,'Basic data'!D$34)</f>
        <v>0</v>
      </c>
      <c r="E31" s="332">
        <f>IF('Basic data'!E$30="",0,'Basic data'!E$30)-IF('Basic data'!E$34="",0,'Basic data'!E$34)</f>
        <v>0</v>
      </c>
      <c r="F31" s="332">
        <f>IF('Basic data'!F$30="",0,'Basic data'!F$30)-IF('Basic data'!F$34="",0,'Basic data'!F$34)</f>
        <v>0</v>
      </c>
      <c r="G31" s="332">
        <f>IF('Basic data'!G$30="",0,'Basic data'!G$30)-IF('Basic data'!G$34="",0,'Basic data'!G$34)</f>
        <v>0</v>
      </c>
      <c r="H31" s="332">
        <f>IF('Basic data'!H$30="",0,'Basic data'!H$30)-IF('Basic data'!H$34="",0,'Basic data'!H$34)</f>
        <v>0</v>
      </c>
      <c r="I31" s="332">
        <f>IF('Basic data'!I$30="",0,'Basic data'!I$30)-IF('Basic data'!I$34="",0,'Basic data'!I$34)</f>
        <v>0</v>
      </c>
      <c r="J31" s="332">
        <f>IF('Basic data'!J$30="",0,'Basic data'!J$30)-IF('Basic data'!J$34="",0,'Basic data'!J$34)</f>
        <v>0</v>
      </c>
      <c r="K31" s="332">
        <f>IF('Basic data'!K$30="",0,'Basic data'!K$30)-IF('Basic data'!K$34="",0,'Basic data'!K$34)</f>
        <v>0</v>
      </c>
      <c r="L31" s="332">
        <f>IF('Basic data'!L$30="",0,'Basic data'!L$30)-IF('Basic data'!L$34="",0,'Basic data'!L$34)</f>
        <v>0</v>
      </c>
      <c r="M31" s="259"/>
      <c r="N31" s="259"/>
      <c r="O31" s="259"/>
    </row>
    <row r="32" spans="2:15" x14ac:dyDescent="0.2">
      <c r="B32" s="261"/>
      <c r="C32" s="261"/>
      <c r="D32" s="261"/>
      <c r="E32" s="261"/>
      <c r="F32" s="261"/>
      <c r="M32" s="259"/>
      <c r="N32" s="259"/>
      <c r="O32" s="259"/>
    </row>
    <row r="33" spans="1:15" x14ac:dyDescent="0.2">
      <c r="B33" s="261"/>
      <c r="C33" s="261"/>
      <c r="D33" s="261"/>
      <c r="E33" s="261"/>
      <c r="F33" s="261"/>
      <c r="M33" s="259"/>
      <c r="N33" s="259"/>
      <c r="O33" s="259"/>
    </row>
    <row r="34" spans="1:15" x14ac:dyDescent="0.2">
      <c r="B34" s="261"/>
      <c r="C34" s="261"/>
      <c r="D34" s="261"/>
      <c r="E34" s="261"/>
      <c r="F34" s="261"/>
      <c r="M34" s="259"/>
      <c r="N34" s="259"/>
      <c r="O34" s="259"/>
    </row>
    <row r="35" spans="1:15" x14ac:dyDescent="0.2">
      <c r="B35" s="261"/>
      <c r="C35" s="257" t="s">
        <v>190</v>
      </c>
      <c r="D35" s="261"/>
      <c r="E35" s="261"/>
      <c r="F35" s="261"/>
      <c r="M35" s="259"/>
      <c r="N35" s="259"/>
      <c r="O35" s="259"/>
    </row>
    <row r="36" spans="1:15" x14ac:dyDescent="0.2">
      <c r="M36" s="259"/>
      <c r="N36" s="259"/>
      <c r="O36" s="259"/>
    </row>
    <row r="37" spans="1:15" x14ac:dyDescent="0.2">
      <c r="C37" s="262" t="s">
        <v>116</v>
      </c>
      <c r="D37" s="262" t="s">
        <v>206</v>
      </c>
      <c r="E37" s="262" t="s">
        <v>214</v>
      </c>
      <c r="F37" s="262" t="s">
        <v>213</v>
      </c>
      <c r="G37" s="262" t="s">
        <v>211</v>
      </c>
      <c r="H37" s="262" t="s">
        <v>212</v>
      </c>
      <c r="I37" s="262"/>
      <c r="J37" s="262" t="s">
        <v>215</v>
      </c>
      <c r="K37" s="262" t="s">
        <v>216</v>
      </c>
      <c r="L37" s="262" t="s">
        <v>210</v>
      </c>
      <c r="M37" s="262" t="s">
        <v>161</v>
      </c>
      <c r="N37" s="262" t="s">
        <v>160</v>
      </c>
      <c r="O37" s="262" t="s">
        <v>159</v>
      </c>
    </row>
    <row r="38" spans="1:15" x14ac:dyDescent="0.2">
      <c r="A38" s="263"/>
      <c r="C38" s="262"/>
      <c r="D38" s="262"/>
      <c r="E38" s="262"/>
      <c r="F38" s="262"/>
      <c r="G38" s="262"/>
      <c r="H38" s="262"/>
      <c r="I38" s="262"/>
      <c r="J38" s="262"/>
      <c r="K38" s="262"/>
      <c r="L38" s="262"/>
      <c r="M38" s="262"/>
      <c r="N38" s="262"/>
      <c r="O38" s="264"/>
    </row>
    <row r="39" spans="1:15" x14ac:dyDescent="0.2">
      <c r="A39" s="263"/>
      <c r="C39" s="262"/>
      <c r="D39" s="262"/>
      <c r="E39" s="262"/>
      <c r="F39" s="262"/>
      <c r="G39" s="262"/>
      <c r="H39" s="262"/>
      <c r="I39" s="262"/>
      <c r="J39" s="262"/>
      <c r="K39" s="262"/>
      <c r="L39" s="262"/>
      <c r="M39" s="262"/>
      <c r="N39" s="262"/>
      <c r="O39" s="264"/>
    </row>
    <row r="40" spans="1:15" x14ac:dyDescent="0.2">
      <c r="A40" s="263"/>
      <c r="C40" s="475">
        <v>1</v>
      </c>
      <c r="D40" s="476" t="s">
        <v>207</v>
      </c>
      <c r="E40" s="477">
        <v>0</v>
      </c>
      <c r="F40" s="477">
        <v>1</v>
      </c>
      <c r="G40" s="477">
        <v>0.95</v>
      </c>
      <c r="H40" s="477">
        <v>10000</v>
      </c>
      <c r="I40" s="477"/>
      <c r="J40" s="477">
        <v>-10000</v>
      </c>
      <c r="K40" s="477">
        <v>10000</v>
      </c>
      <c r="L40" s="478" t="str">
        <f>'Indicator sheet'!O11</f>
        <v>n.d.</v>
      </c>
      <c r="M40" s="479">
        <f>IF('Indicator sheet'!P9=Berechnung1!$G$5,1,IF('Indicator sheet'!P9=Berechnung1!$F$5,1,IF('Indicator sheet'!P9=Berechnung1!$E$5,2,IF('Indicator sheet'!P9=Berechnung1!$D$5,3,IF('Indicator sheet'!P9=Berechnung1!$C$5,4,"")))))</f>
        <v>1</v>
      </c>
      <c r="N40" s="479">
        <f>IF(M40&gt;1,M40+3,M40)</f>
        <v>1</v>
      </c>
      <c r="O40" s="479">
        <f>IF('Indicator sheet'!R9="",0,1)</f>
        <v>0</v>
      </c>
    </row>
    <row r="41" spans="1:15" x14ac:dyDescent="0.2">
      <c r="A41" s="263"/>
      <c r="C41" s="265"/>
      <c r="D41" s="266"/>
      <c r="E41" s="267"/>
      <c r="F41" s="267"/>
      <c r="G41" s="267"/>
      <c r="H41" s="267"/>
      <c r="I41" s="267"/>
      <c r="J41" s="267"/>
      <c r="K41" s="267"/>
      <c r="L41" s="267"/>
      <c r="M41" s="267"/>
      <c r="N41" s="267"/>
      <c r="O41" s="268"/>
    </row>
    <row r="42" spans="1:15" x14ac:dyDescent="0.2">
      <c r="A42" s="263"/>
      <c r="C42" s="265"/>
      <c r="D42" s="266"/>
      <c r="E42" s="267"/>
      <c r="F42" s="267"/>
      <c r="G42" s="267"/>
      <c r="H42" s="267"/>
      <c r="I42" s="267"/>
      <c r="J42" s="267"/>
      <c r="K42" s="267"/>
      <c r="L42" s="267"/>
      <c r="M42" s="267"/>
      <c r="N42" s="267"/>
      <c r="O42" s="268"/>
    </row>
    <row r="43" spans="1:15" x14ac:dyDescent="0.2">
      <c r="A43" s="263"/>
      <c r="C43" s="475">
        <v>2</v>
      </c>
      <c r="D43" s="476" t="s">
        <v>207</v>
      </c>
      <c r="E43" s="477">
        <v>0</v>
      </c>
      <c r="F43" s="477">
        <v>1</v>
      </c>
      <c r="G43" s="477">
        <v>0.4</v>
      </c>
      <c r="H43" s="477">
        <v>100000000</v>
      </c>
      <c r="I43" s="477"/>
      <c r="J43" s="477">
        <v>-10000</v>
      </c>
      <c r="K43" s="477">
        <v>10000</v>
      </c>
      <c r="L43" s="478" t="str">
        <f>'Indicator sheet'!O14</f>
        <v>n.d.</v>
      </c>
      <c r="M43" s="479">
        <f>IF('Indicator sheet'!P12=Berechnung1!$G$5,1,IF('Indicator sheet'!P12=Berechnung1!$F$5,1,IF('Indicator sheet'!P12=Berechnung1!$E$5,2,IF('Indicator sheet'!P12=Berechnung1!$D$5,3,IF('Indicator sheet'!P12=Berechnung1!$C$5,4,"")))))</f>
        <v>1</v>
      </c>
      <c r="N43" s="479">
        <f>IF(M43&gt;1,M43+3,M43)</f>
        <v>1</v>
      </c>
      <c r="O43" s="479">
        <f>IF('Indicator sheet'!R12="",0,1)</f>
        <v>0</v>
      </c>
    </row>
    <row r="44" spans="1:15" x14ac:dyDescent="0.2">
      <c r="C44" s="269"/>
      <c r="D44" s="269"/>
      <c r="E44" s="269"/>
      <c r="F44" s="269"/>
      <c r="G44" s="269"/>
      <c r="H44" s="269"/>
      <c r="I44" s="269"/>
      <c r="J44" s="269"/>
      <c r="K44" s="269"/>
      <c r="L44" s="269"/>
      <c r="M44" s="269"/>
      <c r="N44" s="269"/>
      <c r="O44" s="269"/>
    </row>
    <row r="45" spans="1:15" x14ac:dyDescent="0.2">
      <c r="A45" s="263"/>
      <c r="C45" s="265"/>
      <c r="D45" s="266"/>
      <c r="E45" s="267"/>
      <c r="F45" s="267"/>
      <c r="G45" s="267"/>
      <c r="H45" s="267"/>
      <c r="I45" s="267"/>
      <c r="J45" s="267"/>
      <c r="K45" s="267"/>
      <c r="L45" s="267"/>
      <c r="M45" s="267"/>
      <c r="N45" s="267"/>
      <c r="O45" s="268"/>
    </row>
    <row r="46" spans="1:15" x14ac:dyDescent="0.2">
      <c r="A46" s="263"/>
      <c r="C46" s="294">
        <v>3</v>
      </c>
      <c r="D46" s="293" t="s">
        <v>207</v>
      </c>
      <c r="E46" s="292">
        <v>0</v>
      </c>
      <c r="F46" s="292">
        <v>1</v>
      </c>
      <c r="G46" s="292">
        <v>-100000000</v>
      </c>
      <c r="H46" s="292">
        <v>100000000</v>
      </c>
      <c r="I46" s="292"/>
      <c r="J46" s="292">
        <v>0.7</v>
      </c>
      <c r="K46" s="292">
        <v>10000</v>
      </c>
      <c r="L46" s="292" t="str">
        <f>'Indicator sheet'!O17</f>
        <v>n.d.</v>
      </c>
      <c r="M46" s="291">
        <f>IF('Indicator sheet'!P15=Berechnung1!$H$5,5,IF('Indicator sheet'!P15=Berechnung1!$G$5,1,IF('Indicator sheet'!P15=Berechnung1!$F$5,1,IF('Indicator sheet'!P15=Berechnung1!$E$5,2,IF(AND('Indicator sheet'!P15=Berechnung1!$D$5,'Indicator sheet'!O15=0,'Indicator sheet'!O16=0),5,IF('Indicator sheet'!P15=Berechnung1!$D$5,3,IF('Indicator sheet'!P15=Berechnung1!$C$5,4,"")))))))</f>
        <v>1</v>
      </c>
      <c r="N46" s="291">
        <f>IF(M46&gt;1,M46+3,M46)</f>
        <v>1</v>
      </c>
      <c r="O46" s="291">
        <f>IF('Indicator sheet'!R15="",0,1)</f>
        <v>0</v>
      </c>
    </row>
    <row r="47" spans="1:15" x14ac:dyDescent="0.2">
      <c r="A47" s="263"/>
      <c r="C47" s="265"/>
      <c r="D47" s="266"/>
      <c r="E47" s="267"/>
      <c r="F47" s="267"/>
      <c r="G47" s="267"/>
      <c r="H47" s="267"/>
      <c r="I47" s="267"/>
      <c r="J47" s="267"/>
      <c r="K47" s="267"/>
      <c r="L47" s="267"/>
      <c r="M47" s="267"/>
      <c r="N47" s="267"/>
      <c r="O47" s="268"/>
    </row>
    <row r="48" spans="1:15" x14ac:dyDescent="0.2">
      <c r="A48" s="263"/>
      <c r="C48" s="265"/>
      <c r="D48" s="266"/>
      <c r="E48" s="267"/>
      <c r="F48" s="267"/>
      <c r="G48" s="267"/>
      <c r="H48" s="267"/>
      <c r="I48" s="267"/>
      <c r="J48" s="267"/>
      <c r="K48" s="267"/>
      <c r="L48" s="267"/>
      <c r="M48" s="267"/>
      <c r="N48" s="267"/>
      <c r="O48" s="268"/>
    </row>
    <row r="49" spans="1:15" x14ac:dyDescent="0.2">
      <c r="A49" s="263"/>
      <c r="C49" s="475" t="s">
        <v>354</v>
      </c>
      <c r="D49" s="476" t="s">
        <v>207</v>
      </c>
      <c r="E49" s="477">
        <v>0</v>
      </c>
      <c r="F49" s="477">
        <v>1</v>
      </c>
      <c r="G49" s="477">
        <v>0.9</v>
      </c>
      <c r="H49" s="477">
        <v>10000</v>
      </c>
      <c r="I49" s="477"/>
      <c r="J49" s="477">
        <v>-10000</v>
      </c>
      <c r="K49" s="477">
        <v>10000</v>
      </c>
      <c r="L49" s="478" t="str">
        <f>'Indicator sheet'!O20</f>
        <v>n.d.</v>
      </c>
      <c r="M49" s="479">
        <f>IF('Indicator sheet'!P18=Berechnung1!$G$5,1,IF('Indicator sheet'!P18=Berechnung1!$F$5,1,IF('Indicator sheet'!P18=Berechnung1!$E$5,2,IF('Indicator sheet'!P18=Berechnung1!$D$5,3,IF('Indicator sheet'!P18=Berechnung1!$C$5,4,"")))))</f>
        <v>1</v>
      </c>
      <c r="N49" s="479">
        <f>IF(M49&gt;1,M49+3,M49)</f>
        <v>1</v>
      </c>
      <c r="O49" s="479">
        <f>IF('Indicator sheet'!R18="",0,1)</f>
        <v>0</v>
      </c>
    </row>
    <row r="50" spans="1:15" x14ac:dyDescent="0.2">
      <c r="A50" s="263"/>
      <c r="C50" s="265"/>
      <c r="D50" s="266"/>
      <c r="E50" s="267"/>
      <c r="F50" s="267"/>
      <c r="G50" s="267"/>
      <c r="H50" s="267"/>
      <c r="I50" s="267"/>
      <c r="J50" s="267"/>
      <c r="K50" s="267"/>
      <c r="L50" s="267"/>
      <c r="M50" s="267"/>
      <c r="N50" s="267"/>
      <c r="O50" s="268"/>
    </row>
    <row r="51" spans="1:15" x14ac:dyDescent="0.2">
      <c r="A51" s="263"/>
      <c r="C51" s="265"/>
      <c r="D51" s="266"/>
      <c r="E51" s="267"/>
      <c r="F51" s="267"/>
      <c r="G51" s="267"/>
      <c r="H51" s="267"/>
      <c r="I51" s="267"/>
      <c r="J51" s="267"/>
      <c r="K51" s="267"/>
      <c r="L51" s="267"/>
      <c r="M51" s="267"/>
      <c r="N51" s="267"/>
      <c r="O51" s="268"/>
    </row>
    <row r="52" spans="1:15" x14ac:dyDescent="0.2">
      <c r="A52" s="263"/>
      <c r="C52" s="294" t="s">
        <v>355</v>
      </c>
      <c r="D52" s="293" t="s">
        <v>207</v>
      </c>
      <c r="E52" s="292">
        <v>0</v>
      </c>
      <c r="F52" s="292">
        <v>1</v>
      </c>
      <c r="G52" s="292">
        <v>-10000</v>
      </c>
      <c r="H52" s="292">
        <v>10000</v>
      </c>
      <c r="I52" s="292"/>
      <c r="J52" s="292">
        <v>0.6</v>
      </c>
      <c r="K52" s="292">
        <v>10000</v>
      </c>
      <c r="L52" s="474" t="str">
        <f>'Indicator sheet'!O23</f>
        <v>n.d.</v>
      </c>
      <c r="M52" s="291">
        <f>IF('Indicator sheet'!P21=Berechnung1!$H$5,5,IF('Indicator sheet'!P21=Berechnung1!$G$5,1,IF('Indicator sheet'!P21=Berechnung1!$F$5,1,IF('Indicator sheet'!P21=Berechnung1!$E$5,2,IF(AND('Indicator sheet'!P21=Berechnung1!$D$5,'Indicator sheet'!O21=0,'Indicator sheet'!O22=0),5,IF('Indicator sheet'!P21=Berechnung1!$D$5,3,IF('Indicator sheet'!P21=Berechnung1!$C$5,4,"")))))))</f>
        <v>1</v>
      </c>
      <c r="N52" s="291">
        <f>IF(M52&gt;1,M52+3,M52)</f>
        <v>1</v>
      </c>
      <c r="O52" s="291">
        <f>IF('Indicator sheet'!R21="",0,1)</f>
        <v>0</v>
      </c>
    </row>
    <row r="53" spans="1:15" x14ac:dyDescent="0.2">
      <c r="A53" s="263"/>
      <c r="C53" s="265"/>
      <c r="D53" s="266"/>
      <c r="E53" s="267"/>
      <c r="F53" s="267"/>
      <c r="G53" s="267"/>
      <c r="H53" s="267"/>
      <c r="I53" s="267"/>
      <c r="J53" s="267"/>
      <c r="K53" s="267"/>
      <c r="L53" s="267"/>
      <c r="M53" s="267"/>
      <c r="N53" s="267"/>
      <c r="O53" s="268"/>
    </row>
    <row r="54" spans="1:15" x14ac:dyDescent="0.2">
      <c r="A54" s="263"/>
      <c r="C54" s="265"/>
      <c r="D54" s="266"/>
      <c r="E54" s="267"/>
      <c r="F54" s="267"/>
      <c r="G54" s="267"/>
      <c r="H54" s="267"/>
      <c r="I54" s="267"/>
      <c r="J54" s="267"/>
      <c r="K54" s="267"/>
      <c r="L54" s="267"/>
      <c r="M54" s="267"/>
      <c r="N54" s="267"/>
      <c r="O54" s="268"/>
    </row>
    <row r="55" spans="1:15" x14ac:dyDescent="0.2">
      <c r="A55" s="263"/>
      <c r="C55" s="500" t="s">
        <v>356</v>
      </c>
      <c r="D55" s="476" t="s">
        <v>207</v>
      </c>
      <c r="E55" s="477">
        <v>0</v>
      </c>
      <c r="F55" s="477">
        <v>1</v>
      </c>
      <c r="G55" s="477">
        <v>0.95</v>
      </c>
      <c r="H55" s="477">
        <v>10000</v>
      </c>
      <c r="I55" s="477"/>
      <c r="J55" s="477">
        <v>-10000</v>
      </c>
      <c r="K55" s="477">
        <v>10000</v>
      </c>
      <c r="L55" s="478" t="str">
        <f>'Indicator sheet'!O26</f>
        <v>n.d.</v>
      </c>
      <c r="M55" s="479">
        <f>IF('Indicator sheet'!P24=Berechnung1!$G$5,1,IF('Indicator sheet'!P24=Berechnung1!$F$5,1,IF('Indicator sheet'!P24=Berechnung1!$E$5,2,IF('Indicator sheet'!P24=Berechnung1!$D$5,3,IF('Indicator sheet'!P24=Berechnung1!$C$5,4,"")))))</f>
        <v>1</v>
      </c>
      <c r="N55" s="479">
        <f>IF(M55&gt;1,M55+3,M55)</f>
        <v>1</v>
      </c>
      <c r="O55" s="479">
        <f>IF('Indicator sheet'!R24="",0,1)</f>
        <v>0</v>
      </c>
    </row>
    <row r="56" spans="1:15" x14ac:dyDescent="0.2">
      <c r="A56" s="263"/>
      <c r="C56" s="265"/>
      <c r="D56" s="266"/>
      <c r="E56" s="267"/>
      <c r="F56" s="267"/>
      <c r="G56" s="267"/>
      <c r="H56" s="267"/>
      <c r="I56" s="267"/>
      <c r="J56" s="267"/>
      <c r="K56" s="267"/>
      <c r="L56" s="267"/>
      <c r="M56" s="267"/>
      <c r="N56" s="267"/>
      <c r="O56" s="268"/>
    </row>
    <row r="57" spans="1:15" x14ac:dyDescent="0.2">
      <c r="A57" s="263"/>
      <c r="C57" s="265"/>
      <c r="D57" s="266"/>
      <c r="E57" s="267"/>
      <c r="F57" s="267"/>
      <c r="G57" s="267"/>
      <c r="H57" s="267"/>
      <c r="I57" s="267"/>
      <c r="J57" s="267"/>
      <c r="K57" s="267"/>
      <c r="L57" s="267"/>
      <c r="M57" s="267"/>
      <c r="N57" s="267"/>
      <c r="O57" s="268"/>
    </row>
    <row r="58" spans="1:15" x14ac:dyDescent="0.2">
      <c r="A58" s="263"/>
      <c r="C58" s="501" t="s">
        <v>357</v>
      </c>
      <c r="D58" s="290" t="s">
        <v>207</v>
      </c>
      <c r="E58" s="292">
        <v>0</v>
      </c>
      <c r="F58" s="292">
        <v>1</v>
      </c>
      <c r="G58" s="292">
        <v>0.95</v>
      </c>
      <c r="H58" s="292">
        <v>10000</v>
      </c>
      <c r="I58" s="292"/>
      <c r="J58" s="292">
        <v>-10000</v>
      </c>
      <c r="K58" s="292">
        <v>10000</v>
      </c>
      <c r="L58" s="474" t="str">
        <f>'Indicator sheet'!O29</f>
        <v>n.d.</v>
      </c>
      <c r="M58" s="291">
        <f>IF('Indicator sheet'!P27=Berechnung1!$H$5,5,IF('Indicator sheet'!P27=Berechnung1!$G$5,1,IF('Indicator sheet'!P27=Berechnung1!$F$5,1,IF('Indicator sheet'!P27=Berechnung1!$E$5,2,IF(AND('Indicator sheet'!P27=Berechnung1!$D$5,'Indicator sheet'!O27=0,'Indicator sheet'!O28=0),5,IF('Indicator sheet'!P27=Berechnung1!$D$5,3,IF('Indicator sheet'!P27=Berechnung1!$C$5,4,"")))))))</f>
        <v>1</v>
      </c>
      <c r="N58" s="291">
        <f>IF(M58&gt;1,M58+3,M58)</f>
        <v>1</v>
      </c>
      <c r="O58" s="291">
        <f>IF('Indicator sheet'!R27="",0,1)</f>
        <v>0</v>
      </c>
    </row>
    <row r="59" spans="1:15" x14ac:dyDescent="0.2">
      <c r="A59" s="263"/>
      <c r="C59" s="265"/>
      <c r="D59" s="266"/>
      <c r="E59" s="267"/>
      <c r="F59" s="267"/>
      <c r="G59" s="267"/>
      <c r="H59" s="267"/>
      <c r="I59" s="267"/>
      <c r="J59" s="267"/>
      <c r="K59" s="267"/>
      <c r="L59" s="267"/>
      <c r="M59" s="267"/>
      <c r="N59" s="267"/>
      <c r="O59" s="268"/>
    </row>
    <row r="60" spans="1:15" x14ac:dyDescent="0.2">
      <c r="A60" s="263"/>
      <c r="C60" s="265"/>
      <c r="D60" s="266"/>
      <c r="E60" s="267"/>
      <c r="F60" s="267"/>
      <c r="G60" s="267"/>
      <c r="H60" s="267"/>
      <c r="I60" s="267"/>
      <c r="J60" s="267"/>
      <c r="K60" s="267"/>
      <c r="L60" s="267"/>
      <c r="M60" s="267"/>
      <c r="N60" s="267"/>
      <c r="O60" s="268"/>
    </row>
    <row r="61" spans="1:15" x14ac:dyDescent="0.2">
      <c r="A61" s="263"/>
      <c r="C61" s="501" t="s">
        <v>358</v>
      </c>
      <c r="D61" s="290" t="s">
        <v>207</v>
      </c>
      <c r="E61" s="292">
        <v>0</v>
      </c>
      <c r="F61" s="292">
        <v>1</v>
      </c>
      <c r="G61" s="292">
        <v>0.95</v>
      </c>
      <c r="H61" s="292">
        <v>10000</v>
      </c>
      <c r="I61" s="292"/>
      <c r="J61" s="292">
        <v>-10000</v>
      </c>
      <c r="K61" s="292">
        <v>10000</v>
      </c>
      <c r="L61" s="474" t="str">
        <f>'Indicator sheet'!O32</f>
        <v>n.d.</v>
      </c>
      <c r="M61" s="291">
        <f>IF('Indicator sheet'!P30=Berechnung1!$H$5,5,IF('Indicator sheet'!P30=Berechnung1!$G$5,1,IF('Indicator sheet'!P30=Berechnung1!$F$5,1,IF('Indicator sheet'!P30=Berechnung1!$E$5,2,IF(AND('Indicator sheet'!P30=Berechnung1!$D$5,'Indicator sheet'!O30=0,'Indicator sheet'!O31=0),5,IF('Indicator sheet'!P30=Berechnung1!$D$5,3,IF('Indicator sheet'!P30=Berechnung1!$C$5,4,"")))))))</f>
        <v>1</v>
      </c>
      <c r="N61" s="291">
        <f>IF(M61&gt;1,M61+3,M61)</f>
        <v>1</v>
      </c>
      <c r="O61" s="291">
        <f>IF('Indicator sheet'!R30="",0,1)</f>
        <v>0</v>
      </c>
    </row>
    <row r="62" spans="1:15" x14ac:dyDescent="0.2">
      <c r="A62" s="263"/>
      <c r="C62" s="265"/>
      <c r="D62" s="266"/>
      <c r="E62" s="267"/>
      <c r="F62" s="267"/>
      <c r="G62" s="267"/>
      <c r="H62" s="267"/>
      <c r="I62" s="267"/>
      <c r="J62" s="267"/>
      <c r="K62" s="267"/>
      <c r="L62" s="267"/>
      <c r="M62" s="267"/>
      <c r="N62" s="267"/>
      <c r="O62" s="268"/>
    </row>
    <row r="63" spans="1:15" x14ac:dyDescent="0.2">
      <c r="A63" s="263"/>
      <c r="C63" s="265"/>
      <c r="D63" s="266"/>
      <c r="E63" s="267"/>
      <c r="F63" s="267"/>
      <c r="G63" s="267"/>
      <c r="H63" s="267"/>
      <c r="I63" s="267"/>
      <c r="J63" s="267"/>
      <c r="K63" s="267"/>
      <c r="L63" s="267"/>
      <c r="M63" s="267"/>
      <c r="N63" s="267"/>
      <c r="O63" s="268"/>
    </row>
    <row r="64" spans="1:15" x14ac:dyDescent="0.2">
      <c r="A64" s="263"/>
      <c r="B64" s="5"/>
      <c r="C64" s="500" t="s">
        <v>359</v>
      </c>
      <c r="D64" s="476" t="s">
        <v>207</v>
      </c>
      <c r="E64" s="477">
        <v>0</v>
      </c>
      <c r="F64" s="477">
        <v>1</v>
      </c>
      <c r="G64" s="477">
        <v>0.65</v>
      </c>
      <c r="H64" s="477">
        <v>10000</v>
      </c>
      <c r="I64" s="477"/>
      <c r="J64" s="477">
        <v>-10000</v>
      </c>
      <c r="K64" s="477">
        <v>10000</v>
      </c>
      <c r="L64" s="478" t="str">
        <f>'Indicator sheet'!O35</f>
        <v>n.d.</v>
      </c>
      <c r="M64" s="479">
        <f>IF('Indicator sheet'!P33=Berechnung1!$G$5,1,IF('Indicator sheet'!P33=Berechnung1!$F$5,1,IF('Indicator sheet'!P33=Berechnung1!$E$5,2,IF('Indicator sheet'!P33=Berechnung1!$D$5,3,IF('Indicator sheet'!P33=Berechnung1!$C$5,4,"")))))</f>
        <v>1</v>
      </c>
      <c r="N64" s="479">
        <f>IF(M64&gt;1,M64+3,M64)</f>
        <v>1</v>
      </c>
      <c r="O64" s="479">
        <f>IF('Indicator sheet'!R33="",0,1)</f>
        <v>0</v>
      </c>
    </row>
    <row r="65" spans="1:15" x14ac:dyDescent="0.2">
      <c r="A65" s="263"/>
      <c r="C65" s="265"/>
      <c r="D65" s="266"/>
      <c r="E65" s="267"/>
      <c r="F65" s="267"/>
      <c r="G65" s="267"/>
      <c r="H65" s="267"/>
      <c r="I65" s="267"/>
      <c r="J65" s="267"/>
      <c r="K65" s="267"/>
      <c r="L65" s="267"/>
      <c r="M65" s="267"/>
      <c r="N65" s="267"/>
      <c r="O65" s="268"/>
    </row>
    <row r="66" spans="1:15" x14ac:dyDescent="0.2">
      <c r="A66" s="263"/>
      <c r="C66" s="265"/>
      <c r="D66" s="266"/>
      <c r="E66" s="267"/>
      <c r="F66" s="267"/>
      <c r="G66" s="267"/>
      <c r="H66" s="267"/>
      <c r="I66" s="267"/>
      <c r="J66" s="267"/>
      <c r="K66" s="267"/>
      <c r="L66" s="267"/>
      <c r="M66" s="267"/>
      <c r="N66" s="267"/>
      <c r="O66" s="268"/>
    </row>
    <row r="67" spans="1:15" x14ac:dyDescent="0.2">
      <c r="A67" s="263"/>
      <c r="C67" s="500" t="s">
        <v>360</v>
      </c>
      <c r="D67" s="476" t="s">
        <v>207</v>
      </c>
      <c r="E67" s="477">
        <v>0</v>
      </c>
      <c r="F67" s="477">
        <v>1</v>
      </c>
      <c r="G67" s="477">
        <v>-10000</v>
      </c>
      <c r="H67" s="477">
        <v>10000</v>
      </c>
      <c r="I67" s="477"/>
      <c r="J67" s="477">
        <v>0.5</v>
      </c>
      <c r="K67" s="477">
        <v>10000</v>
      </c>
      <c r="L67" s="478" t="str">
        <f>'Indicator sheet'!O38</f>
        <v>n.d.</v>
      </c>
      <c r="M67" s="479">
        <f>IF('Indicator sheet'!P36=Berechnung1!$G$5,1,IF('Indicator sheet'!P36=Berechnung1!$F$5,1,IF('Indicator sheet'!P36=Berechnung1!$E$5,2,IF('Indicator sheet'!P36=Berechnung1!$D$5,3,IF('Indicator sheet'!P36=Berechnung1!$C$5,4,"")))))</f>
        <v>1</v>
      </c>
      <c r="N67" s="479">
        <f>IF(M67&gt;1,M67+3,M67)</f>
        <v>1</v>
      </c>
      <c r="O67" s="479">
        <f>IF('Indicator sheet'!R36="",0,1)</f>
        <v>0</v>
      </c>
    </row>
    <row r="68" spans="1:15" x14ac:dyDescent="0.2">
      <c r="A68" s="263"/>
      <c r="C68" s="265"/>
      <c r="D68" s="266"/>
      <c r="E68" s="267"/>
      <c r="F68" s="267"/>
      <c r="G68" s="267"/>
      <c r="H68" s="267"/>
      <c r="I68" s="267"/>
      <c r="J68" s="267"/>
      <c r="K68" s="267"/>
      <c r="L68" s="267"/>
      <c r="M68" s="267"/>
      <c r="N68" s="267"/>
      <c r="O68" s="268"/>
    </row>
    <row r="69" spans="1:15" x14ac:dyDescent="0.2">
      <c r="A69" s="263"/>
      <c r="C69" s="265"/>
      <c r="D69" s="266"/>
      <c r="E69" s="267"/>
      <c r="F69" s="267"/>
      <c r="G69" s="267"/>
      <c r="H69" s="267"/>
      <c r="I69" s="267"/>
      <c r="J69" s="267"/>
      <c r="K69" s="267"/>
      <c r="L69" s="267"/>
      <c r="M69" s="267"/>
      <c r="N69" s="267"/>
      <c r="O69" s="268"/>
    </row>
    <row r="70" spans="1:15" x14ac:dyDescent="0.2">
      <c r="A70" s="263"/>
      <c r="C70" s="500" t="s">
        <v>204</v>
      </c>
      <c r="D70" s="476" t="s">
        <v>207</v>
      </c>
      <c r="E70" s="477">
        <v>0</v>
      </c>
      <c r="F70" s="477">
        <v>10000</v>
      </c>
      <c r="G70" s="477">
        <v>0.05</v>
      </c>
      <c r="H70" s="477">
        <v>10000</v>
      </c>
      <c r="I70" s="477"/>
      <c r="J70" s="477">
        <v>-10000</v>
      </c>
      <c r="K70" s="477">
        <v>0.65</v>
      </c>
      <c r="L70" s="478" t="str">
        <f>'Indicator sheet'!O41</f>
        <v>n.d.</v>
      </c>
      <c r="M70" s="479">
        <f>IF('Indicator sheet'!P39=Berechnung1!$G$5,1,IF('Indicator sheet'!P39=Berechnung1!$F$5,1,IF('Indicator sheet'!P39=Berechnung1!$E$5,2,IF('Indicator sheet'!P39=Berechnung1!$D$5,3,IF('Indicator sheet'!P39=Berechnung1!$C$5,4,"")))))</f>
        <v>1</v>
      </c>
      <c r="N70" s="479">
        <f>IF(M70&gt;1,M70+3,M70)</f>
        <v>1</v>
      </c>
      <c r="O70" s="479">
        <f>IF('Indicator sheet'!R39="",0,1)</f>
        <v>0</v>
      </c>
    </row>
    <row r="71" spans="1:15" x14ac:dyDescent="0.2">
      <c r="A71" s="263"/>
      <c r="C71" s="265"/>
      <c r="D71" s="266"/>
      <c r="E71" s="267"/>
      <c r="F71" s="267"/>
      <c r="G71" s="267"/>
      <c r="H71" s="267"/>
      <c r="I71" s="267"/>
      <c r="J71" s="267"/>
      <c r="K71" s="267"/>
      <c r="L71" s="267"/>
      <c r="M71" s="267"/>
      <c r="N71" s="267"/>
      <c r="O71" s="268"/>
    </row>
    <row r="72" spans="1:15" x14ac:dyDescent="0.2">
      <c r="A72" s="263"/>
      <c r="C72" s="265"/>
      <c r="D72" s="266"/>
      <c r="E72" s="267"/>
      <c r="F72" s="267"/>
      <c r="G72" s="267"/>
      <c r="H72" s="267"/>
      <c r="I72" s="267"/>
      <c r="J72" s="267"/>
      <c r="K72" s="267"/>
      <c r="L72" s="267"/>
      <c r="M72" s="267"/>
      <c r="N72" s="267"/>
      <c r="O72" s="268"/>
    </row>
    <row r="73" spans="1:15" x14ac:dyDescent="0.2">
      <c r="A73" s="263"/>
      <c r="C73" s="500" t="s">
        <v>205</v>
      </c>
      <c r="D73" s="476" t="s">
        <v>207</v>
      </c>
      <c r="E73" s="477">
        <v>0</v>
      </c>
      <c r="F73" s="477">
        <v>1</v>
      </c>
      <c r="G73" s="477">
        <v>0.9</v>
      </c>
      <c r="H73" s="477">
        <v>10000</v>
      </c>
      <c r="I73" s="477"/>
      <c r="J73" s="477">
        <v>-10000</v>
      </c>
      <c r="K73" s="477">
        <v>10000</v>
      </c>
      <c r="L73" s="478" t="str">
        <f>'Indicator sheet'!O44</f>
        <v>n.d.</v>
      </c>
      <c r="M73" s="479">
        <f>IF('Indicator sheet'!P42=Berechnung1!$G$5,1,IF('Indicator sheet'!P42=Berechnung1!$F$5,1,IF('Indicator sheet'!P42=Berechnung1!$E$5,2,IF('Indicator sheet'!P42=Berechnung1!$D$5,3,IF('Indicator sheet'!P42=Berechnung1!$C$5,4,"")))))</f>
        <v>1</v>
      </c>
      <c r="N73" s="479">
        <f>IF(M73&gt;1,M73+3,M73)</f>
        <v>1</v>
      </c>
      <c r="O73" s="479">
        <f>IF('Indicator sheet'!R42="",0,1)</f>
        <v>0</v>
      </c>
    </row>
    <row r="74" spans="1:15" x14ac:dyDescent="0.2">
      <c r="A74" s="263"/>
      <c r="C74" s="269"/>
      <c r="D74" s="269"/>
      <c r="E74" s="269"/>
      <c r="F74" s="269"/>
      <c r="G74" s="269"/>
      <c r="H74" s="269"/>
      <c r="I74" s="269"/>
      <c r="J74" s="269"/>
      <c r="K74" s="269"/>
      <c r="L74" s="269"/>
      <c r="M74" s="269"/>
      <c r="N74" s="269"/>
      <c r="O74" s="269"/>
    </row>
    <row r="75" spans="1:15" x14ac:dyDescent="0.2">
      <c r="A75" s="263"/>
      <c r="C75" s="265"/>
      <c r="D75" s="266"/>
      <c r="E75" s="267"/>
      <c r="F75" s="267"/>
      <c r="G75" s="267"/>
      <c r="H75" s="267"/>
      <c r="I75" s="267"/>
      <c r="J75" s="267"/>
      <c r="K75" s="267"/>
      <c r="L75" s="267"/>
      <c r="M75" s="267"/>
      <c r="N75" s="267"/>
      <c r="O75" s="268"/>
    </row>
    <row r="76" spans="1:15" x14ac:dyDescent="0.2">
      <c r="A76" s="263"/>
      <c r="C76" s="480" t="s">
        <v>845</v>
      </c>
      <c r="D76" s="481">
        <v>0</v>
      </c>
      <c r="E76" s="481">
        <v>0</v>
      </c>
      <c r="F76" s="479">
        <v>1000000000000</v>
      </c>
      <c r="G76" s="481">
        <v>100</v>
      </c>
      <c r="H76" s="479">
        <v>1000000000000</v>
      </c>
      <c r="I76" s="481"/>
      <c r="J76" s="479">
        <v>-100000000</v>
      </c>
      <c r="K76" s="479">
        <v>10000000</v>
      </c>
      <c r="L76" s="481">
        <f>'Indicator sheet'!O45</f>
        <v>0</v>
      </c>
      <c r="M76" s="479">
        <f>IF('Indicator sheet'!P45=Berechnung1!$G$5,1,IF('Indicator sheet'!P45=Berechnung1!$F$5,1,IF('Indicator sheet'!P45=Berechnung1!$E$5,2,IF('Indicator sheet'!P45=Berechnung1!$D$5,3,IF('Indicator sheet'!P45=Berechnung1!$C$5,4,"")))))</f>
        <v>1</v>
      </c>
      <c r="N76" s="479">
        <f>IF(M76&gt;1,M76+3,M76)</f>
        <v>1</v>
      </c>
      <c r="O76" s="479">
        <f>IF('Indicator sheet'!R45="",0,1)</f>
        <v>0</v>
      </c>
    </row>
    <row r="77" spans="1:15" x14ac:dyDescent="0.2">
      <c r="A77" s="263"/>
      <c r="C77" s="266"/>
      <c r="D77" s="397"/>
      <c r="E77" s="397"/>
      <c r="F77" s="296"/>
      <c r="G77" s="397"/>
      <c r="H77" s="296"/>
      <c r="I77" s="397"/>
      <c r="J77" s="296"/>
      <c r="K77" s="296"/>
      <c r="L77" s="397"/>
      <c r="M77" s="296"/>
      <c r="N77" s="296"/>
      <c r="O77" s="296"/>
    </row>
    <row r="78" spans="1:15" x14ac:dyDescent="0.2">
      <c r="A78" s="263"/>
      <c r="C78" s="266"/>
      <c r="D78" s="397"/>
      <c r="E78" s="397"/>
      <c r="F78" s="296"/>
      <c r="G78" s="397"/>
      <c r="H78" s="296"/>
      <c r="I78" s="397"/>
      <c r="J78" s="296"/>
      <c r="K78" s="296"/>
      <c r="L78" s="397"/>
      <c r="M78" s="296"/>
      <c r="N78" s="296"/>
      <c r="O78" s="296"/>
    </row>
    <row r="79" spans="1:15" x14ac:dyDescent="0.2">
      <c r="A79" s="263"/>
      <c r="C79" s="502" t="s">
        <v>846</v>
      </c>
      <c r="D79" s="293">
        <v>0</v>
      </c>
      <c r="E79" s="293">
        <v>0</v>
      </c>
      <c r="F79" s="291">
        <v>1000000000000</v>
      </c>
      <c r="G79" s="293">
        <v>-10000000</v>
      </c>
      <c r="H79" s="291">
        <v>1000000000000</v>
      </c>
      <c r="I79" s="293"/>
      <c r="J79" s="291">
        <v>-100000000</v>
      </c>
      <c r="K79" s="291">
        <v>10000000</v>
      </c>
      <c r="L79" s="293">
        <f>'Indicator sheet'!O48</f>
        <v>0</v>
      </c>
      <c r="M79" s="291">
        <f>IF('Indicator sheet'!P48=Berechnung1!$H$5,5,IF('Indicator sheet'!P48=Berechnung1!$G$5,1,IF('Indicator sheet'!P48=Berechnung1!$F$5,1,IF('Indicator sheet'!P48=Berechnung1!$E$5,2,IF('Indicator sheet'!P48=Berechnung1!$D$5,3,IF('Indicator sheet'!P48=Berechnung1!$C$5,4,""))))))</f>
        <v>1</v>
      </c>
      <c r="N79" s="291">
        <f t="shared" ref="N79" si="1">IF(M79&gt;1,M79+3,M79)</f>
        <v>1</v>
      </c>
      <c r="O79" s="291">
        <f>IF('Indicator sheet'!R48="",0,1)</f>
        <v>0</v>
      </c>
    </row>
    <row r="80" spans="1:15" x14ac:dyDescent="0.2">
      <c r="A80" s="263"/>
      <c r="C80" s="265"/>
      <c r="D80" s="266"/>
      <c r="E80" s="267"/>
      <c r="F80" s="267"/>
      <c r="G80" s="267"/>
      <c r="H80" s="267"/>
      <c r="I80" s="267"/>
      <c r="J80" s="267"/>
      <c r="K80" s="267"/>
      <c r="L80" s="267"/>
      <c r="M80" s="267"/>
      <c r="N80" s="267"/>
      <c r="O80" s="268"/>
    </row>
    <row r="81" spans="1:15" x14ac:dyDescent="0.2">
      <c r="A81" s="263"/>
      <c r="C81" s="265"/>
      <c r="D81" s="266"/>
      <c r="E81" s="267"/>
      <c r="F81" s="267"/>
      <c r="G81" s="267"/>
      <c r="H81" s="267"/>
      <c r="I81" s="267"/>
      <c r="J81" s="267"/>
      <c r="K81" s="267"/>
      <c r="L81" s="267"/>
      <c r="M81" s="267"/>
      <c r="N81" s="267"/>
      <c r="O81" s="268"/>
    </row>
    <row r="82" spans="1:15" x14ac:dyDescent="0.2">
      <c r="A82" s="263"/>
      <c r="C82" s="476">
        <v>14</v>
      </c>
      <c r="D82" s="476" t="s">
        <v>207</v>
      </c>
      <c r="E82" s="477">
        <v>0</v>
      </c>
      <c r="F82" s="477">
        <v>1</v>
      </c>
      <c r="G82" s="477">
        <v>-10000</v>
      </c>
      <c r="H82" s="477">
        <v>10000</v>
      </c>
      <c r="I82" s="477"/>
      <c r="J82" s="477">
        <v>0.7</v>
      </c>
      <c r="K82" s="477">
        <v>10000</v>
      </c>
      <c r="L82" s="478" t="str">
        <f>'Indicator sheet'!O53</f>
        <v>n.d.</v>
      </c>
      <c r="M82" s="479">
        <f>IF('Indicator sheet'!P51=Berechnung1!$G$5,1,IF('Indicator sheet'!P51=Berechnung1!$F$5,1,IF('Indicator sheet'!P51=Berechnung1!$E$5,2,IF('Indicator sheet'!P51=Berechnung1!$D$5,3,IF('Indicator sheet'!P51=Berechnung1!$C$5,4,"")))))</f>
        <v>1</v>
      </c>
      <c r="N82" s="479">
        <f>IF(M82&gt;1,M82+3,M82)</f>
        <v>1</v>
      </c>
      <c r="O82" s="479">
        <f>IF('Indicator sheet'!R51="",0,1)</f>
        <v>0</v>
      </c>
    </row>
    <row r="83" spans="1:15" x14ac:dyDescent="0.2">
      <c r="A83" s="263"/>
      <c r="C83" s="265"/>
      <c r="D83" s="266"/>
      <c r="E83" s="267"/>
      <c r="F83" s="267"/>
      <c r="G83" s="267"/>
      <c r="H83" s="267"/>
      <c r="I83" s="267"/>
      <c r="J83" s="267"/>
      <c r="K83" s="267"/>
      <c r="L83" s="267"/>
      <c r="M83" s="267"/>
      <c r="N83" s="267"/>
      <c r="O83" s="268"/>
    </row>
    <row r="84" spans="1:15" x14ac:dyDescent="0.2">
      <c r="A84" s="263"/>
      <c r="C84" s="265"/>
      <c r="D84" s="266"/>
      <c r="E84" s="267"/>
      <c r="F84" s="267"/>
      <c r="G84" s="267"/>
      <c r="H84" s="267"/>
      <c r="I84" s="267"/>
      <c r="J84" s="267"/>
      <c r="K84" s="267"/>
      <c r="L84" s="267"/>
      <c r="M84" s="267"/>
      <c r="N84" s="267"/>
      <c r="O84" s="268"/>
    </row>
    <row r="85" spans="1:15" x14ac:dyDescent="0.2">
      <c r="A85" s="263"/>
      <c r="C85" s="476">
        <v>15</v>
      </c>
      <c r="D85" s="476" t="s">
        <v>207</v>
      </c>
      <c r="E85" s="477">
        <v>0</v>
      </c>
      <c r="F85" s="477">
        <v>1</v>
      </c>
      <c r="G85" s="477">
        <v>0.7</v>
      </c>
      <c r="H85" s="477">
        <v>10000</v>
      </c>
      <c r="I85" s="477"/>
      <c r="J85" s="477">
        <v>-10000</v>
      </c>
      <c r="K85" s="477">
        <v>10000</v>
      </c>
      <c r="L85" s="478" t="str">
        <f>'Indicator sheet'!O56</f>
        <v>n.d.</v>
      </c>
      <c r="M85" s="479">
        <f>IF('Indicator sheet'!P54=Berechnung1!$G$5,1,IF('Indicator sheet'!P54=Berechnung1!$F$5,1,IF('Indicator sheet'!P54=Berechnung1!$E$5,2,IF('Indicator sheet'!P54=Berechnung1!$D$5,3,IF('Indicator sheet'!P54=Berechnung1!$C$5,4,"")))))</f>
        <v>1</v>
      </c>
      <c r="N85" s="479">
        <f>IF(M85&gt;1,M85+3,M85)</f>
        <v>1</v>
      </c>
      <c r="O85" s="479">
        <f>IF('Indicator sheet'!R54="",0,1)</f>
        <v>0</v>
      </c>
    </row>
    <row r="86" spans="1:15" x14ac:dyDescent="0.2">
      <c r="A86" s="263"/>
      <c r="C86" s="265"/>
      <c r="D86" s="266"/>
      <c r="E86" s="267"/>
      <c r="F86" s="267"/>
      <c r="G86" s="267"/>
      <c r="H86" s="267"/>
      <c r="I86" s="267"/>
      <c r="J86" s="267"/>
      <c r="K86" s="270"/>
      <c r="L86" s="271"/>
      <c r="M86" s="267"/>
      <c r="N86" s="267"/>
      <c r="O86" s="268"/>
    </row>
    <row r="87" spans="1:15" x14ac:dyDescent="0.2">
      <c r="A87" s="263"/>
      <c r="C87" s="265"/>
      <c r="D87" s="266"/>
      <c r="E87" s="267"/>
      <c r="F87" s="267"/>
      <c r="G87" s="267"/>
      <c r="H87" s="267"/>
      <c r="I87" s="267"/>
      <c r="J87" s="267"/>
      <c r="K87" s="270"/>
      <c r="L87" s="267"/>
      <c r="M87" s="267"/>
      <c r="N87" s="267"/>
      <c r="O87" s="268"/>
    </row>
    <row r="88" spans="1:15" x14ac:dyDescent="0.2">
      <c r="A88" s="263"/>
      <c r="C88" s="476">
        <v>16</v>
      </c>
      <c r="D88" s="476" t="s">
        <v>207</v>
      </c>
      <c r="E88" s="477">
        <v>0</v>
      </c>
      <c r="F88" s="477">
        <v>1</v>
      </c>
      <c r="G88" s="477">
        <v>-10000</v>
      </c>
      <c r="H88" s="477">
        <v>10000</v>
      </c>
      <c r="I88" s="477"/>
      <c r="J88" s="477">
        <v>0.15</v>
      </c>
      <c r="K88" s="477">
        <v>0.4</v>
      </c>
      <c r="L88" s="478" t="str">
        <f>'Indicator sheet'!O59</f>
        <v>n.d.</v>
      </c>
      <c r="M88" s="479">
        <f>IF('Indicator sheet'!P57=Berechnung1!$G$5,1,IF('Indicator sheet'!P57=Berechnung1!$F$5,1,IF('Indicator sheet'!P57=Berechnung1!$E$5,2,IF('Indicator sheet'!P57=Berechnung1!$D$5,3,IF('Indicator sheet'!P57=Berechnung1!$C$5,4,"")))))</f>
        <v>1</v>
      </c>
      <c r="N88" s="479">
        <f>IF(M88&gt;1,M88+3,M88)</f>
        <v>1</v>
      </c>
      <c r="O88" s="479">
        <f>IF('Indicator sheet'!R57="",0,1)</f>
        <v>0</v>
      </c>
    </row>
    <row r="89" spans="1:15" x14ac:dyDescent="0.2">
      <c r="A89" s="263"/>
      <c r="C89" s="265"/>
      <c r="D89" s="266"/>
      <c r="E89" s="267"/>
      <c r="F89" s="267"/>
      <c r="G89" s="267"/>
      <c r="H89" s="267"/>
      <c r="I89" s="267"/>
      <c r="J89" s="267"/>
      <c r="K89" s="267"/>
      <c r="L89" s="267"/>
      <c r="M89" s="267"/>
      <c r="N89" s="267"/>
      <c r="O89" s="268"/>
    </row>
    <row r="90" spans="1:15" x14ac:dyDescent="0.2">
      <c r="A90" s="263"/>
      <c r="C90" s="265"/>
      <c r="D90" s="266"/>
      <c r="E90" s="267"/>
      <c r="F90" s="267"/>
      <c r="G90" s="267"/>
      <c r="H90" s="267"/>
      <c r="I90" s="267"/>
      <c r="J90" s="267"/>
      <c r="K90" s="267"/>
      <c r="L90" s="267"/>
      <c r="M90" s="267"/>
      <c r="N90" s="267"/>
      <c r="O90" s="268"/>
    </row>
    <row r="91" spans="1:15" x14ac:dyDescent="0.2">
      <c r="A91" s="263"/>
      <c r="C91" s="501" t="s">
        <v>850</v>
      </c>
      <c r="D91" s="290" t="s">
        <v>207</v>
      </c>
      <c r="E91" s="292">
        <v>0</v>
      </c>
      <c r="F91" s="292">
        <v>1</v>
      </c>
      <c r="G91" s="292">
        <v>-10000</v>
      </c>
      <c r="H91" s="292">
        <v>0.05</v>
      </c>
      <c r="I91" s="292"/>
      <c r="J91" s="292">
        <v>-10000</v>
      </c>
      <c r="K91" s="292">
        <v>10000</v>
      </c>
      <c r="L91" s="474" t="str">
        <f>'Indicator sheet'!O62</f>
        <v>n.d.</v>
      </c>
      <c r="M91" s="291">
        <f>IF('Indicator sheet'!P60=Berechnung1!$H$5,5,IF('Indicator sheet'!P60=Berechnung1!$G$5,1,IF('Indicator sheet'!P60=Berechnung1!$F$5,1,IF('Indicator sheet'!P60=Berechnung1!$E$5,2,IF(AND('Indicator sheet'!P60=Berechnung1!$D$5,'Indicator sheet'!O60=0,'Indicator sheet'!O61=0),5,IF('Indicator sheet'!P60=Berechnung1!$D$5,3,IF('Indicator sheet'!P60=Berechnung1!$C$5,4,"")))))))</f>
        <v>1</v>
      </c>
      <c r="N91" s="291">
        <f>IF(M91&gt;1,M91+3,M91)</f>
        <v>1</v>
      </c>
      <c r="O91" s="291">
        <f>IF('Indicator sheet'!R60="",0,1)</f>
        <v>0</v>
      </c>
    </row>
    <row r="92" spans="1:15" x14ac:dyDescent="0.2">
      <c r="A92" s="263"/>
      <c r="C92" s="265"/>
      <c r="D92" s="266"/>
      <c r="E92" s="267"/>
      <c r="F92" s="267"/>
      <c r="G92" s="267"/>
      <c r="H92" s="267"/>
      <c r="I92" s="267"/>
      <c r="J92" s="267"/>
      <c r="K92" s="267"/>
      <c r="L92" s="267"/>
      <c r="M92" s="267"/>
      <c r="N92" s="267"/>
      <c r="O92" s="268"/>
    </row>
    <row r="93" spans="1:15" x14ac:dyDescent="0.2">
      <c r="A93" s="263"/>
      <c r="C93" s="265"/>
      <c r="D93" s="266"/>
      <c r="E93" s="267"/>
      <c r="F93" s="267"/>
      <c r="G93" s="267"/>
      <c r="H93" s="267"/>
      <c r="I93" s="267"/>
      <c r="J93" s="267"/>
      <c r="K93" s="267"/>
      <c r="L93" s="267"/>
      <c r="M93" s="267"/>
      <c r="N93" s="267"/>
      <c r="O93" s="268"/>
    </row>
    <row r="94" spans="1:15" x14ac:dyDescent="0.2">
      <c r="A94" s="263"/>
      <c r="C94" s="476">
        <v>18</v>
      </c>
      <c r="D94" s="476" t="s">
        <v>207</v>
      </c>
      <c r="E94" s="477">
        <v>0</v>
      </c>
      <c r="F94" s="477">
        <v>1</v>
      </c>
      <c r="G94" s="477">
        <v>0.95</v>
      </c>
      <c r="H94" s="477">
        <v>10000</v>
      </c>
      <c r="I94" s="477"/>
      <c r="J94" s="477">
        <v>-10000</v>
      </c>
      <c r="K94" s="477">
        <v>10000</v>
      </c>
      <c r="L94" s="478" t="str">
        <f>'Indicator sheet'!O65</f>
        <v>n.d.</v>
      </c>
      <c r="M94" s="479">
        <f>IF('Indicator sheet'!P63=Berechnung1!$G$5,1,IF('Indicator sheet'!P63=Berechnung1!$F$5,1,IF('Indicator sheet'!P63=Berechnung1!$E$5,2,IF('Indicator sheet'!P63=Berechnung1!$D$5,3,IF('Indicator sheet'!P63=Berechnung1!$C$5,4,"")))))</f>
        <v>1</v>
      </c>
      <c r="N94" s="479">
        <f>IF(M94&gt;1,M94+3,M94)</f>
        <v>1</v>
      </c>
      <c r="O94" s="479">
        <f>IF('Indicator sheet'!R63="",0,1)</f>
        <v>0</v>
      </c>
    </row>
    <row r="95" spans="1:15" x14ac:dyDescent="0.2">
      <c r="A95" s="263"/>
      <c r="C95" s="265"/>
      <c r="D95" s="266"/>
      <c r="E95" s="267"/>
      <c r="F95" s="267"/>
      <c r="G95" s="267"/>
      <c r="H95" s="267"/>
      <c r="I95" s="267"/>
      <c r="J95" s="267"/>
      <c r="K95" s="267"/>
      <c r="L95" s="267"/>
      <c r="M95" s="267"/>
      <c r="N95" s="267"/>
      <c r="O95" s="268"/>
    </row>
    <row r="96" spans="1:15" x14ac:dyDescent="0.2">
      <c r="A96" s="263"/>
      <c r="C96" s="265"/>
      <c r="D96" s="266"/>
      <c r="E96" s="267"/>
      <c r="F96" s="267"/>
      <c r="G96" s="267"/>
      <c r="H96" s="267"/>
      <c r="I96" s="267"/>
      <c r="J96" s="267"/>
      <c r="K96" s="267"/>
      <c r="L96" s="267"/>
      <c r="M96" s="267"/>
      <c r="N96" s="267"/>
      <c r="O96" s="268"/>
    </row>
    <row r="97" spans="1:15" x14ac:dyDescent="0.2">
      <c r="A97" s="263"/>
      <c r="C97" s="476">
        <v>19</v>
      </c>
      <c r="D97" s="476" t="s">
        <v>207</v>
      </c>
      <c r="E97" s="477">
        <v>0</v>
      </c>
      <c r="F97" s="477">
        <v>1</v>
      </c>
      <c r="G97" s="477">
        <v>-10000</v>
      </c>
      <c r="H97" s="477">
        <v>0.05</v>
      </c>
      <c r="I97" s="477"/>
      <c r="J97" s="478">
        <v>1E-4</v>
      </c>
      <c r="K97" s="477">
        <v>10000</v>
      </c>
      <c r="L97" s="478" t="str">
        <f>'Indicator sheet'!O68</f>
        <v>n.d.</v>
      </c>
      <c r="M97" s="479">
        <f>IF('Indicator sheet'!P66=Berechnung1!$G$5,1,IF('Indicator sheet'!P66=Berechnung1!$F$5,1,IF('Indicator sheet'!P66=Berechnung1!$E$5,2,IF('Indicator sheet'!P66=Berechnung1!$D$5,3,IF('Indicator sheet'!P66=Berechnung1!$C$5,4,"")))))</f>
        <v>1</v>
      </c>
      <c r="N97" s="479">
        <f>IF(M97&gt;1,M97+3,M97)</f>
        <v>1</v>
      </c>
      <c r="O97" s="479">
        <f>IF('Indicator sheet'!R66="",0,1)</f>
        <v>0</v>
      </c>
    </row>
    <row r="98" spans="1:15" x14ac:dyDescent="0.2">
      <c r="A98" s="263"/>
      <c r="C98" s="266"/>
      <c r="D98" s="266"/>
      <c r="E98" s="267"/>
      <c r="F98" s="267"/>
      <c r="G98" s="267"/>
      <c r="H98" s="267"/>
      <c r="I98" s="267"/>
      <c r="J98" s="271"/>
      <c r="K98" s="267"/>
      <c r="L98" s="295"/>
      <c r="M98" s="296"/>
      <c r="N98" s="296"/>
      <c r="O98" s="296"/>
    </row>
    <row r="99" spans="1:15" x14ac:dyDescent="0.2">
      <c r="A99" s="263"/>
      <c r="C99" s="266"/>
      <c r="D99" s="266"/>
      <c r="E99" s="267"/>
      <c r="F99" s="267"/>
      <c r="G99" s="267"/>
      <c r="H99" s="267"/>
      <c r="I99" s="267"/>
      <c r="J99" s="271"/>
      <c r="K99" s="267"/>
      <c r="L99" s="295"/>
      <c r="M99" s="296"/>
      <c r="N99" s="296"/>
      <c r="O99" s="296"/>
    </row>
    <row r="100" spans="1:15" x14ac:dyDescent="0.2">
      <c r="C100" s="500" t="s">
        <v>851</v>
      </c>
      <c r="D100" s="476" t="s">
        <v>207</v>
      </c>
      <c r="E100" s="477">
        <v>0</v>
      </c>
      <c r="F100" s="477">
        <v>1</v>
      </c>
      <c r="G100" s="477">
        <v>0.95</v>
      </c>
      <c r="H100" s="477">
        <v>10000</v>
      </c>
      <c r="I100" s="477"/>
      <c r="J100" s="477">
        <v>-10000</v>
      </c>
      <c r="K100" s="477">
        <v>10000</v>
      </c>
      <c r="L100" s="478" t="str">
        <f>'Indicator sheet'!O71</f>
        <v>n.d.</v>
      </c>
      <c r="M100" s="479">
        <f>IF('Indicator sheet'!P69=Berechnung1!$H$17,5,IF('Indicator sheet'!P69=Berechnung1!$G$17,1,IF('Indicator sheet'!P69=Berechnung1!$F$17,1,IF('Indicator sheet'!P69=Berechnung1!$E$17,2,IF(AND('Indicator sheet'!P69=Berechnung1!$D$17,'Indicator sheet'!O69=0,'Indicator sheet'!O70=0),5,IF('Indicator sheet'!P69=Berechnung1!$D$17,3,IF('Indicator sheet'!P69=Berechnung1!$C$17,4,"")))))))</f>
        <v>1</v>
      </c>
      <c r="N100" s="479">
        <f t="shared" ref="N100" si="2">IF(M100&gt;1,M100+3,M100)</f>
        <v>1</v>
      </c>
      <c r="O100" s="479">
        <f>IF('Indicator sheet'!R69="",0,1)</f>
        <v>0</v>
      </c>
    </row>
    <row r="101" spans="1:15" x14ac:dyDescent="0.2">
      <c r="C101" s="269"/>
      <c r="D101" s="269"/>
      <c r="E101" s="269"/>
      <c r="F101" s="269"/>
      <c r="G101" s="269"/>
      <c r="H101" s="269"/>
      <c r="I101" s="269"/>
      <c r="J101" s="269"/>
      <c r="K101" s="269"/>
      <c r="L101" s="269"/>
      <c r="M101" s="269"/>
      <c r="N101" s="269"/>
      <c r="O101" s="269"/>
    </row>
    <row r="102" spans="1:15" x14ac:dyDescent="0.2">
      <c r="C102" s="269"/>
      <c r="D102" s="269"/>
      <c r="E102" s="269"/>
      <c r="F102" s="269"/>
      <c r="G102" s="269"/>
      <c r="H102" s="269"/>
      <c r="I102" s="269"/>
      <c r="J102" s="269"/>
      <c r="K102" s="269"/>
      <c r="L102" s="269"/>
      <c r="M102" s="269"/>
      <c r="N102" s="269"/>
      <c r="O102" s="269"/>
    </row>
    <row r="103" spans="1:15" hidden="1" x14ac:dyDescent="0.2">
      <c r="A103" s="257" t="s">
        <v>105</v>
      </c>
      <c r="B103" s="257"/>
      <c r="C103" s="257"/>
      <c r="D103" s="257"/>
      <c r="I103" s="257" t="s">
        <v>104</v>
      </c>
      <c r="J103" s="259"/>
      <c r="K103" s="259"/>
      <c r="L103" s="259"/>
    </row>
    <row r="104" spans="1:15" hidden="1" x14ac:dyDescent="0.2">
      <c r="A104" s="257" t="s">
        <v>97</v>
      </c>
      <c r="C104" s="257" t="s">
        <v>98</v>
      </c>
      <c r="D104" s="257" t="s">
        <v>241</v>
      </c>
      <c r="J104" s="259"/>
      <c r="K104" s="259"/>
      <c r="L104" s="259"/>
    </row>
    <row r="105" spans="1:15" hidden="1" x14ac:dyDescent="0.2">
      <c r="A105" s="769" t="s">
        <v>322</v>
      </c>
      <c r="B105" s="769"/>
      <c r="C105" s="258" t="s">
        <v>277</v>
      </c>
      <c r="D105" s="258" t="s">
        <v>323</v>
      </c>
      <c r="I105" s="258" t="s">
        <v>179</v>
      </c>
      <c r="J105" s="259"/>
      <c r="K105" s="259"/>
      <c r="L105" s="259"/>
    </row>
    <row r="106" spans="1:15" hidden="1" x14ac:dyDescent="0.2">
      <c r="A106" s="770"/>
      <c r="B106" s="770"/>
      <c r="D106" s="258" t="s">
        <v>263</v>
      </c>
      <c r="I106" s="258" t="s">
        <v>178</v>
      </c>
      <c r="J106" s="259"/>
      <c r="K106" s="259"/>
      <c r="L106" s="259"/>
    </row>
    <row r="107" spans="1:15" hidden="1" x14ac:dyDescent="0.2">
      <c r="D107" s="258" t="s">
        <v>264</v>
      </c>
      <c r="J107" s="259"/>
      <c r="K107" s="259"/>
      <c r="L107" s="259"/>
    </row>
    <row r="108" spans="1:15" hidden="1" x14ac:dyDescent="0.2">
      <c r="I108" s="258" t="s">
        <v>339</v>
      </c>
      <c r="J108" s="259"/>
      <c r="K108" s="259"/>
      <c r="L108" s="259"/>
    </row>
    <row r="109" spans="1:15" hidden="1" x14ac:dyDescent="0.2">
      <c r="A109" s="767" t="s">
        <v>337</v>
      </c>
      <c r="B109" s="767"/>
      <c r="C109" s="258" t="s">
        <v>277</v>
      </c>
      <c r="D109" s="258" t="s">
        <v>323</v>
      </c>
      <c r="J109" s="259"/>
      <c r="K109" s="259"/>
      <c r="L109" s="259"/>
    </row>
    <row r="110" spans="1:15" hidden="1" x14ac:dyDescent="0.2">
      <c r="D110" s="258" t="s">
        <v>263</v>
      </c>
      <c r="J110" s="259"/>
      <c r="K110" s="259"/>
      <c r="L110" s="259"/>
    </row>
    <row r="111" spans="1:15" hidden="1" x14ac:dyDescent="0.2">
      <c r="D111" s="258" t="s">
        <v>264</v>
      </c>
      <c r="J111" s="259"/>
      <c r="K111" s="259"/>
      <c r="L111" s="259"/>
    </row>
    <row r="112" spans="1:15" hidden="1" x14ac:dyDescent="0.2">
      <c r="J112" s="259"/>
      <c r="K112" s="259"/>
      <c r="L112" s="259"/>
    </row>
    <row r="113" spans="1:12" hidden="1" x14ac:dyDescent="0.2">
      <c r="A113" s="767" t="s">
        <v>329</v>
      </c>
      <c r="B113" s="767"/>
      <c r="C113" s="258" t="s">
        <v>278</v>
      </c>
      <c r="D113" s="258" t="s">
        <v>180</v>
      </c>
      <c r="I113" s="258" t="s">
        <v>96</v>
      </c>
      <c r="J113" s="259"/>
      <c r="K113" s="259"/>
      <c r="L113" s="259"/>
    </row>
    <row r="114" spans="1:12" hidden="1" x14ac:dyDescent="0.2">
      <c r="A114" s="767" t="s">
        <v>336</v>
      </c>
      <c r="B114" s="767"/>
      <c r="D114" s="258" t="s">
        <v>177</v>
      </c>
      <c r="J114" s="259"/>
      <c r="K114" s="259"/>
      <c r="L114" s="259"/>
    </row>
    <row r="115" spans="1:12" hidden="1" x14ac:dyDescent="0.2">
      <c r="I115" s="258" t="s">
        <v>94</v>
      </c>
      <c r="J115" s="259"/>
      <c r="K115" s="259"/>
      <c r="L115" s="259"/>
    </row>
    <row r="116" spans="1:12" hidden="1" x14ac:dyDescent="0.2">
      <c r="A116" s="767" t="s">
        <v>329</v>
      </c>
      <c r="B116" s="767"/>
      <c r="C116" s="258" t="s">
        <v>277</v>
      </c>
      <c r="D116" s="258" t="s">
        <v>175</v>
      </c>
      <c r="I116" s="258" t="s">
        <v>95</v>
      </c>
      <c r="J116" s="259"/>
      <c r="K116" s="259"/>
      <c r="L116" s="259"/>
    </row>
    <row r="117" spans="1:12" hidden="1" x14ac:dyDescent="0.2">
      <c r="A117" s="258" t="s">
        <v>335</v>
      </c>
      <c r="D117" s="258" t="s">
        <v>176</v>
      </c>
    </row>
    <row r="118" spans="1:12" hidden="1" x14ac:dyDescent="0.2">
      <c r="I118" s="258" t="s">
        <v>101</v>
      </c>
      <c r="J118" s="259"/>
      <c r="K118" s="259"/>
      <c r="L118" s="259"/>
    </row>
    <row r="119" spans="1:12" hidden="1" x14ac:dyDescent="0.2">
      <c r="I119" s="258" t="s">
        <v>266</v>
      </c>
      <c r="J119" s="259"/>
      <c r="K119" s="259"/>
      <c r="L119" s="259"/>
    </row>
    <row r="120" spans="1:12" hidden="1" x14ac:dyDescent="0.2">
      <c r="A120" s="258" t="s">
        <v>332</v>
      </c>
      <c r="C120" s="258" t="s">
        <v>278</v>
      </c>
      <c r="D120" s="258" t="s">
        <v>180</v>
      </c>
      <c r="I120" s="258" t="s">
        <v>174</v>
      </c>
      <c r="J120" s="259"/>
      <c r="K120" s="259"/>
      <c r="L120" s="259"/>
    </row>
    <row r="121" spans="1:12" hidden="1" x14ac:dyDescent="0.2">
      <c r="D121" s="258" t="s">
        <v>177</v>
      </c>
      <c r="I121" s="258" t="s">
        <v>340</v>
      </c>
    </row>
    <row r="122" spans="1:12" hidden="1" x14ac:dyDescent="0.2">
      <c r="D122" s="258" t="s">
        <v>182</v>
      </c>
    </row>
    <row r="123" spans="1:12" hidden="1" x14ac:dyDescent="0.2"/>
    <row r="124" spans="1:12" hidden="1" x14ac:dyDescent="0.2">
      <c r="C124" s="258" t="s">
        <v>121</v>
      </c>
      <c r="D124" s="258" t="s">
        <v>181</v>
      </c>
    </row>
    <row r="125" spans="1:12" hidden="1" x14ac:dyDescent="0.2">
      <c r="D125" s="258" t="s">
        <v>183</v>
      </c>
    </row>
    <row r="126" spans="1:12" hidden="1" x14ac:dyDescent="0.2"/>
    <row r="127" spans="1:12" hidden="1" x14ac:dyDescent="0.2">
      <c r="A127" s="272" t="s">
        <v>331</v>
      </c>
      <c r="B127" s="272"/>
      <c r="C127" s="258" t="s">
        <v>277</v>
      </c>
      <c r="D127" s="258" t="s">
        <v>330</v>
      </c>
    </row>
    <row r="128" spans="1:12" hidden="1" x14ac:dyDescent="0.2">
      <c r="A128" s="272"/>
      <c r="B128" s="272"/>
      <c r="D128" s="258" t="s">
        <v>263</v>
      </c>
    </row>
    <row r="129" spans="1:4" hidden="1" x14ac:dyDescent="0.2"/>
    <row r="130" spans="1:4" hidden="1" x14ac:dyDescent="0.2">
      <c r="A130" s="767" t="s">
        <v>333</v>
      </c>
      <c r="B130" s="767"/>
      <c r="C130" s="258" t="s">
        <v>277</v>
      </c>
      <c r="D130" s="258" t="s">
        <v>175</v>
      </c>
    </row>
    <row r="131" spans="1:4" hidden="1" x14ac:dyDescent="0.2">
      <c r="A131" s="272" t="s">
        <v>338</v>
      </c>
      <c r="D131" s="258" t="s">
        <v>176</v>
      </c>
    </row>
    <row r="132" spans="1:4" ht="15" hidden="1" customHeight="1" x14ac:dyDescent="0.2">
      <c r="D132" s="258" t="s">
        <v>184</v>
      </c>
    </row>
    <row r="133" spans="1:4" hidden="1" x14ac:dyDescent="0.2"/>
    <row r="134" spans="1:4" hidden="1" x14ac:dyDescent="0.2">
      <c r="A134" s="273" t="s">
        <v>326</v>
      </c>
      <c r="C134" s="258" t="s">
        <v>324</v>
      </c>
      <c r="D134" s="258" t="s">
        <v>180</v>
      </c>
    </row>
    <row r="135" spans="1:4" hidden="1" x14ac:dyDescent="0.2">
      <c r="D135" s="258" t="s">
        <v>177</v>
      </c>
    </row>
    <row r="136" spans="1:4" hidden="1" x14ac:dyDescent="0.2">
      <c r="D136" s="258" t="s">
        <v>325</v>
      </c>
    </row>
    <row r="137" spans="1:4" hidden="1" x14ac:dyDescent="0.2"/>
    <row r="138" spans="1:4" hidden="1" x14ac:dyDescent="0.2">
      <c r="A138" s="767" t="s">
        <v>328</v>
      </c>
      <c r="B138" s="767"/>
      <c r="C138" s="258" t="s">
        <v>278</v>
      </c>
      <c r="D138" s="258" t="s">
        <v>180</v>
      </c>
    </row>
    <row r="139" spans="1:4" hidden="1" x14ac:dyDescent="0.2">
      <c r="D139" s="258" t="s">
        <v>177</v>
      </c>
    </row>
    <row r="140" spans="1:4" hidden="1" x14ac:dyDescent="0.2">
      <c r="D140" s="258" t="s">
        <v>327</v>
      </c>
    </row>
    <row r="141" spans="1:4" hidden="1" x14ac:dyDescent="0.2"/>
    <row r="142" spans="1:4" hidden="1" x14ac:dyDescent="0.2">
      <c r="A142" s="272">
        <v>21</v>
      </c>
      <c r="C142" s="258" t="s">
        <v>278</v>
      </c>
      <c r="D142" s="258" t="s">
        <v>180</v>
      </c>
    </row>
    <row r="143" spans="1:4" hidden="1" x14ac:dyDescent="0.2">
      <c r="D143" s="258" t="s">
        <v>177</v>
      </c>
    </row>
    <row r="144" spans="1:4" hidden="1" x14ac:dyDescent="0.2">
      <c r="D144" s="258" t="s">
        <v>334</v>
      </c>
    </row>
  </sheetData>
  <mergeCells count="8">
    <mergeCell ref="A138:B138"/>
    <mergeCell ref="A109:B109"/>
    <mergeCell ref="A114:B114"/>
    <mergeCell ref="B16:B17"/>
    <mergeCell ref="A105:B106"/>
    <mergeCell ref="A116:B116"/>
    <mergeCell ref="A113:B113"/>
    <mergeCell ref="A130:B130"/>
  </mergeCells>
  <phoneticPr fontId="33" type="noConversion"/>
  <conditionalFormatting sqref="D25:L25">
    <cfRule type="containsBlanks" dxfId="105" priority="2">
      <formula>LEN(TRIM(D25))=0</formula>
    </cfRule>
  </conditionalFormatting>
  <conditionalFormatting sqref="D27:L29">
    <cfRule type="containsBlanks" dxfId="104" priority="1">
      <formula>LEN(TRIM(D27))=0</formula>
    </cfRule>
  </conditionalFormatting>
  <dataValidations disablePrompts="1" count="1">
    <dataValidation operator="greaterThanOrEqual" allowBlank="1" showInputMessage="1" showErrorMessage="1" errorTitle="Error" error="Eingabe nur von Zahlen möglich. " sqref="C23:L32" xr:uid="{00000000-0002-0000-0700-000000000000}"/>
  </dataValidations>
  <pageMargins left="0.7" right="0.7" top="0.78740157499999996" bottom="0.78740157499999996" header="0.3" footer="0.3"/>
  <pageSetup paperSize="9" orientation="portrait" horizontalDpi="200" verticalDpi="200" r:id="rId1"/>
  <ignoredErrors>
    <ignoredError sqref="C75 C71:C72 C68:C69 C65:C66 C62:C63 C49:C54 C74 C56:C57 C59:C60" numberStoredAsText="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6"/>
  <dimension ref="A1:Q37"/>
  <sheetViews>
    <sheetView showGridLines="0" showRuler="0" showWhiteSpace="0" topLeftCell="A26" zoomScaleNormal="100" zoomScaleSheetLayoutView="100" workbookViewId="0">
      <selection activeCell="R15" sqref="R15"/>
    </sheetView>
  </sheetViews>
  <sheetFormatPr defaultColWidth="11.5703125" defaultRowHeight="15" x14ac:dyDescent="0.25"/>
  <cols>
    <col min="1" max="1" width="3.7109375" style="244" customWidth="1"/>
    <col min="2" max="2" width="19" style="256" customWidth="1"/>
    <col min="3" max="3" width="6.5703125" style="244" customWidth="1"/>
    <col min="4" max="4" width="8.85546875" style="244" customWidth="1"/>
    <col min="5" max="5" width="6.42578125" style="244" customWidth="1"/>
    <col min="6" max="7" width="6.28515625" style="244" customWidth="1"/>
    <col min="8" max="8" width="6.85546875" style="244" customWidth="1"/>
    <col min="9" max="9" width="10" style="244" customWidth="1"/>
    <col min="10" max="10" width="29.85546875" style="244" customWidth="1"/>
    <col min="11" max="11" width="31" style="244" customWidth="1"/>
    <col min="12" max="12" width="1" style="244" customWidth="1"/>
    <col min="13" max="13" width="14.5703125" style="244" hidden="1" customWidth="1"/>
    <col min="14" max="16384" width="11.5703125" style="244"/>
  </cols>
  <sheetData>
    <row r="1" spans="1:17" s="232" customFormat="1" ht="21.75" hidden="1" customHeight="1" x14ac:dyDescent="0.2">
      <c r="B1" s="233" t="e">
        <f ca="1">IF(M11=TRUE,"A1:L15",CONCATENATE("A1:L",MATCH(0,A:A,-1)))</f>
        <v>#REF!</v>
      </c>
    </row>
    <row r="2" spans="1:17" s="232" customFormat="1" ht="13.5" customHeight="1" x14ac:dyDescent="0.2">
      <c r="A2" s="17" t="s">
        <v>381</v>
      </c>
      <c r="B2" s="234"/>
    </row>
    <row r="3" spans="1:17" s="232" customFormat="1" ht="16.5" x14ac:dyDescent="0.25">
      <c r="A3" s="235" t="s">
        <v>280</v>
      </c>
      <c r="B3" s="234"/>
    </row>
    <row r="4" spans="1:17" s="232" customFormat="1" ht="14.25" x14ac:dyDescent="0.2">
      <c r="B4" s="234"/>
    </row>
    <row r="5" spans="1:17" s="232" customFormat="1" ht="15" customHeight="1" x14ac:dyDescent="0.2">
      <c r="B5" s="234"/>
      <c r="C5" s="236"/>
      <c r="D5" s="236"/>
      <c r="E5" s="236"/>
      <c r="F5" s="236"/>
      <c r="G5" s="236"/>
      <c r="H5" s="236"/>
      <c r="I5" s="236"/>
      <c r="J5" s="236"/>
    </row>
    <row r="6" spans="1:17" s="237" customFormat="1" ht="15" customHeight="1" x14ac:dyDescent="0.2">
      <c r="B6" s="238" t="s">
        <v>246</v>
      </c>
      <c r="C6" s="771" t="str">
        <f>IF('Basic data'!C8=0,"",'Basic data'!C8)</f>
        <v>-----</v>
      </c>
      <c r="D6" s="772"/>
      <c r="E6" s="772"/>
      <c r="F6" s="772"/>
      <c r="G6" s="772"/>
      <c r="H6" s="772"/>
      <c r="I6" s="772"/>
      <c r="J6" s="773"/>
    </row>
    <row r="7" spans="1:17" s="237" customFormat="1" ht="6.95" customHeight="1" x14ac:dyDescent="0.2">
      <c r="B7" s="239"/>
      <c r="C7" s="236"/>
      <c r="D7" s="236"/>
      <c r="E7" s="236"/>
      <c r="F7" s="236"/>
      <c r="G7" s="236"/>
      <c r="H7" s="236"/>
      <c r="I7" s="236"/>
      <c r="J7" s="236"/>
    </row>
    <row r="8" spans="1:17" s="237" customFormat="1" ht="15" customHeight="1" x14ac:dyDescent="0.2">
      <c r="B8" s="238" t="s">
        <v>193</v>
      </c>
      <c r="C8" s="771" t="str">
        <f>IF('Basic data'!C6=0,"",'Basic data'!C6)</f>
        <v>Not listed</v>
      </c>
      <c r="D8" s="772"/>
      <c r="E8" s="772"/>
      <c r="F8" s="773"/>
      <c r="H8" s="240" t="s">
        <v>257</v>
      </c>
      <c r="J8" s="241" t="str">
        <f>IF('Basic data'!K12=0,"",'Basic data'!K12)</f>
        <v/>
      </c>
    </row>
    <row r="9" spans="1:17" s="232" customFormat="1" ht="14.25" x14ac:dyDescent="0.2">
      <c r="B9" s="234"/>
    </row>
    <row r="10" spans="1:17" s="232" customFormat="1" x14ac:dyDescent="0.2">
      <c r="B10" s="326" t="e">
        <f ca="1">IF(M11=TRUE,"Kein Datendefizit vorhanden","")</f>
        <v>#REF!</v>
      </c>
      <c r="M10" s="242" t="s">
        <v>28</v>
      </c>
    </row>
    <row r="11" spans="1:17" s="232" customFormat="1" x14ac:dyDescent="0.2">
      <c r="B11" s="243" t="e">
        <f ca="1">IF($M$11=TRUE,"","Übertragung erfolgt automatisch aus Kennzahlenbogen (Ist-Werte, Begründungen und Aktionen)")</f>
        <v>#REF!</v>
      </c>
      <c r="M11" s="242" t="e">
        <f t="array" aca="1" ref="M11" ca="1">$A$14:$K$37=""</f>
        <v>#REF!</v>
      </c>
    </row>
    <row r="12" spans="1:17" ht="15" customHeight="1" x14ac:dyDescent="0.25">
      <c r="A12" s="774" t="e">
        <f ca="1">IF($M$11=TRUE,"","Nr.")</f>
        <v>#REF!</v>
      </c>
      <c r="B12" s="776" t="e">
        <f ca="1">IF($M$11=TRUE,"","Kennzahlendefinition")</f>
        <v>#REF!</v>
      </c>
      <c r="C12" s="774" t="e">
        <f ca="1">IF($M$11=TRUE,"","Vorgaben Datenqualität")</f>
        <v>#REF!</v>
      </c>
      <c r="D12" s="778"/>
      <c r="E12" s="778"/>
      <c r="F12" s="774" t="e">
        <f ca="1">IF($M$11=TRUE,"","Ist-Werte")</f>
        <v>#REF!</v>
      </c>
      <c r="G12" s="778"/>
      <c r="H12" s="778"/>
      <c r="I12" s="774" t="e">
        <f ca="1">IF($M$11=TRUE,"","Daten-qualität")</f>
        <v>#REF!</v>
      </c>
      <c r="J12" s="779" t="e">
        <f ca="1">IF($M$11=TRUE,"","Verifizierung Zentrum")</f>
        <v>#REF!</v>
      </c>
      <c r="K12" s="780"/>
      <c r="N12"/>
    </row>
    <row r="13" spans="1:17" ht="22.5" customHeight="1" x14ac:dyDescent="0.25">
      <c r="A13" s="775"/>
      <c r="B13" s="777"/>
      <c r="C13" s="245" t="e">
        <f ca="1">IF($M$11=TRUE,"","Plausi unklar")</f>
        <v>#REF!</v>
      </c>
      <c r="D13" s="245" t="e">
        <f ca="1">IF($M$11=TRUE,"","Sollvorgabe")</f>
        <v>#REF!</v>
      </c>
      <c r="E13" s="245" t="e">
        <f ca="1">IF($M$11=TRUE,"","Plausi unklar")</f>
        <v>#REF!</v>
      </c>
      <c r="F13" s="245" t="e">
        <f ca="1">IF($M$11=TRUE,"","Zähler / Anzahl")</f>
        <v>#REF!</v>
      </c>
      <c r="G13" s="245" t="e">
        <f ca="1">IF($M$11=TRUE,"","Nenner")</f>
        <v>#REF!</v>
      </c>
      <c r="H13" s="245" t="e">
        <f ca="1">IF($M$11=TRUE,"","Quote")</f>
        <v>#REF!</v>
      </c>
      <c r="I13" s="775"/>
      <c r="J13" s="246" t="e">
        <f ca="1">IF($M$11=TRUE,"","Begründung / Ursache")</f>
        <v>#REF!</v>
      </c>
      <c r="K13" s="247" t="e">
        <f ca="1">IF($M$11=TRUE,"","Eingeleitete / geplante Aktionen")</f>
        <v>#REF!</v>
      </c>
    </row>
    <row r="14" spans="1:17" ht="170.1" customHeight="1" x14ac:dyDescent="0.25">
      <c r="A14" s="248" t="e">
        <f ca="1">'Hilfstabelle DatendefKB'!O2</f>
        <v>#REF!</v>
      </c>
      <c r="B14" s="249" t="e">
        <f ca="1">'Hilfstabelle DatendefKB'!P2</f>
        <v>#REF!</v>
      </c>
      <c r="C14" s="250" t="e">
        <f ca="1">'Hilfstabelle DatendefKB'!Q2</f>
        <v>#REF!</v>
      </c>
      <c r="D14" s="250" t="e">
        <f ca="1">'Hilfstabelle DatendefKB'!R2</f>
        <v>#REF!</v>
      </c>
      <c r="E14" s="250" t="e">
        <f ca="1">'Hilfstabelle DatendefKB'!S2</f>
        <v>#REF!</v>
      </c>
      <c r="F14" s="248" t="e">
        <f ca="1">'Hilfstabelle DatendefKB'!T2</f>
        <v>#REF!</v>
      </c>
      <c r="G14" s="248" t="e">
        <f ca="1">'Hilfstabelle DatendefKB'!U2</f>
        <v>#REF!</v>
      </c>
      <c r="H14" s="251" t="e">
        <f ca="1">'Hilfstabelle DatendefKB'!V2</f>
        <v>#REF!</v>
      </c>
      <c r="I14" s="248" t="e">
        <f ca="1">'Hilfstabelle DatendefKB'!W2</f>
        <v>#REF!</v>
      </c>
      <c r="J14" s="252" t="e">
        <f ca="1">'Hilfstabelle DatendefKB'!X2</f>
        <v>#REF!</v>
      </c>
      <c r="K14" s="249" t="e">
        <f ca="1">'Hilfstabelle DatendefKB'!Y2</f>
        <v>#REF!</v>
      </c>
      <c r="P14" s="253"/>
      <c r="Q14" s="253"/>
    </row>
    <row r="15" spans="1:17" ht="170.1" customHeight="1" x14ac:dyDescent="0.25">
      <c r="A15" s="248" t="e">
        <f ca="1">'Hilfstabelle DatendefKB'!O3</f>
        <v>#REF!</v>
      </c>
      <c r="B15" s="249" t="e">
        <f ca="1">'Hilfstabelle DatendefKB'!P3</f>
        <v>#REF!</v>
      </c>
      <c r="C15" s="250" t="e">
        <f ca="1">'Hilfstabelle DatendefKB'!Q3</f>
        <v>#REF!</v>
      </c>
      <c r="D15" s="250" t="e">
        <f ca="1">'Hilfstabelle DatendefKB'!R3</f>
        <v>#REF!</v>
      </c>
      <c r="E15" s="250" t="e">
        <f ca="1">'Hilfstabelle DatendefKB'!S3</f>
        <v>#REF!</v>
      </c>
      <c r="F15" s="248" t="e">
        <f ca="1">'Hilfstabelle DatendefKB'!T3</f>
        <v>#REF!</v>
      </c>
      <c r="G15" s="248" t="e">
        <f ca="1">'Hilfstabelle DatendefKB'!U3</f>
        <v>#REF!</v>
      </c>
      <c r="H15" s="251" t="e">
        <f ca="1">'Hilfstabelle DatendefKB'!V3</f>
        <v>#REF!</v>
      </c>
      <c r="I15" s="248" t="e">
        <f ca="1">'Hilfstabelle DatendefKB'!W3</f>
        <v>#REF!</v>
      </c>
      <c r="J15" s="252" t="e">
        <f ca="1">'Hilfstabelle DatendefKB'!X3</f>
        <v>#REF!</v>
      </c>
      <c r="K15" s="249" t="e">
        <f ca="1">'Hilfstabelle DatendefKB'!Y3</f>
        <v>#REF!</v>
      </c>
    </row>
    <row r="16" spans="1:17" ht="170.1" customHeight="1" x14ac:dyDescent="0.25">
      <c r="A16" s="248" t="e">
        <f ca="1">'Hilfstabelle DatendefKB'!O4</f>
        <v>#REF!</v>
      </c>
      <c r="B16" s="249" t="e">
        <f ca="1">'Hilfstabelle DatendefKB'!P4</f>
        <v>#REF!</v>
      </c>
      <c r="C16" s="250" t="e">
        <f ca="1">'Hilfstabelle DatendefKB'!Q4</f>
        <v>#REF!</v>
      </c>
      <c r="D16" s="250" t="e">
        <f ca="1">'Hilfstabelle DatendefKB'!R4</f>
        <v>#REF!</v>
      </c>
      <c r="E16" s="250" t="e">
        <f ca="1">'Hilfstabelle DatendefKB'!S4</f>
        <v>#REF!</v>
      </c>
      <c r="F16" s="248" t="e">
        <f ca="1">'Hilfstabelle DatendefKB'!T4</f>
        <v>#REF!</v>
      </c>
      <c r="G16" s="248" t="e">
        <f ca="1">'Hilfstabelle DatendefKB'!U4</f>
        <v>#REF!</v>
      </c>
      <c r="H16" s="251" t="e">
        <f ca="1">'Hilfstabelle DatendefKB'!V4</f>
        <v>#REF!</v>
      </c>
      <c r="I16" s="248" t="e">
        <f ca="1">'Hilfstabelle DatendefKB'!W4</f>
        <v>#REF!</v>
      </c>
      <c r="J16" s="252" t="e">
        <f ca="1">'Hilfstabelle DatendefKB'!X4</f>
        <v>#REF!</v>
      </c>
      <c r="K16" s="249" t="e">
        <f ca="1">'Hilfstabelle DatendefKB'!Y4</f>
        <v>#REF!</v>
      </c>
    </row>
    <row r="17" spans="1:12" ht="170.1" customHeight="1" x14ac:dyDescent="0.25">
      <c r="A17" s="248" t="e">
        <f ca="1">'Hilfstabelle DatendefKB'!O5</f>
        <v>#REF!</v>
      </c>
      <c r="B17" s="249" t="e">
        <f ca="1">'Hilfstabelle DatendefKB'!P5</f>
        <v>#REF!</v>
      </c>
      <c r="C17" s="250" t="e">
        <f ca="1">'Hilfstabelle DatendefKB'!Q5</f>
        <v>#REF!</v>
      </c>
      <c r="D17" s="250" t="e">
        <f ca="1">'Hilfstabelle DatendefKB'!R5</f>
        <v>#REF!</v>
      </c>
      <c r="E17" s="250" t="e">
        <f ca="1">'Hilfstabelle DatendefKB'!S5</f>
        <v>#REF!</v>
      </c>
      <c r="F17" s="248" t="e">
        <f ca="1">'Hilfstabelle DatendefKB'!T5</f>
        <v>#REF!</v>
      </c>
      <c r="G17" s="248" t="e">
        <f ca="1">'Hilfstabelle DatendefKB'!U5</f>
        <v>#REF!</v>
      </c>
      <c r="H17" s="251" t="e">
        <f ca="1">'Hilfstabelle DatendefKB'!V5</f>
        <v>#REF!</v>
      </c>
      <c r="I17" s="248" t="e">
        <f ca="1">'Hilfstabelle DatendefKB'!W5</f>
        <v>#REF!</v>
      </c>
      <c r="J17" s="252" t="e">
        <f ca="1">'Hilfstabelle DatendefKB'!X5</f>
        <v>#REF!</v>
      </c>
      <c r="K17" s="249" t="e">
        <f ca="1">'Hilfstabelle DatendefKB'!Y5</f>
        <v>#REF!</v>
      </c>
    </row>
    <row r="18" spans="1:12" s="255" customFormat="1" ht="170.1" customHeight="1" x14ac:dyDescent="0.25">
      <c r="A18" s="248" t="e">
        <f ca="1">'Hilfstabelle DatendefKB'!O6</f>
        <v>#REF!</v>
      </c>
      <c r="B18" s="249" t="e">
        <f ca="1">'Hilfstabelle DatendefKB'!P6</f>
        <v>#REF!</v>
      </c>
      <c r="C18" s="250" t="e">
        <f ca="1">'Hilfstabelle DatendefKB'!Q6</f>
        <v>#REF!</v>
      </c>
      <c r="D18" s="250" t="e">
        <f ca="1">'Hilfstabelle DatendefKB'!R6</f>
        <v>#REF!</v>
      </c>
      <c r="E18" s="250" t="e">
        <f ca="1">'Hilfstabelle DatendefKB'!S6</f>
        <v>#REF!</v>
      </c>
      <c r="F18" s="248" t="e">
        <f ca="1">'Hilfstabelle DatendefKB'!T6</f>
        <v>#REF!</v>
      </c>
      <c r="G18" s="248" t="e">
        <f ca="1">'Hilfstabelle DatendefKB'!U6</f>
        <v>#REF!</v>
      </c>
      <c r="H18" s="251" t="e">
        <f ca="1">'Hilfstabelle DatendefKB'!V6</f>
        <v>#REF!</v>
      </c>
      <c r="I18" s="248" t="e">
        <f ca="1">'Hilfstabelle DatendefKB'!W6</f>
        <v>#REF!</v>
      </c>
      <c r="J18" s="252" t="e">
        <f ca="1">'Hilfstabelle DatendefKB'!X6</f>
        <v>#REF!</v>
      </c>
      <c r="K18" s="249" t="e">
        <f ca="1">'Hilfstabelle DatendefKB'!Y6</f>
        <v>#REF!</v>
      </c>
      <c r="L18" s="254"/>
    </row>
    <row r="19" spans="1:12" ht="170.1" customHeight="1" x14ac:dyDescent="0.25">
      <c r="A19" s="248" t="e">
        <f ca="1">'Hilfstabelle DatendefKB'!O7</f>
        <v>#REF!</v>
      </c>
      <c r="B19" s="249" t="e">
        <f ca="1">'Hilfstabelle DatendefKB'!P7</f>
        <v>#REF!</v>
      </c>
      <c r="C19" s="250" t="e">
        <f ca="1">'Hilfstabelle DatendefKB'!Q7</f>
        <v>#REF!</v>
      </c>
      <c r="D19" s="250" t="e">
        <f ca="1">'Hilfstabelle DatendefKB'!R7</f>
        <v>#REF!</v>
      </c>
      <c r="E19" s="250" t="e">
        <f ca="1">'Hilfstabelle DatendefKB'!S7</f>
        <v>#REF!</v>
      </c>
      <c r="F19" s="248" t="e">
        <f ca="1">'Hilfstabelle DatendefKB'!T7</f>
        <v>#REF!</v>
      </c>
      <c r="G19" s="248" t="e">
        <f ca="1">'Hilfstabelle DatendefKB'!U7</f>
        <v>#REF!</v>
      </c>
      <c r="H19" s="251" t="e">
        <f ca="1">'Hilfstabelle DatendefKB'!V7</f>
        <v>#REF!</v>
      </c>
      <c r="I19" s="248" t="e">
        <f ca="1">'Hilfstabelle DatendefKB'!W7</f>
        <v>#REF!</v>
      </c>
      <c r="J19" s="252" t="e">
        <f ca="1">'Hilfstabelle DatendefKB'!X7</f>
        <v>#REF!</v>
      </c>
      <c r="K19" s="249" t="e">
        <f ca="1">'Hilfstabelle DatendefKB'!Y7</f>
        <v>#REF!</v>
      </c>
    </row>
    <row r="20" spans="1:12" s="255" customFormat="1" ht="170.1" customHeight="1" x14ac:dyDescent="0.25">
      <c r="A20" s="248" t="e">
        <f ca="1">'Hilfstabelle DatendefKB'!O8</f>
        <v>#REF!</v>
      </c>
      <c r="B20" s="249" t="e">
        <f ca="1">'Hilfstabelle DatendefKB'!P8</f>
        <v>#REF!</v>
      </c>
      <c r="C20" s="250" t="e">
        <f ca="1">'Hilfstabelle DatendefKB'!Q8</f>
        <v>#REF!</v>
      </c>
      <c r="D20" s="250" t="e">
        <f ca="1">'Hilfstabelle DatendefKB'!R8</f>
        <v>#REF!</v>
      </c>
      <c r="E20" s="250" t="e">
        <f ca="1">'Hilfstabelle DatendefKB'!S8</f>
        <v>#REF!</v>
      </c>
      <c r="F20" s="248" t="e">
        <f ca="1">'Hilfstabelle DatendefKB'!T8</f>
        <v>#REF!</v>
      </c>
      <c r="G20" s="248" t="e">
        <f ca="1">'Hilfstabelle DatendefKB'!U8</f>
        <v>#REF!</v>
      </c>
      <c r="H20" s="251" t="e">
        <f ca="1">'Hilfstabelle DatendefKB'!V8</f>
        <v>#REF!</v>
      </c>
      <c r="I20" s="248" t="e">
        <f ca="1">'Hilfstabelle DatendefKB'!W8</f>
        <v>#REF!</v>
      </c>
      <c r="J20" s="252" t="e">
        <f ca="1">'Hilfstabelle DatendefKB'!X8</f>
        <v>#REF!</v>
      </c>
      <c r="K20" s="249" t="e">
        <f ca="1">'Hilfstabelle DatendefKB'!Y8</f>
        <v>#REF!</v>
      </c>
      <c r="L20" s="254"/>
    </row>
    <row r="21" spans="1:12" ht="170.1" customHeight="1" x14ac:dyDescent="0.25">
      <c r="A21" s="248" t="e">
        <f ca="1">'Hilfstabelle DatendefKB'!O9</f>
        <v>#REF!</v>
      </c>
      <c r="B21" s="249" t="e">
        <f ca="1">'Hilfstabelle DatendefKB'!P9</f>
        <v>#REF!</v>
      </c>
      <c r="C21" s="250" t="e">
        <f ca="1">'Hilfstabelle DatendefKB'!Q9</f>
        <v>#REF!</v>
      </c>
      <c r="D21" s="250" t="e">
        <f ca="1">'Hilfstabelle DatendefKB'!R9</f>
        <v>#REF!</v>
      </c>
      <c r="E21" s="250" t="e">
        <f ca="1">'Hilfstabelle DatendefKB'!S9</f>
        <v>#REF!</v>
      </c>
      <c r="F21" s="248" t="e">
        <f ca="1">'Hilfstabelle DatendefKB'!T9</f>
        <v>#REF!</v>
      </c>
      <c r="G21" s="248" t="e">
        <f ca="1">'Hilfstabelle DatendefKB'!U9</f>
        <v>#REF!</v>
      </c>
      <c r="H21" s="251" t="e">
        <f ca="1">'Hilfstabelle DatendefKB'!V9</f>
        <v>#REF!</v>
      </c>
      <c r="I21" s="248" t="e">
        <f ca="1">'Hilfstabelle DatendefKB'!W9</f>
        <v>#REF!</v>
      </c>
      <c r="J21" s="252" t="e">
        <f ca="1">'Hilfstabelle DatendefKB'!X9</f>
        <v>#REF!</v>
      </c>
      <c r="K21" s="249" t="e">
        <f ca="1">'Hilfstabelle DatendefKB'!Y9</f>
        <v>#REF!</v>
      </c>
    </row>
    <row r="22" spans="1:12" s="255" customFormat="1" ht="170.1" customHeight="1" x14ac:dyDescent="0.25">
      <c r="A22" s="248" t="e">
        <f ca="1">'Hilfstabelle DatendefKB'!O10</f>
        <v>#REF!</v>
      </c>
      <c r="B22" s="249" t="e">
        <f ca="1">'Hilfstabelle DatendefKB'!P10</f>
        <v>#REF!</v>
      </c>
      <c r="C22" s="250" t="e">
        <f ca="1">'Hilfstabelle DatendefKB'!Q10</f>
        <v>#REF!</v>
      </c>
      <c r="D22" s="250" t="e">
        <f ca="1">'Hilfstabelle DatendefKB'!R10</f>
        <v>#REF!</v>
      </c>
      <c r="E22" s="250" t="e">
        <f ca="1">'Hilfstabelle DatendefKB'!S10</f>
        <v>#REF!</v>
      </c>
      <c r="F22" s="248" t="e">
        <f ca="1">'Hilfstabelle DatendefKB'!T10</f>
        <v>#REF!</v>
      </c>
      <c r="G22" s="248" t="e">
        <f ca="1">'Hilfstabelle DatendefKB'!U10</f>
        <v>#REF!</v>
      </c>
      <c r="H22" s="251" t="e">
        <f ca="1">'Hilfstabelle DatendefKB'!V10</f>
        <v>#REF!</v>
      </c>
      <c r="I22" s="248" t="e">
        <f ca="1">'Hilfstabelle DatendefKB'!W10</f>
        <v>#REF!</v>
      </c>
      <c r="J22" s="252" t="e">
        <f ca="1">'Hilfstabelle DatendefKB'!X10</f>
        <v>#REF!</v>
      </c>
      <c r="K22" s="249" t="e">
        <f ca="1">'Hilfstabelle DatendefKB'!Y10</f>
        <v>#REF!</v>
      </c>
      <c r="L22" s="254"/>
    </row>
    <row r="23" spans="1:12" ht="170.1" customHeight="1" x14ac:dyDescent="0.25">
      <c r="A23" s="248" t="e">
        <f ca="1">'Hilfstabelle DatendefKB'!O11</f>
        <v>#REF!</v>
      </c>
      <c r="B23" s="249" t="e">
        <f ca="1">'Hilfstabelle DatendefKB'!P11</f>
        <v>#REF!</v>
      </c>
      <c r="C23" s="250" t="e">
        <f ca="1">'Hilfstabelle DatendefKB'!Q11</f>
        <v>#REF!</v>
      </c>
      <c r="D23" s="250" t="e">
        <f ca="1">'Hilfstabelle DatendefKB'!R11</f>
        <v>#REF!</v>
      </c>
      <c r="E23" s="250" t="e">
        <f ca="1">'Hilfstabelle DatendefKB'!S11</f>
        <v>#REF!</v>
      </c>
      <c r="F23" s="248" t="e">
        <f ca="1">'Hilfstabelle DatendefKB'!T11</f>
        <v>#REF!</v>
      </c>
      <c r="G23" s="248" t="e">
        <f ca="1">'Hilfstabelle DatendefKB'!U11</f>
        <v>#REF!</v>
      </c>
      <c r="H23" s="251" t="e">
        <f ca="1">'Hilfstabelle DatendefKB'!V11</f>
        <v>#REF!</v>
      </c>
      <c r="I23" s="248" t="e">
        <f ca="1">'Hilfstabelle DatendefKB'!W11</f>
        <v>#REF!</v>
      </c>
      <c r="J23" s="252" t="e">
        <f ca="1">'Hilfstabelle DatendefKB'!X11</f>
        <v>#REF!</v>
      </c>
      <c r="K23" s="249" t="e">
        <f ca="1">'Hilfstabelle DatendefKB'!Y11</f>
        <v>#REF!</v>
      </c>
    </row>
    <row r="24" spans="1:12" s="255" customFormat="1" ht="170.1" customHeight="1" x14ac:dyDescent="0.25">
      <c r="A24" s="248" t="e">
        <f ca="1">'Hilfstabelle DatendefKB'!O12</f>
        <v>#REF!</v>
      </c>
      <c r="B24" s="249" t="e">
        <f ca="1">'Hilfstabelle DatendefKB'!P12</f>
        <v>#REF!</v>
      </c>
      <c r="C24" s="250" t="e">
        <f ca="1">'Hilfstabelle DatendefKB'!Q12</f>
        <v>#REF!</v>
      </c>
      <c r="D24" s="250" t="e">
        <f ca="1">'Hilfstabelle DatendefKB'!R12</f>
        <v>#REF!</v>
      </c>
      <c r="E24" s="250" t="e">
        <f ca="1">'Hilfstabelle DatendefKB'!S12</f>
        <v>#REF!</v>
      </c>
      <c r="F24" s="248" t="e">
        <f ca="1">'Hilfstabelle DatendefKB'!T12</f>
        <v>#REF!</v>
      </c>
      <c r="G24" s="248" t="e">
        <f ca="1">'Hilfstabelle DatendefKB'!U12</f>
        <v>#REF!</v>
      </c>
      <c r="H24" s="251" t="e">
        <f ca="1">'Hilfstabelle DatendefKB'!V12</f>
        <v>#REF!</v>
      </c>
      <c r="I24" s="248" t="e">
        <f ca="1">'Hilfstabelle DatendefKB'!W12</f>
        <v>#REF!</v>
      </c>
      <c r="J24" s="252" t="e">
        <f ca="1">'Hilfstabelle DatendefKB'!X12</f>
        <v>#REF!</v>
      </c>
      <c r="K24" s="249" t="e">
        <f ca="1">'Hilfstabelle DatendefKB'!Y12</f>
        <v>#REF!</v>
      </c>
      <c r="L24" s="254"/>
    </row>
    <row r="25" spans="1:12" ht="170.1" customHeight="1" x14ac:dyDescent="0.25">
      <c r="A25" s="248" t="e">
        <f ca="1">'Hilfstabelle DatendefKB'!O13</f>
        <v>#REF!</v>
      </c>
      <c r="B25" s="249" t="e">
        <f ca="1">'Hilfstabelle DatendefKB'!P13</f>
        <v>#REF!</v>
      </c>
      <c r="C25" s="250" t="e">
        <f ca="1">'Hilfstabelle DatendefKB'!Q13</f>
        <v>#REF!</v>
      </c>
      <c r="D25" s="250" t="e">
        <f ca="1">'Hilfstabelle DatendefKB'!R13</f>
        <v>#REF!</v>
      </c>
      <c r="E25" s="250" t="e">
        <f ca="1">'Hilfstabelle DatendefKB'!S13</f>
        <v>#REF!</v>
      </c>
      <c r="F25" s="248" t="e">
        <f ca="1">'Hilfstabelle DatendefKB'!T13</f>
        <v>#REF!</v>
      </c>
      <c r="G25" s="248" t="e">
        <f ca="1">'Hilfstabelle DatendefKB'!U13</f>
        <v>#REF!</v>
      </c>
      <c r="H25" s="251" t="e">
        <f ca="1">'Hilfstabelle DatendefKB'!V13</f>
        <v>#REF!</v>
      </c>
      <c r="I25" s="248" t="e">
        <f ca="1">'Hilfstabelle DatendefKB'!W13</f>
        <v>#REF!</v>
      </c>
      <c r="J25" s="252" t="e">
        <f ca="1">'Hilfstabelle DatendefKB'!X13</f>
        <v>#REF!</v>
      </c>
      <c r="K25" s="249" t="e">
        <f ca="1">'Hilfstabelle DatendefKB'!Y13</f>
        <v>#REF!</v>
      </c>
    </row>
    <row r="26" spans="1:12" s="255" customFormat="1" ht="170.1" customHeight="1" x14ac:dyDescent="0.25">
      <c r="A26" s="248" t="e">
        <f ca="1">'Hilfstabelle DatendefKB'!O14</f>
        <v>#REF!</v>
      </c>
      <c r="B26" s="249" t="e">
        <f ca="1">'Hilfstabelle DatendefKB'!P14</f>
        <v>#REF!</v>
      </c>
      <c r="C26" s="250" t="e">
        <f ca="1">'Hilfstabelle DatendefKB'!Q14</f>
        <v>#REF!</v>
      </c>
      <c r="D26" s="250" t="e">
        <f ca="1">'Hilfstabelle DatendefKB'!R14</f>
        <v>#REF!</v>
      </c>
      <c r="E26" s="250" t="e">
        <f ca="1">'Hilfstabelle DatendefKB'!S14</f>
        <v>#REF!</v>
      </c>
      <c r="F26" s="248" t="e">
        <f ca="1">'Hilfstabelle DatendefKB'!T14</f>
        <v>#REF!</v>
      </c>
      <c r="G26" s="248" t="e">
        <f ca="1">'Hilfstabelle DatendefKB'!U14</f>
        <v>#REF!</v>
      </c>
      <c r="H26" s="251" t="e">
        <f ca="1">'Hilfstabelle DatendefKB'!V14</f>
        <v>#REF!</v>
      </c>
      <c r="I26" s="248" t="e">
        <f ca="1">'Hilfstabelle DatendefKB'!W14</f>
        <v>#REF!</v>
      </c>
      <c r="J26" s="252" t="e">
        <f ca="1">'Hilfstabelle DatendefKB'!X14</f>
        <v>#REF!</v>
      </c>
      <c r="K26" s="249" t="e">
        <f ca="1">'Hilfstabelle DatendefKB'!Y14</f>
        <v>#REF!</v>
      </c>
    </row>
    <row r="27" spans="1:12" ht="170.1" customHeight="1" x14ac:dyDescent="0.25">
      <c r="A27" s="248" t="e">
        <f ca="1">'Hilfstabelle DatendefKB'!O15</f>
        <v>#REF!</v>
      </c>
      <c r="B27" s="249" t="e">
        <f ca="1">'Hilfstabelle DatendefKB'!P15</f>
        <v>#REF!</v>
      </c>
      <c r="C27" s="250" t="e">
        <f ca="1">'Hilfstabelle DatendefKB'!Q15</f>
        <v>#REF!</v>
      </c>
      <c r="D27" s="250" t="e">
        <f ca="1">'Hilfstabelle DatendefKB'!R15</f>
        <v>#REF!</v>
      </c>
      <c r="E27" s="250" t="e">
        <f ca="1">'Hilfstabelle DatendefKB'!S15</f>
        <v>#REF!</v>
      </c>
      <c r="F27" s="248" t="e">
        <f ca="1">'Hilfstabelle DatendefKB'!T15</f>
        <v>#REF!</v>
      </c>
      <c r="G27" s="248" t="e">
        <f ca="1">'Hilfstabelle DatendefKB'!U15</f>
        <v>#REF!</v>
      </c>
      <c r="H27" s="251" t="e">
        <f ca="1">'Hilfstabelle DatendefKB'!V15</f>
        <v>#REF!</v>
      </c>
      <c r="I27" s="248" t="e">
        <f ca="1">'Hilfstabelle DatendefKB'!W15</f>
        <v>#REF!</v>
      </c>
      <c r="J27" s="252" t="e">
        <f ca="1">'Hilfstabelle DatendefKB'!X15</f>
        <v>#REF!</v>
      </c>
      <c r="K27" s="249" t="e">
        <f ca="1">'Hilfstabelle DatendefKB'!Y15</f>
        <v>#REF!</v>
      </c>
    </row>
    <row r="28" spans="1:12" s="255" customFormat="1" ht="170.1" customHeight="1" x14ac:dyDescent="0.25">
      <c r="A28" s="248" t="e">
        <f ca="1">'Hilfstabelle DatendefKB'!O16</f>
        <v>#REF!</v>
      </c>
      <c r="B28" s="249" t="e">
        <f ca="1">'Hilfstabelle DatendefKB'!P16</f>
        <v>#REF!</v>
      </c>
      <c r="C28" s="250" t="e">
        <f ca="1">'Hilfstabelle DatendefKB'!Q16</f>
        <v>#REF!</v>
      </c>
      <c r="D28" s="250" t="e">
        <f ca="1">'Hilfstabelle DatendefKB'!R16</f>
        <v>#REF!</v>
      </c>
      <c r="E28" s="250" t="e">
        <f ca="1">'Hilfstabelle DatendefKB'!S16</f>
        <v>#REF!</v>
      </c>
      <c r="F28" s="248" t="e">
        <f ca="1">'Hilfstabelle DatendefKB'!T16</f>
        <v>#REF!</v>
      </c>
      <c r="G28" s="248" t="e">
        <f ca="1">'Hilfstabelle DatendefKB'!U16</f>
        <v>#REF!</v>
      </c>
      <c r="H28" s="251" t="e">
        <f ca="1">'Hilfstabelle DatendefKB'!V16</f>
        <v>#REF!</v>
      </c>
      <c r="I28" s="248" t="e">
        <f ca="1">'Hilfstabelle DatendefKB'!W16</f>
        <v>#REF!</v>
      </c>
      <c r="J28" s="252" t="e">
        <f ca="1">'Hilfstabelle DatendefKB'!X16</f>
        <v>#REF!</v>
      </c>
      <c r="K28" s="249" t="e">
        <f ca="1">'Hilfstabelle DatendefKB'!Y16</f>
        <v>#REF!</v>
      </c>
    </row>
    <row r="29" spans="1:12" ht="170.1" customHeight="1" x14ac:dyDescent="0.25">
      <c r="A29" s="248" t="e">
        <f ca="1">'Hilfstabelle DatendefKB'!O17</f>
        <v>#REF!</v>
      </c>
      <c r="B29" s="249" t="e">
        <f ca="1">'Hilfstabelle DatendefKB'!P17</f>
        <v>#REF!</v>
      </c>
      <c r="C29" s="250" t="e">
        <f ca="1">'Hilfstabelle DatendefKB'!Q17</f>
        <v>#REF!</v>
      </c>
      <c r="D29" s="250" t="e">
        <f ca="1">'Hilfstabelle DatendefKB'!R17</f>
        <v>#REF!</v>
      </c>
      <c r="E29" s="250" t="e">
        <f ca="1">'Hilfstabelle DatendefKB'!S17</f>
        <v>#REF!</v>
      </c>
      <c r="F29" s="248" t="e">
        <f ca="1">'Hilfstabelle DatendefKB'!T17</f>
        <v>#REF!</v>
      </c>
      <c r="G29" s="248" t="e">
        <f ca="1">'Hilfstabelle DatendefKB'!U17</f>
        <v>#REF!</v>
      </c>
      <c r="H29" s="251" t="e">
        <f ca="1">'Hilfstabelle DatendefKB'!V17</f>
        <v>#REF!</v>
      </c>
      <c r="I29" s="248" t="e">
        <f ca="1">'Hilfstabelle DatendefKB'!W17</f>
        <v>#REF!</v>
      </c>
      <c r="J29" s="252" t="e">
        <f ca="1">'Hilfstabelle DatendefKB'!X17</f>
        <v>#REF!</v>
      </c>
      <c r="K29" s="249" t="e">
        <f ca="1">'Hilfstabelle DatendefKB'!Y17</f>
        <v>#REF!</v>
      </c>
    </row>
    <row r="30" spans="1:12" s="255" customFormat="1" ht="170.1" customHeight="1" x14ac:dyDescent="0.25">
      <c r="A30" s="248" t="e">
        <f ca="1">'Hilfstabelle DatendefKB'!O18</f>
        <v>#REF!</v>
      </c>
      <c r="B30" s="249" t="e">
        <f ca="1">'Hilfstabelle DatendefKB'!P18</f>
        <v>#REF!</v>
      </c>
      <c r="C30" s="250" t="e">
        <f ca="1">'Hilfstabelle DatendefKB'!Q18</f>
        <v>#REF!</v>
      </c>
      <c r="D30" s="250" t="e">
        <f ca="1">'Hilfstabelle DatendefKB'!R18</f>
        <v>#REF!</v>
      </c>
      <c r="E30" s="250" t="e">
        <f ca="1">'Hilfstabelle DatendefKB'!S18</f>
        <v>#REF!</v>
      </c>
      <c r="F30" s="248" t="e">
        <f ca="1">'Hilfstabelle DatendefKB'!T18</f>
        <v>#REF!</v>
      </c>
      <c r="G30" s="248" t="e">
        <f ca="1">'Hilfstabelle DatendefKB'!U18</f>
        <v>#REF!</v>
      </c>
      <c r="H30" s="251" t="e">
        <f ca="1">'Hilfstabelle DatendefKB'!V18</f>
        <v>#REF!</v>
      </c>
      <c r="I30" s="248" t="e">
        <f ca="1">'Hilfstabelle DatendefKB'!W18</f>
        <v>#REF!</v>
      </c>
      <c r="J30" s="252" t="e">
        <f ca="1">'Hilfstabelle DatendefKB'!X18</f>
        <v>#REF!</v>
      </c>
      <c r="K30" s="249" t="e">
        <f ca="1">'Hilfstabelle DatendefKB'!Y18</f>
        <v>#REF!</v>
      </c>
    </row>
    <row r="31" spans="1:12" s="255" customFormat="1" ht="170.1" customHeight="1" x14ac:dyDescent="0.25">
      <c r="A31" s="248" t="e">
        <f ca="1">'Hilfstabelle DatendefKB'!O19</f>
        <v>#REF!</v>
      </c>
      <c r="B31" s="249" t="e">
        <f ca="1">'Hilfstabelle DatendefKB'!P19</f>
        <v>#REF!</v>
      </c>
      <c r="C31" s="250" t="e">
        <f ca="1">'Hilfstabelle DatendefKB'!Q19</f>
        <v>#REF!</v>
      </c>
      <c r="D31" s="250" t="e">
        <f ca="1">'Hilfstabelle DatendefKB'!R19</f>
        <v>#REF!</v>
      </c>
      <c r="E31" s="250" t="e">
        <f ca="1">'Hilfstabelle DatendefKB'!S19</f>
        <v>#REF!</v>
      </c>
      <c r="F31" s="248" t="e">
        <f ca="1">'Hilfstabelle DatendefKB'!T19</f>
        <v>#REF!</v>
      </c>
      <c r="G31" s="248" t="e">
        <f ca="1">'Hilfstabelle DatendefKB'!U19</f>
        <v>#REF!</v>
      </c>
      <c r="H31" s="251" t="e">
        <f ca="1">'Hilfstabelle DatendefKB'!V19</f>
        <v>#REF!</v>
      </c>
      <c r="I31" s="248" t="e">
        <f ca="1">'Hilfstabelle DatendefKB'!W19</f>
        <v>#REF!</v>
      </c>
      <c r="J31" s="252" t="e">
        <f ca="1">'Hilfstabelle DatendefKB'!X19</f>
        <v>#REF!</v>
      </c>
      <c r="K31" s="249" t="e">
        <f ca="1">'Hilfstabelle DatendefKB'!Y19</f>
        <v>#REF!</v>
      </c>
    </row>
    <row r="32" spans="1:12" ht="170.1" customHeight="1" x14ac:dyDescent="0.25">
      <c r="A32" s="248" t="e">
        <f ca="1">'Hilfstabelle DatendefKB'!O20</f>
        <v>#REF!</v>
      </c>
      <c r="B32" s="249" t="e">
        <f ca="1">'Hilfstabelle DatendefKB'!P20</f>
        <v>#REF!</v>
      </c>
      <c r="C32" s="250" t="e">
        <f ca="1">'Hilfstabelle DatendefKB'!Q20</f>
        <v>#REF!</v>
      </c>
      <c r="D32" s="250" t="e">
        <f ca="1">'Hilfstabelle DatendefKB'!R20</f>
        <v>#REF!</v>
      </c>
      <c r="E32" s="250" t="e">
        <f ca="1">'Hilfstabelle DatendefKB'!S20</f>
        <v>#REF!</v>
      </c>
      <c r="F32" s="248" t="e">
        <f ca="1">'Hilfstabelle DatendefKB'!T20</f>
        <v>#REF!</v>
      </c>
      <c r="G32" s="248" t="e">
        <f ca="1">'Hilfstabelle DatendefKB'!U20</f>
        <v>#REF!</v>
      </c>
      <c r="H32" s="251" t="e">
        <f ca="1">'Hilfstabelle DatendefKB'!V20</f>
        <v>#REF!</v>
      </c>
      <c r="I32" s="248" t="e">
        <f ca="1">'Hilfstabelle DatendefKB'!W20</f>
        <v>#REF!</v>
      </c>
      <c r="J32" s="252" t="e">
        <f ca="1">'Hilfstabelle DatendefKB'!X20</f>
        <v>#REF!</v>
      </c>
      <c r="K32" s="249" t="e">
        <f ca="1">'Hilfstabelle DatendefKB'!Y20</f>
        <v>#REF!</v>
      </c>
    </row>
    <row r="33" spans="1:11" ht="170.1" customHeight="1" x14ac:dyDescent="0.25">
      <c r="A33" s="248" t="e">
        <f ca="1">'Hilfstabelle DatendefKB'!O21</f>
        <v>#REF!</v>
      </c>
      <c r="B33" s="249" t="e">
        <f ca="1">'Hilfstabelle DatendefKB'!P21</f>
        <v>#REF!</v>
      </c>
      <c r="C33" s="250" t="e">
        <f ca="1">'Hilfstabelle DatendefKB'!Q21</f>
        <v>#REF!</v>
      </c>
      <c r="D33" s="250" t="e">
        <f ca="1">'Hilfstabelle DatendefKB'!R21</f>
        <v>#REF!</v>
      </c>
      <c r="E33" s="250" t="e">
        <f ca="1">'Hilfstabelle DatendefKB'!S21</f>
        <v>#REF!</v>
      </c>
      <c r="F33" s="248" t="e">
        <f ca="1">'Hilfstabelle DatendefKB'!T21</f>
        <v>#REF!</v>
      </c>
      <c r="G33" s="248" t="e">
        <f ca="1">'Hilfstabelle DatendefKB'!U21</f>
        <v>#REF!</v>
      </c>
      <c r="H33" s="251" t="e">
        <f ca="1">'Hilfstabelle DatendefKB'!V21</f>
        <v>#REF!</v>
      </c>
      <c r="I33" s="248" t="e">
        <f ca="1">'Hilfstabelle DatendefKB'!W21</f>
        <v>#REF!</v>
      </c>
      <c r="J33" s="252" t="e">
        <f ca="1">'Hilfstabelle DatendefKB'!X21</f>
        <v>#REF!</v>
      </c>
      <c r="K33" s="249" t="e">
        <f ca="1">'Hilfstabelle DatendefKB'!Y21</f>
        <v>#REF!</v>
      </c>
    </row>
    <row r="34" spans="1:11" ht="170.1" customHeight="1" x14ac:dyDescent="0.25">
      <c r="A34" s="248" t="e">
        <f ca="1">'Hilfstabelle DatendefKB'!O22</f>
        <v>#REF!</v>
      </c>
      <c r="B34" s="249" t="e">
        <f ca="1">'Hilfstabelle DatendefKB'!P22</f>
        <v>#REF!</v>
      </c>
      <c r="C34" s="250" t="e">
        <f ca="1">'Hilfstabelle DatendefKB'!Q22</f>
        <v>#REF!</v>
      </c>
      <c r="D34" s="250" t="e">
        <f ca="1">'Hilfstabelle DatendefKB'!R22</f>
        <v>#REF!</v>
      </c>
      <c r="E34" s="250" t="e">
        <f ca="1">'Hilfstabelle DatendefKB'!S22</f>
        <v>#REF!</v>
      </c>
      <c r="F34" s="248" t="e">
        <f ca="1">'Hilfstabelle DatendefKB'!T22</f>
        <v>#REF!</v>
      </c>
      <c r="G34" s="248" t="e">
        <f ca="1">'Hilfstabelle DatendefKB'!U22</f>
        <v>#REF!</v>
      </c>
      <c r="H34" s="251" t="e">
        <f ca="1">'Hilfstabelle DatendefKB'!V22</f>
        <v>#REF!</v>
      </c>
      <c r="I34" s="248" t="e">
        <f ca="1">'Hilfstabelle DatendefKB'!W22</f>
        <v>#REF!</v>
      </c>
      <c r="J34" s="252" t="e">
        <f ca="1">'Hilfstabelle DatendefKB'!X22</f>
        <v>#REF!</v>
      </c>
      <c r="K34" s="249" t="e">
        <f ca="1">'Hilfstabelle DatendefKB'!Y22</f>
        <v>#REF!</v>
      </c>
    </row>
    <row r="35" spans="1:11" ht="170.1" customHeight="1" x14ac:dyDescent="0.25">
      <c r="A35" s="248" t="e">
        <f ca="1">'Hilfstabelle DatendefKB'!O23</f>
        <v>#REF!</v>
      </c>
      <c r="B35" s="249" t="e">
        <f ca="1">'Hilfstabelle DatendefKB'!P23</f>
        <v>#REF!</v>
      </c>
      <c r="C35" s="250" t="e">
        <f ca="1">'Hilfstabelle DatendefKB'!Q23</f>
        <v>#REF!</v>
      </c>
      <c r="D35" s="250" t="e">
        <f ca="1">'Hilfstabelle DatendefKB'!R23</f>
        <v>#REF!</v>
      </c>
      <c r="E35" s="250" t="e">
        <f ca="1">'Hilfstabelle DatendefKB'!S23</f>
        <v>#REF!</v>
      </c>
      <c r="F35" s="248" t="e">
        <f ca="1">'Hilfstabelle DatendefKB'!T23</f>
        <v>#REF!</v>
      </c>
      <c r="G35" s="248" t="e">
        <f ca="1">'Hilfstabelle DatendefKB'!U23</f>
        <v>#REF!</v>
      </c>
      <c r="H35" s="251" t="e">
        <f ca="1">'Hilfstabelle DatendefKB'!V23</f>
        <v>#REF!</v>
      </c>
      <c r="I35" s="248" t="e">
        <f ca="1">'Hilfstabelle DatendefKB'!W23</f>
        <v>#REF!</v>
      </c>
      <c r="J35" s="252" t="e">
        <f ca="1">'Hilfstabelle DatendefKB'!X23</f>
        <v>#REF!</v>
      </c>
      <c r="K35" s="249" t="e">
        <f ca="1">'Hilfstabelle DatendefKB'!Y23</f>
        <v>#REF!</v>
      </c>
    </row>
    <row r="36" spans="1:11" ht="170.1" customHeight="1" x14ac:dyDescent="0.25">
      <c r="A36" s="248" t="e">
        <f ca="1">'Hilfstabelle DatendefKB'!O24</f>
        <v>#REF!</v>
      </c>
      <c r="B36" s="249" t="e">
        <f ca="1">'Hilfstabelle DatendefKB'!P24</f>
        <v>#REF!</v>
      </c>
      <c r="C36" s="250" t="e">
        <f ca="1">'Hilfstabelle DatendefKB'!Q24</f>
        <v>#REF!</v>
      </c>
      <c r="D36" s="250" t="e">
        <f ca="1">'Hilfstabelle DatendefKB'!R24</f>
        <v>#REF!</v>
      </c>
      <c r="E36" s="250" t="e">
        <f ca="1">'Hilfstabelle DatendefKB'!S24</f>
        <v>#REF!</v>
      </c>
      <c r="F36" s="248" t="e">
        <f ca="1">'Hilfstabelle DatendefKB'!T24</f>
        <v>#REF!</v>
      </c>
      <c r="G36" s="248" t="e">
        <f ca="1">'Hilfstabelle DatendefKB'!U24</f>
        <v>#REF!</v>
      </c>
      <c r="H36" s="251" t="e">
        <f ca="1">'Hilfstabelle DatendefKB'!V24</f>
        <v>#REF!</v>
      </c>
      <c r="I36" s="248" t="e">
        <f ca="1">'Hilfstabelle DatendefKB'!W24</f>
        <v>#REF!</v>
      </c>
      <c r="J36" s="252" t="e">
        <f ca="1">'Hilfstabelle DatendefKB'!X24</f>
        <v>#REF!</v>
      </c>
      <c r="K36" s="249" t="e">
        <f ca="1">'Hilfstabelle DatendefKB'!Y24</f>
        <v>#REF!</v>
      </c>
    </row>
    <row r="37" spans="1:11" ht="170.1" customHeight="1" x14ac:dyDescent="0.25">
      <c r="A37" s="248" t="e">
        <f ca="1">'Hilfstabelle DatendefKB'!O25</f>
        <v>#REF!</v>
      </c>
      <c r="B37" s="249" t="e">
        <f ca="1">'Hilfstabelle DatendefKB'!P25</f>
        <v>#REF!</v>
      </c>
      <c r="C37" s="250" t="e">
        <f ca="1">'Hilfstabelle DatendefKB'!Q25</f>
        <v>#REF!</v>
      </c>
      <c r="D37" s="250" t="e">
        <f ca="1">'Hilfstabelle DatendefKB'!R25</f>
        <v>#REF!</v>
      </c>
      <c r="E37" s="250" t="e">
        <f ca="1">'Hilfstabelle DatendefKB'!S25</f>
        <v>#REF!</v>
      </c>
      <c r="F37" s="248" t="e">
        <f ca="1">'Hilfstabelle DatendefKB'!T25</f>
        <v>#REF!</v>
      </c>
      <c r="G37" s="248" t="e">
        <f ca="1">'Hilfstabelle DatendefKB'!U25</f>
        <v>#REF!</v>
      </c>
      <c r="H37" s="251" t="e">
        <f ca="1">'Hilfstabelle DatendefKB'!V25</f>
        <v>#REF!</v>
      </c>
      <c r="I37" s="248" t="e">
        <f ca="1">'Hilfstabelle DatendefKB'!W25</f>
        <v>#REF!</v>
      </c>
      <c r="J37" s="252" t="e">
        <f ca="1">'Hilfstabelle DatendefKB'!X25</f>
        <v>#REF!</v>
      </c>
      <c r="K37" s="249" t="e">
        <f ca="1">'Hilfstabelle DatendefKB'!Y25</f>
        <v>#REF!</v>
      </c>
    </row>
  </sheetData>
  <sheetProtection selectLockedCells="1"/>
  <mergeCells count="8">
    <mergeCell ref="C8:F8"/>
    <mergeCell ref="C6:J6"/>
    <mergeCell ref="A12:A13"/>
    <mergeCell ref="B12:B13"/>
    <mergeCell ref="C12:E12"/>
    <mergeCell ref="F12:H12"/>
    <mergeCell ref="I12:I13"/>
    <mergeCell ref="J12:K12"/>
  </mergeCells>
  <phoneticPr fontId="33" type="noConversion"/>
  <conditionalFormatting sqref="A14:H37 J14:K37">
    <cfRule type="notContainsBlanks" dxfId="103" priority="24" stopIfTrue="1">
      <formula>LEN(TRIM(A14))&gt;0</formula>
    </cfRule>
  </conditionalFormatting>
  <conditionalFormatting sqref="A12:J13">
    <cfRule type="expression" dxfId="102" priority="7" stopIfTrue="1">
      <formula>$B$10="Kein Datendefizit vorhanden"</formula>
    </cfRule>
  </conditionalFormatting>
  <conditionalFormatting sqref="I14:I37">
    <cfRule type="expression" dxfId="101" priority="1" stopIfTrue="1">
      <formula>OR(AND($I14&lt;&gt;"",$I14="Unvollständig"),AND($I14&lt;&gt;"",$I14="Inkorrekt"))</formula>
    </cfRule>
    <cfRule type="expression" dxfId="100" priority="3" stopIfTrue="1">
      <formula>AND($I14&lt;&gt;"",$I14="Sollvorgabe nicht erfüllt")</formula>
    </cfRule>
    <cfRule type="expression" dxfId="99" priority="4" stopIfTrue="1">
      <formula>AND($I14&lt;&gt;"",$I14="optional - Sollvorgabe nicht erfüllt")</formula>
    </cfRule>
    <cfRule type="expression" dxfId="98" priority="5" stopIfTrue="1">
      <formula>AND($I14&lt;&gt;"",$I14="I.O. (Plausibilität unklar)")</formula>
    </cfRule>
    <cfRule type="expression" dxfId="97" priority="20" stopIfTrue="1">
      <formula>AND($I14&lt;&gt;"",$I14="optional - I.O. (Plausibilität unklar)")</formula>
    </cfRule>
    <cfRule type="expression" dxfId="96" priority="21" stopIfTrue="1">
      <formula>AND($I14&lt;&gt;"",$I14="Ausnahme (Plausibilität unklar)")</formula>
    </cfRule>
    <cfRule type="expression" dxfId="95" priority="22" stopIfTrue="1">
      <formula>AND($I14&lt;&gt;"",$I14="optional - Unvollständig")</formula>
    </cfRule>
  </conditionalFormatting>
  <conditionalFormatting sqref="J12:K12">
    <cfRule type="expression" dxfId="94" priority="2">
      <formula>$B$10=""</formula>
    </cfRule>
  </conditionalFormatting>
  <conditionalFormatting sqref="K13">
    <cfRule type="expression" dxfId="93" priority="6" stopIfTrue="1">
      <formula>$B$10="Kein Datendefizit vorhanden"</formula>
    </cfRule>
  </conditionalFormatting>
  <pageMargins left="0.39370078740157483" right="7.874015748031496E-2" top="0.59055118110236227" bottom="0.39370078740157483" header="0.11811023622047245" footer="0.11811023622047245"/>
  <pageSetup paperSize="9" orientation="landscape" r:id="rId1"/>
  <headerFooter>
    <oddFooter xml:space="preserve">&amp;L&amp;"Arial,Standard"&amp;7&amp;F&amp;C&amp;"Arial,Standard"&amp;7 © DKG  Alle Rechte vorbehalten&amp;R&amp;"Arial,Standard"&amp;7&amp;P       </oddFooter>
  </headerFooter>
  <ignoredErrors>
    <ignoredError sqref="D13" formula="1"/>
  </ignoredError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5"/>
  <dimension ref="A1:Y40"/>
  <sheetViews>
    <sheetView workbookViewId="0">
      <selection activeCell="J22" sqref="J22"/>
    </sheetView>
  </sheetViews>
  <sheetFormatPr defaultColWidth="11.42578125" defaultRowHeight="11.25" x14ac:dyDescent="0.25"/>
  <cols>
    <col min="1" max="1" width="14" style="153" customWidth="1"/>
    <col min="2" max="2" width="3.85546875" style="85" customWidth="1"/>
    <col min="3" max="3" width="9.7109375" style="153" customWidth="1"/>
    <col min="4" max="4" width="41.7109375" style="148" customWidth="1"/>
    <col min="5" max="5" width="9.140625" style="85" customWidth="1"/>
    <col min="6" max="6" width="11.42578125" style="153" customWidth="1"/>
    <col min="7" max="10" width="9.140625" style="85" customWidth="1"/>
    <col min="11" max="11" width="12.42578125" style="153" customWidth="1"/>
    <col min="12" max="12" width="19.42578125" style="154" customWidth="1"/>
    <col min="13" max="13" width="24.42578125" style="154" customWidth="1"/>
    <col min="14" max="14" width="9.140625" style="85" customWidth="1"/>
    <col min="15" max="15" width="6.42578125" style="153" customWidth="1"/>
    <col min="16" max="16" width="34.28515625" style="85" customWidth="1"/>
    <col min="17" max="17" width="9.140625" style="85" customWidth="1"/>
    <col min="18" max="18" width="9.140625" style="153" customWidth="1"/>
    <col min="19" max="256" width="9.140625" style="85" customWidth="1"/>
    <col min="257" max="16384" width="11.42578125" style="85"/>
  </cols>
  <sheetData>
    <row r="1" spans="1:25" ht="22.5" x14ac:dyDescent="0.25">
      <c r="A1" s="227" t="s">
        <v>158</v>
      </c>
      <c r="B1" s="153"/>
      <c r="C1" s="155" t="s">
        <v>116</v>
      </c>
      <c r="D1" s="152" t="s">
        <v>261</v>
      </c>
      <c r="E1" s="94" t="s">
        <v>7</v>
      </c>
      <c r="F1" s="94" t="s">
        <v>117</v>
      </c>
      <c r="G1" s="94" t="s">
        <v>7</v>
      </c>
      <c r="H1" s="155" t="s">
        <v>0</v>
      </c>
      <c r="I1" s="155" t="s">
        <v>118</v>
      </c>
      <c r="J1" s="155" t="s">
        <v>149</v>
      </c>
      <c r="K1" s="155" t="s">
        <v>158</v>
      </c>
      <c r="L1" s="155" t="s">
        <v>1</v>
      </c>
      <c r="M1" s="155" t="s">
        <v>8</v>
      </c>
      <c r="O1" s="151" t="s">
        <v>27</v>
      </c>
    </row>
    <row r="2" spans="1:25" ht="22.5" customHeight="1" x14ac:dyDescent="0.25">
      <c r="A2" s="226" t="str">
        <f>IF('Indicator sheet'!P9=0,"",'Indicator sheet'!P9)</f>
        <v>Incomplete</v>
      </c>
      <c r="C2" s="226">
        <f>IF($A2="I.O.","",'Indicator sheet'!A9)</f>
        <v>1</v>
      </c>
      <c r="D2" s="149" t="str">
        <f>IF($A2="I.O.","",'Indicator sheet'!C9)</f>
        <v>Post-operative tumour board</v>
      </c>
      <c r="E2" s="147" t="str">
        <f>IF(AND('Indicator sheet'!J9="",$A2&lt;&gt;"I.O."),"-----",IF($A2="I.O.","",'Indicator sheet'!J9))</f>
        <v>-----</v>
      </c>
      <c r="F2" s="146" t="str">
        <f>IF($A2="I.O.","",'Indicator sheet'!K9)</f>
        <v>≥ 95%</v>
      </c>
      <c r="G2" s="147" t="str">
        <f>IF(AND('Indicator sheet'!M9="",$A2&lt;&gt;"I.O."),"-----",IF($A2="I.O.","",'Indicator sheet'!M9))</f>
        <v>-----</v>
      </c>
      <c r="H2" s="145" t="str">
        <f>IF($A2="I.O.","",IF('Indicator sheet'!O9="","-----",'Indicator sheet'!O9))</f>
        <v>-----</v>
      </c>
      <c r="I2" s="145">
        <f>IF($A2="I.O.","",IF('Indicator sheet'!O10="","-----",'Indicator sheet'!O10))</f>
        <v>0</v>
      </c>
      <c r="J2" s="144" t="str">
        <f>IF($A2="I.O.","",IF('Indicator sheet'!O11="",0,'Indicator sheet'!O11))</f>
        <v>n.d.</v>
      </c>
      <c r="K2" s="226" t="str">
        <f>IF($A2="I.O.","",'Indicator sheet'!P9)</f>
        <v>Incomplete</v>
      </c>
      <c r="L2" s="150" t="str">
        <f>IF(AND('Indicator sheet'!Q9="",$A2&lt;&gt;"I.O."),"-----",IF($A2="I.O.","",'Indicator sheet'!Q9))</f>
        <v>-----</v>
      </c>
      <c r="M2" s="150" t="str">
        <f>IF(AND('Indicator sheet'!R9="",$A2&lt;&gt;"I.O."),"-----",IF($A2="I.O.","",'Indicator sheet'!R9))</f>
        <v>-----</v>
      </c>
      <c r="O2" s="226" t="e">
        <f t="array" aca="1" ref="O2" ca="1">IF(ROW()-ROW($D$2:$D$25)+1&gt;ROWS($C$2:$C$25)-COUNTBLANK($C$2:$C$25),"",INDIRECT(ADDRESS(SMALL((IF($C$2:$C$25&lt;&gt;"",ROW($C$2:$C$25),ROW()+ROWS($C$2:$C$25))),ROW()-ROW($D$2:$D$25)+1),COLUMN($C$2:$C$25),4)))</f>
        <v>#REF!</v>
      </c>
      <c r="P2" s="150" t="e">
        <f t="array" aca="1" ref="P2" ca="1">IF(ROW()-ROW($E$2:$E$25)+1&gt;ROWS($D$2:$D$25)-COUNTBLANK($D$2:$D$25),"",INDIRECT(ADDRESS(SMALL((IF($D$2:$D$25&gt;"",ROW($D$2:$D$25),ROW()+ROWS($D$2:$D$25))),ROW()-ROW($E$2:$E$25)+1),COLUMN($D$2:$D$25),4)))</f>
        <v>#REF!</v>
      </c>
      <c r="Q2" s="147" t="e">
        <f t="array" aca="1" ref="Q2" ca="1">IF(ROW()-ROW($F$2:$F$25)+1&gt;ROWS($E$2:$E$25)-COUNTBLANK($E$2:$E$25),"",INDIRECT(ADDRESS(SMALL((IF($E$2:$E$25&gt;"",ROW($E$2:$E$25),ROW()+ROWS($E$2:$E$25))),ROW()-ROW($F$2:$F$25)+1),COLUMN($E$2:$E$25),4)))</f>
        <v>#REF!</v>
      </c>
      <c r="R2" s="146" t="e">
        <f t="array" aca="1" ref="R2" ca="1">IF(ROW()-ROW($G$2:$G$25)+1&gt;ROWS($F$2:$F$25)-COUNTBLANK($F$2:$F$25),"",INDIRECT(ADDRESS(SMALL((IF($F$2:$F$25&gt;"",ROW($F$2:$F$25),ROW()+ROWS($F$2:$F$25))),ROW()-ROW($G$2:$G$25)+1),COLUMN($F$2:$F$25),4)))</f>
        <v>#REF!</v>
      </c>
      <c r="S2" s="147" t="e">
        <f t="array" aca="1" ref="S2" ca="1">IF(ROW()-ROW($H$2:$H$25)+1&gt;ROWS($G$2:$G$25)-COUNTBLANK($G$2:$G$25),"",INDIRECT(ADDRESS(SMALL((IF($G$2:$G$25&lt;&gt;"",ROW($G$2:$G$25),ROW()+ROWS($G$2:$G$25))),ROW()-ROW($H$2:$H$25)+1),COLUMN($G$2:$G$25),4)))</f>
        <v>#REF!</v>
      </c>
      <c r="T2" s="145" t="e">
        <f t="array" aca="1" ref="T2" ca="1">IF(ROW()-ROW($I$2:$I$25)+1&gt;ROWS($H$2:$H$25)-COUNTBLANK($H$2:$H$25),"",INDIRECT(ADDRESS(SMALL((IF($H$2:$H$25&lt;&gt;"",ROW($H$2:$H$25),ROW()+ROWS($H$2:$H$25))),ROW()-ROW($I$2:$I$25)+1),COLUMN($H$2:$H$25),4)))</f>
        <v>#REF!</v>
      </c>
      <c r="U2" s="145" t="e">
        <f t="array" aca="1" ref="U2" ca="1">IF(ROW()-ROW($J$2:$J$25)+1&gt;ROWS($I$2:$I$25)-COUNTBLANK($I$2:$I$25),"",INDIRECT(ADDRESS(SMALL((IF($I$2:$I$25&lt;&gt;"",ROW($I$2:$I$25),ROW()+ROWS($I$2:$I$25))),ROW()-ROW($J$2:$J$25)+1),COLUMN($I$2:$I$25),4)))</f>
        <v>#REF!</v>
      </c>
      <c r="V2" s="147" t="e">
        <f t="array" aca="1" ref="V2" ca="1">IF(ROW()-ROW($K$2:$K$25)+1&gt;ROWS($J$2:$J$25)-COUNTBLANK($J$2:$J$25),"",INDIRECT(ADDRESS(SMALL((IF($J$2:$J$25&lt;&gt;"",ROW($J$2:$J$25),ROW()+ROWS($J$2:$J$25))),ROW()-ROW($K$2:$K$25)+1),COLUMN($J$2:$J$25),4)))</f>
        <v>#REF!</v>
      </c>
      <c r="W2" s="66" t="e">
        <f t="array" aca="1" ref="W2" ca="1">IF(ROW()-ROW($L$2:$L$25)+1&gt;ROWS($K$2:$K$25)-COUNTBLANK($K$2:$K$25),"",INDIRECT(ADDRESS(SMALL((IF($K$2:$K$25&lt;&gt;"",ROW($K$2:$K$25),ROW()+ROWS($K$2:$K$25))),ROW()-ROW($L$2:$L$25)+1),COLUMN($K$2:$K$25),4)))</f>
        <v>#REF!</v>
      </c>
      <c r="X2" s="150" t="e">
        <f t="array" aca="1" ref="X2" ca="1">IF(ROW()-ROW($M$2:$M$25)+1&gt;ROWS($L$2:$L$25)-COUNTBLANK($L$2:$L$25),"",INDIRECT(ADDRESS(SMALL((IF($L$2:$L$25&lt;&gt;"",ROW($L$2:$L$25),ROW()+ROWS($L$2:$L$25))),ROW()-ROW($M$2:$M$25)+1),COLUMN($L$2:$L$25),4)))</f>
        <v>#REF!</v>
      </c>
      <c r="Y2" s="150" t="e">
        <f t="array" aca="1" ref="Y2" ca="1">IF(ROW()-ROW($N$2:$N$25)+1&gt;ROWS($M$2:$M$25)-COUNTBLANK($M$2:$M$25),"",INDIRECT(ADDRESS(SMALL((IF($M$2:$M$25&lt;&gt;"",ROW($M$2:$M$25),ROW()+ROWS($M$2:$M$25))),ROW()-ROW($N$2:$N$25)+1),COLUMN($M$2:$M$25),4)))</f>
        <v>#REF!</v>
      </c>
    </row>
    <row r="3" spans="1:25" ht="22.5" customHeight="1" x14ac:dyDescent="0.25">
      <c r="A3" s="226" t="str">
        <f>IF('Indicator sheet'!P12=0,"",'Indicator sheet'!P12)</f>
        <v>Incomplete</v>
      </c>
      <c r="C3" s="226">
        <f>IF($A3="I.O.","",'Indicator sheet'!A12)</f>
        <v>2</v>
      </c>
      <c r="D3" s="149" t="str">
        <f>IF($A3="I.O.","",'Indicator sheet'!C12)</f>
        <v>Pretherapeutic tumour board</v>
      </c>
      <c r="E3" s="147" t="str">
        <f>IF(AND('Indicator sheet'!J12="",$A3&lt;&gt;"I.O."),"-----",IF($A3="I.O.","",'Indicator sheet'!J12))</f>
        <v>-----</v>
      </c>
      <c r="F3" s="146" t="str">
        <f>IF($A3="I.O.","",'Indicator sheet'!K12)</f>
        <v>≥ 50%</v>
      </c>
      <c r="G3" s="147" t="str">
        <f>IF(AND('Indicator sheet'!M12="",$A3&lt;&gt;"I.O."),"-----",IF($A3="I.O.","",'Indicator sheet'!M12))</f>
        <v>-----</v>
      </c>
      <c r="H3" s="145" t="str">
        <f>IF($A3="I.O.","",IF('Indicator sheet'!O12="","-----",'Indicator sheet'!O12))</f>
        <v>-----</v>
      </c>
      <c r="I3" s="145">
        <f>IF($A3="I.O.","",IF('Indicator sheet'!O13="","-----",'Indicator sheet'!O13))</f>
        <v>0</v>
      </c>
      <c r="J3" s="144" t="str">
        <f>IF($A3="I.O.","",IF('Indicator sheet'!O14="",0,'Indicator sheet'!O14))</f>
        <v>n.d.</v>
      </c>
      <c r="K3" s="226" t="str">
        <f>IF($A3="I.O.","",'Indicator sheet'!P12)</f>
        <v>Incomplete</v>
      </c>
      <c r="L3" s="150" t="str">
        <f>IF(AND('Indicator sheet'!Q12="",$A3&lt;&gt;"I.O."),"-----",IF($A3="I.O.","",'Indicator sheet'!Q12))</f>
        <v>-----</v>
      </c>
      <c r="M3" s="150" t="str">
        <f>IF(AND('Indicator sheet'!R12="",$A3&lt;&gt;"I.O."),"-----",IF($A3="I.O.","",'Indicator sheet'!R12))</f>
        <v>-----</v>
      </c>
      <c r="O3" s="226" t="e">
        <f t="array" aca="1" ref="O3" ca="1">IF(ROW()-ROW($D$2:$D$25)+1&gt;ROWS($C$2:$C$25)-COUNTBLANK($C$2:$C$25),"",INDIRECT(ADDRESS(SMALL((IF($C$2:$C$25&lt;&gt;"",ROW($C$2:$C$25),ROW()+ROWS($C$2:$C$25))),ROW()-ROW($D$2:$D$25)+1),COLUMN($C$2:$C$25),4)))</f>
        <v>#REF!</v>
      </c>
      <c r="P3" s="150" t="e">
        <f t="array" aca="1" ref="P3" ca="1">IF(ROW()-ROW($E$2:$E$25)+1&gt;ROWS($D$2:$D$25)-COUNTBLANK($D$2:$D$25),"",INDIRECT(ADDRESS(SMALL((IF($D$2:$D$25&gt;"",ROW($D$2:$D$25),ROW()+ROWS($D$2:$D$25))),ROW()-ROW($E$2:$E$25)+1),COLUMN($D$2:$D$25),4)))</f>
        <v>#REF!</v>
      </c>
      <c r="Q3" s="147" t="e">
        <f t="array" aca="1" ref="Q3" ca="1">IF(ROW()-ROW($F$2:$F$25)+1&gt;ROWS($E$2:$E$25)-COUNTBLANK($E$2:$E$25),"",INDIRECT(ADDRESS(SMALL((IF($E$2:$E$25&gt;"",ROW($E$2:$E$25),ROW()+ROWS($E$2:$E$25))),ROW()-ROW($F$2:$F$25)+1),COLUMN($E$2:$E$25),4)))</f>
        <v>#REF!</v>
      </c>
      <c r="R3" s="146" t="e">
        <f t="array" aca="1" ref="R3" ca="1">IF(ROW()-ROW($G$2:$G$25)+1&gt;ROWS($F$2:$F$25)-COUNTBLANK($F$2:$F$25),"",INDIRECT(ADDRESS(SMALL((IF($F$2:$F$25&gt;"",ROW($F$2:$F$25),ROW()+ROWS($F$2:$F$25))),ROW()-ROW($G$2:$G$25)+1),COLUMN($F$2:$F$25),4)))</f>
        <v>#REF!</v>
      </c>
      <c r="S3" s="147" t="e">
        <f t="array" aca="1" ref="S3" ca="1">IF(ROW()-ROW($H$2:$H$25)+1&gt;ROWS($G$2:$G$25)-COUNTBLANK($G$2:$G$25),"",INDIRECT(ADDRESS(SMALL((IF($G$2:$G$25&lt;&gt;"",ROW($G$2:$G$25),ROW()+ROWS($G$2:$G$25))),ROW()-ROW($H$2:$H$25)+1),COLUMN($G$2:$G$25),4)))</f>
        <v>#REF!</v>
      </c>
      <c r="T3" s="145" t="e">
        <f t="array" aca="1" ref="T3" ca="1">IF(ROW()-ROW($I$2:$I$25)+1&gt;ROWS($H$2:$H$25)-COUNTBLANK($H$2:$H$25),"",INDIRECT(ADDRESS(SMALL((IF($H$2:$H$25&lt;&gt;"",ROW($H$2:$H$25),ROW()+ROWS($H$2:$H$25))),ROW()-ROW($I$2:$I$25)+1),COLUMN($H$2:$H$25),4)))</f>
        <v>#REF!</v>
      </c>
      <c r="U3" s="145" t="e">
        <f t="array" aca="1" ref="U3" ca="1">IF(ROW()-ROW($J$2:$J$25)+1&gt;ROWS($I$2:$I$25)-COUNTBLANK($I$2:$I$25),"",INDIRECT(ADDRESS(SMALL((IF($I$2:$I$25&lt;&gt;"",ROW($I$2:$I$25),ROW()+ROWS($I$2:$I$25))),ROW()-ROW($J$2:$J$25)+1),COLUMN($I$2:$I$25),4)))</f>
        <v>#REF!</v>
      </c>
      <c r="V3" s="147" t="e">
        <f t="array" aca="1" ref="V3" ca="1">IF(ROW()-ROW($K$2:$K$25)+1&gt;ROWS($J$2:$J$25)-COUNTBLANK($J$2:$J$25),"",INDIRECT(ADDRESS(SMALL((IF($J$2:$J$25&lt;&gt;"",ROW($J$2:$J$25),ROW()+ROWS($J$2:$J$25))),ROW()-ROW($K$2:$K$25)+1),COLUMN($J$2:$J$25),4)))</f>
        <v>#REF!</v>
      </c>
      <c r="W3" s="66" t="e">
        <f t="array" aca="1" ref="W3" ca="1">IF(ROW()-ROW($L$2:$L$25)+1&gt;ROWS($K$2:$K$25)-COUNTBLANK($K$2:$K$25),"",INDIRECT(ADDRESS(SMALL((IF($K$2:$K$25&lt;&gt;"",ROW($K$2:$K$25),ROW()+ROWS($K$2:$K$25))),ROW()-ROW($L$2:$L$25)+1),COLUMN($K$2:$K$25),4)))</f>
        <v>#REF!</v>
      </c>
      <c r="X3" s="150" t="e">
        <f t="array" aca="1" ref="X3" ca="1">IF(ROW()-ROW($M$2:$M$25)+1&gt;ROWS($L$2:$L$25)-COUNTBLANK($L$2:$L$25),"",INDIRECT(ADDRESS(SMALL((IF($L$2:$L$25&lt;&gt;"",ROW($L$2:$L$25),ROW()+ROWS($L$2:$L$25))),ROW()-ROW($M$2:$M$25)+1),COLUMN($L$2:$L$25),4)))</f>
        <v>#REF!</v>
      </c>
      <c r="Y3" s="150" t="e">
        <f t="array" aca="1" ref="Y3" ca="1">IF(ROW()-ROW($N$2:$N$25)+1&gt;ROWS($M$2:$M$25)-COUNTBLANK($M$2:$M$25),"",INDIRECT(ADDRESS(SMALL((IF($M$2:$M$25&lt;&gt;"",ROW($M$2:$M$25),ROW()+ROWS($M$2:$M$25))),ROW()-ROW($N$2:$N$25)+1),COLUMN($M$2:$M$25),4)))</f>
        <v>#REF!</v>
      </c>
    </row>
    <row r="4" spans="1:25" ht="22.5" customHeight="1" x14ac:dyDescent="0.25">
      <c r="A4" s="226" t="str">
        <f>IF('Indicator sheet'!P15=0,"",'Indicator sheet'!P15)</f>
        <v>Incomplete</v>
      </c>
      <c r="C4" s="301">
        <f>IF($A4="I.O.","",'Indicator sheet'!A15)</f>
        <v>3</v>
      </c>
      <c r="D4" s="320" t="str">
        <f>IF($A4="I.O.","",'Indicator sheet'!C15)</f>
        <v>Tumour board local recurrence/metastases</v>
      </c>
      <c r="E4" s="321" t="str">
        <f>IF(AND('Indicator sheet'!J15="",$A4&lt;&gt;"I.O."),"-----",IF($A4="I.O.","",'Indicator sheet'!J15))</f>
        <v>&lt; 70%</v>
      </c>
      <c r="F4" s="322" t="str">
        <f>IF($A4="I.O.","",'Indicator sheet'!K15)</f>
        <v>No target value</v>
      </c>
      <c r="G4" s="321" t="str">
        <f>IF(AND('Indicator sheet'!M15="",$A4&lt;&gt;"I.O."),"-----",IF($A4="I.O.","",'Indicator sheet'!M15))</f>
        <v>-----</v>
      </c>
      <c r="H4" s="323" t="str">
        <f>IF($A4="I.O.","",IF('Indicator sheet'!O15="","-----",'Indicator sheet'!O15))</f>
        <v>-----</v>
      </c>
      <c r="I4" s="323">
        <f>IF($A4="I.O.","",IF('Indicator sheet'!O16="","-----",'Indicator sheet'!O16))</f>
        <v>0</v>
      </c>
      <c r="J4" s="324" t="str">
        <f>IF($A4="I.O.","",IF('Indicator sheet'!O17="","-----",'Indicator sheet'!O17))</f>
        <v>n.d.</v>
      </c>
      <c r="K4" s="301" t="str">
        <f>IF($A4="I.O.","",'Indicator sheet'!P15)</f>
        <v>Incomplete</v>
      </c>
      <c r="L4" s="325" t="str">
        <f>IF(AND('Indicator sheet'!Q15="",$A4&lt;&gt;"I.O."),"-----",IF($A4="I.O.","",'Indicator sheet'!Q15))</f>
        <v>-----</v>
      </c>
      <c r="M4" s="325" t="str">
        <f>IF(AND('Indicator sheet'!R15="",$A4&lt;&gt;"I.O."),"-----",IF($A4="I.O.","",'Indicator sheet'!R15))</f>
        <v>-----</v>
      </c>
      <c r="O4" s="226" t="e">
        <f t="array" aca="1" ref="O4" ca="1">IF(ROW()-ROW($D$2:$D$25)+1&gt;ROWS($C$2:$C$25)-COUNTBLANK($C$2:$C$25),"",INDIRECT(ADDRESS(SMALL((IF($C$2:$C$25&lt;&gt;"",ROW($C$2:$C$25),ROW()+ROWS($C$2:$C$25))),ROW()-ROW($D$2:$D$25)+1),COLUMN($C$2:$C$25),4)))</f>
        <v>#REF!</v>
      </c>
      <c r="P4" s="150" t="e">
        <f t="array" aca="1" ref="P4" ca="1">IF(ROW()-ROW($E$2:$E$25)+1&gt;ROWS($D$2:$D$25)-COUNTBLANK($D$2:$D$25),"",INDIRECT(ADDRESS(SMALL((IF($D$2:$D$25&gt;"",ROW($D$2:$D$25),ROW()+ROWS($D$2:$D$25))),ROW()-ROW($E$2:$E$25)+1),COLUMN($D$2:$D$25),4)))</f>
        <v>#REF!</v>
      </c>
      <c r="Q4" s="147" t="e">
        <f t="array" aca="1" ref="Q4" ca="1">IF(ROW()-ROW($F$2:$F$25)+1&gt;ROWS($E$2:$E$25)-COUNTBLANK($E$2:$E$25),"",INDIRECT(ADDRESS(SMALL((IF($E$2:$E$25&gt;"",ROW($E$2:$E$25),ROW()+ROWS($E$2:$E$25))),ROW()-ROW($F$2:$F$25)+1),COLUMN($E$2:$E$25),4)))</f>
        <v>#REF!</v>
      </c>
      <c r="R4" s="146" t="e">
        <f t="array" aca="1" ref="R4" ca="1">IF(ROW()-ROW($G$2:$G$25)+1&gt;ROWS($F$2:$F$25)-COUNTBLANK($F$2:$F$25),"",INDIRECT(ADDRESS(SMALL((IF($F$2:$F$25&gt;"",ROW($F$2:$F$25),ROW()+ROWS($F$2:$F$25))),ROW()-ROW($G$2:$G$25)+1),COLUMN($F$2:$F$25),4)))</f>
        <v>#REF!</v>
      </c>
      <c r="S4" s="147" t="e">
        <f t="array" aca="1" ref="S4" ca="1">IF(ROW()-ROW($H$2:$H$25)+1&gt;ROWS($G$2:$G$25)-COUNTBLANK($G$2:$G$25),"",INDIRECT(ADDRESS(SMALL((IF($G$2:$G$25&lt;&gt;"",ROW($G$2:$G$25),ROW()+ROWS($G$2:$G$25))),ROW()-ROW($H$2:$H$25)+1),COLUMN($G$2:$G$25),4)))</f>
        <v>#REF!</v>
      </c>
      <c r="T4" s="145" t="e">
        <f t="array" aca="1" ref="T4" ca="1">IF(ROW()-ROW($I$2:$I$25)+1&gt;ROWS($H$2:$H$25)-COUNTBLANK($H$2:$H$25),"",INDIRECT(ADDRESS(SMALL((IF($H$2:$H$25&lt;&gt;"",ROW($H$2:$H$25),ROW()+ROWS($H$2:$H$25))),ROW()-ROW($I$2:$I$25)+1),COLUMN($H$2:$H$25),4)))</f>
        <v>#REF!</v>
      </c>
      <c r="U4" s="145" t="e">
        <f t="array" aca="1" ref="U4" ca="1">IF(ROW()-ROW($J$2:$J$25)+1&gt;ROWS($I$2:$I$25)-COUNTBLANK($I$2:$I$25),"",INDIRECT(ADDRESS(SMALL((IF($I$2:$I$25&lt;&gt;"",ROW($I$2:$I$25),ROW()+ROWS($I$2:$I$25))),ROW()-ROW($J$2:$J$25)+1),COLUMN($I$2:$I$25),4)))</f>
        <v>#REF!</v>
      </c>
      <c r="V4" s="147" t="e">
        <f t="array" aca="1" ref="V4" ca="1">IF(ROW()-ROW($K$2:$K$25)+1&gt;ROWS($J$2:$J$25)-COUNTBLANK($J$2:$J$25),"",INDIRECT(ADDRESS(SMALL((IF($J$2:$J$25&lt;&gt;"",ROW($J$2:$J$25),ROW()+ROWS($J$2:$J$25))),ROW()-ROW($K$2:$K$25)+1),COLUMN($J$2:$J$25),4)))</f>
        <v>#REF!</v>
      </c>
      <c r="W4" s="66" t="e">
        <f t="array" aca="1" ref="W4" ca="1">IF(ROW()-ROW($L$2:$L$25)+1&gt;ROWS($K$2:$K$25)-COUNTBLANK($K$2:$K$25),"",INDIRECT(ADDRESS(SMALL((IF($K$2:$K$25&lt;&gt;"",ROW($K$2:$K$25),ROW()+ROWS($K$2:$K$25))),ROW()-ROW($L$2:$L$25)+1),COLUMN($K$2:$K$25),4)))</f>
        <v>#REF!</v>
      </c>
      <c r="X4" s="150" t="e">
        <f t="array" aca="1" ref="X4" ca="1">IF(ROW()-ROW($M$2:$M$25)+1&gt;ROWS($L$2:$L$25)-COUNTBLANK($L$2:$L$25),"",INDIRECT(ADDRESS(SMALL((IF($L$2:$L$25&lt;&gt;"",ROW($L$2:$L$25),ROW()+ROWS($L$2:$L$25))),ROW()-ROW($M$2:$M$25)+1),COLUMN($L$2:$L$25),4)))</f>
        <v>#REF!</v>
      </c>
      <c r="Y4" s="150" t="e">
        <f t="array" aca="1" ref="Y4" ca="1">IF(ROW()-ROW($N$2:$N$25)+1&gt;ROWS($M$2:$M$25)-COUNTBLANK($M$2:$M$25),"",INDIRECT(ADDRESS(SMALL((IF($M$2:$M$25&lt;&gt;"",ROW($M$2:$M$25),ROW()+ROWS($M$2:$M$25))),ROW()-ROW($N$2:$N$25)+1),COLUMN($M$2:$M$25),4)))</f>
        <v>#REF!</v>
      </c>
    </row>
    <row r="5" spans="1:25" ht="22.5" customHeight="1" x14ac:dyDescent="0.25">
      <c r="A5" s="226" t="str">
        <f>IF('Indicator sheet'!P18=0,"",'Indicator sheet'!P18)</f>
        <v>Incomplete</v>
      </c>
      <c r="C5" s="226" t="str">
        <f>IF($A5="I.O.","",'Indicator sheet'!A18)</f>
        <v>4</v>
      </c>
      <c r="D5" s="149" t="str">
        <f>IF($A5="I.O.","",'Indicator sheet'!C18)</f>
        <v xml:space="preserve">Radiotherapy after BCS in the case of invasive breast cancer
</v>
      </c>
      <c r="E5" s="147" t="str">
        <f>IF(AND('Indicator sheet'!J18="",$A5&lt;&gt;"I.O."),"-----",IF($A5="I.O.","",'Indicator sheet'!J18))</f>
        <v>-----</v>
      </c>
      <c r="F5" s="146" t="str">
        <f>IF($A5="I.O.","",'Indicator sheet'!K18)</f>
        <v>≥ 90%</v>
      </c>
      <c r="G5" s="147" t="str">
        <f>IF(AND('Indicator sheet'!M18="",$A5&lt;&gt;"I.O."),"-----",IF($A5="I.O.","",'Indicator sheet'!M18))</f>
        <v>-----</v>
      </c>
      <c r="H5" s="145" t="str">
        <f>IF($A5="I.O.","",IF('Indicator sheet'!O18="","-----",'Indicator sheet'!O18))</f>
        <v>-----</v>
      </c>
      <c r="I5" s="145">
        <f>IF($A5="I.O.","",IF('Indicator sheet'!O19="","-----",'Indicator sheet'!O19))</f>
        <v>0</v>
      </c>
      <c r="J5" s="144" t="str">
        <f>IF($A5="I.O.","",IF('Indicator sheet'!O20="",0,'Indicator sheet'!O20))</f>
        <v>n.d.</v>
      </c>
      <c r="K5" s="226" t="str">
        <f>IF($A5="I.O.","",'Indicator sheet'!P18)</f>
        <v>Incomplete</v>
      </c>
      <c r="L5" s="150" t="str">
        <f>IF(AND('Indicator sheet'!Q18="",$A5&lt;&gt;"I.O."),"-----",IF($A5="I.O.","",'Indicator sheet'!Q18))</f>
        <v>-----</v>
      </c>
      <c r="M5" s="150" t="str">
        <f>IF(AND('Indicator sheet'!R18="",$A5&lt;&gt;"I.O."),"-----",IF($A5="I.O.","",'Indicator sheet'!R18))</f>
        <v>-----</v>
      </c>
      <c r="O5" s="226" t="e">
        <f t="array" aca="1" ref="O5" ca="1">IF(ROW()-ROW($D$2:$D$25)+1&gt;ROWS($C$2:$C$25)-COUNTBLANK($C$2:$C$25),"",INDIRECT(ADDRESS(SMALL((IF($C$2:$C$25&lt;&gt;"",ROW($C$2:$C$25),ROW()+ROWS($C$2:$C$25))),ROW()-ROW($D$2:$D$25)+1),COLUMN($C$2:$C$25),4)))</f>
        <v>#REF!</v>
      </c>
      <c r="P5" s="150" t="e">
        <f t="array" aca="1" ref="P5" ca="1">IF(ROW()-ROW($E$2:$E$25)+1&gt;ROWS($D$2:$D$25)-COUNTBLANK($D$2:$D$25),"",INDIRECT(ADDRESS(SMALL((IF($D$2:$D$25&gt;"",ROW($D$2:$D$25),ROW()+ROWS($D$2:$D$25))),ROW()-ROW($E$2:$E$25)+1),COLUMN($D$2:$D$25),4)))</f>
        <v>#REF!</v>
      </c>
      <c r="Q5" s="147" t="e">
        <f t="array" aca="1" ref="Q5" ca="1">IF(ROW()-ROW($F$2:$F$25)+1&gt;ROWS($E$2:$E$25)-COUNTBLANK($E$2:$E$25),"",INDIRECT(ADDRESS(SMALL((IF($E$2:$E$25&gt;"",ROW($E$2:$E$25),ROW()+ROWS($E$2:$E$25))),ROW()-ROW($F$2:$F$25)+1),COLUMN($E$2:$E$25),4)))</f>
        <v>#REF!</v>
      </c>
      <c r="R5" s="146" t="e">
        <f t="array" aca="1" ref="R5" ca="1">IF(ROW()-ROW($G$2:$G$25)+1&gt;ROWS($F$2:$F$25)-COUNTBLANK($F$2:$F$25),"",INDIRECT(ADDRESS(SMALL((IF($F$2:$F$25&gt;"",ROW($F$2:$F$25),ROW()+ROWS($F$2:$F$25))),ROW()-ROW($G$2:$G$25)+1),COLUMN($F$2:$F$25),4)))</f>
        <v>#REF!</v>
      </c>
      <c r="S5" s="147" t="e">
        <f t="array" aca="1" ref="S5" ca="1">IF(ROW()-ROW($H$2:$H$25)+1&gt;ROWS($G$2:$G$25)-COUNTBLANK($G$2:$G$25),"",INDIRECT(ADDRESS(SMALL((IF($G$2:$G$25&lt;&gt;"",ROW($G$2:$G$25),ROW()+ROWS($G$2:$G$25))),ROW()-ROW($H$2:$H$25)+1),COLUMN($G$2:$G$25),4)))</f>
        <v>#REF!</v>
      </c>
      <c r="T5" s="145" t="e">
        <f t="array" aca="1" ref="T5" ca="1">IF(ROW()-ROW($I$2:$I$25)+1&gt;ROWS($H$2:$H$25)-COUNTBLANK($H$2:$H$25),"",INDIRECT(ADDRESS(SMALL((IF($H$2:$H$25&lt;&gt;"",ROW($H$2:$H$25),ROW()+ROWS($H$2:$H$25))),ROW()-ROW($I$2:$I$25)+1),COLUMN($H$2:$H$25),4)))</f>
        <v>#REF!</v>
      </c>
      <c r="U5" s="145" t="e">
        <f t="array" aca="1" ref="U5" ca="1">IF(ROW()-ROW($J$2:$J$25)+1&gt;ROWS($I$2:$I$25)-COUNTBLANK($I$2:$I$25),"",INDIRECT(ADDRESS(SMALL((IF($I$2:$I$25&lt;&gt;"",ROW($I$2:$I$25),ROW()+ROWS($I$2:$I$25))),ROW()-ROW($J$2:$J$25)+1),COLUMN($I$2:$I$25),4)))</f>
        <v>#REF!</v>
      </c>
      <c r="V5" s="147" t="e">
        <f t="array" aca="1" ref="V5" ca="1">IF(ROW()-ROW($K$2:$K$25)+1&gt;ROWS($J$2:$J$25)-COUNTBLANK($J$2:$J$25),"",INDIRECT(ADDRESS(SMALL((IF($J$2:$J$25&lt;&gt;"",ROW($J$2:$J$25),ROW()+ROWS($J$2:$J$25))),ROW()-ROW($K$2:$K$25)+1),COLUMN($J$2:$J$25),4)))</f>
        <v>#REF!</v>
      </c>
      <c r="W5" s="66" t="e">
        <f t="array" aca="1" ref="W5" ca="1">IF(ROW()-ROW($L$2:$L$25)+1&gt;ROWS($K$2:$K$25)-COUNTBLANK($K$2:$K$25),"",INDIRECT(ADDRESS(SMALL((IF($K$2:$K$25&lt;&gt;"",ROW($K$2:$K$25),ROW()+ROWS($K$2:$K$25))),ROW()-ROW($L$2:$L$25)+1),COLUMN($K$2:$K$25),4)))</f>
        <v>#REF!</v>
      </c>
      <c r="X5" s="150" t="e">
        <f t="array" aca="1" ref="X5" ca="1">IF(ROW()-ROW($M$2:$M$25)+1&gt;ROWS($L$2:$L$25)-COUNTBLANK($L$2:$L$25),"",INDIRECT(ADDRESS(SMALL((IF($L$2:$L$25&lt;&gt;"",ROW($L$2:$L$25),ROW()+ROWS($L$2:$L$25))),ROW()-ROW($M$2:$M$25)+1),COLUMN($L$2:$L$25),4)))</f>
        <v>#REF!</v>
      </c>
      <c r="Y5" s="150" t="e">
        <f t="array" aca="1" ref="Y5" ca="1">IF(ROW()-ROW($N$2:$N$25)+1&gt;ROWS($M$2:$M$25)-COUNTBLANK($M$2:$M$25),"",INDIRECT(ADDRESS(SMALL((IF($M$2:$M$25&lt;&gt;"",ROW($M$2:$M$25),ROW()+ROWS($M$2:$M$25))),ROW()-ROW($N$2:$N$25)+1),COLUMN($M$2:$M$25),4)))</f>
        <v>#REF!</v>
      </c>
    </row>
    <row r="6" spans="1:25" ht="22.5" customHeight="1" x14ac:dyDescent="0.25">
      <c r="A6" s="226" t="str">
        <f>IF('Indicator sheet'!P21=0,"",'Indicator sheet'!P21)</f>
        <v>Incomplete</v>
      </c>
      <c r="C6" s="301" t="str">
        <f>IF($A6="I.O.","",'Indicator sheet'!A21)</f>
        <v>5</v>
      </c>
      <c r="D6" s="320" t="str">
        <f>IF($A6="I.O.","",'Indicator sheet'!C21)</f>
        <v xml:space="preserve">Radiotherapy after BCS in the case of DCIS
</v>
      </c>
      <c r="E6" s="321" t="str">
        <f>IF(AND('Indicator sheet'!J21="",$A6&lt;&gt;"I.O."),"-----",IF($A6="I.O.","",'Indicator sheet'!J21))</f>
        <v>&lt; 60%</v>
      </c>
      <c r="F6" s="322" t="str">
        <f>IF($A6="I.O.","",'Indicator sheet'!K21)</f>
        <v>No target value</v>
      </c>
      <c r="G6" s="321" t="str">
        <f>IF(AND('Indicator sheet'!M21="",$A6&lt;&gt;"I.O."),"-----",IF($A6="I.O.","",'Indicator sheet'!M21))</f>
        <v>-----</v>
      </c>
      <c r="H6" s="323" t="str">
        <f>IF($A6="I.O.","",IF('Indicator sheet'!O21="","-----",'Indicator sheet'!O21))</f>
        <v>-----</v>
      </c>
      <c r="I6" s="323" t="str">
        <f>IF($A6="I.O.","",IF('Indicator sheet'!O22="","-----",'Indicator sheet'!O22))</f>
        <v>-----</v>
      </c>
      <c r="J6" s="324" t="str">
        <f>IF($A6="I.O.","",IF('Indicator sheet'!O23="","-----",'Indicator sheet'!O23))</f>
        <v>n.d.</v>
      </c>
      <c r="K6" s="301" t="str">
        <f>IF($A6="I.O.","",'Indicator sheet'!P21)</f>
        <v>Incomplete</v>
      </c>
      <c r="L6" s="325" t="str">
        <f>IF(AND('Indicator sheet'!Q21="",$A6&lt;&gt;"I.O."),"-----",IF($A6="I.O.","",'Indicator sheet'!Q21))</f>
        <v>-----</v>
      </c>
      <c r="M6" s="325" t="str">
        <f>IF(AND('Indicator sheet'!R21="",$A6&lt;&gt;"I.O."),"-----",IF($A6="I.O.","",'Indicator sheet'!R21))</f>
        <v>-----</v>
      </c>
      <c r="O6" s="226" t="e">
        <f t="array" aca="1" ref="O6" ca="1">IF(ROW()-ROW($D$2:$D$25)+1&gt;ROWS($C$2:$C$25)-COUNTBLANK($C$2:$C$25),"",INDIRECT(ADDRESS(SMALL((IF($C$2:$C$25&lt;&gt;"",ROW($C$2:$C$25),ROW()+ROWS($C$2:$C$25))),ROW()-ROW($D$2:$D$25)+1),COLUMN($C$2:$C$25),4)))</f>
        <v>#REF!</v>
      </c>
      <c r="P6" s="150" t="e">
        <f t="array" aca="1" ref="P6" ca="1">IF(ROW()-ROW($E$2:$E$25)+1&gt;ROWS($D$2:$D$25)-COUNTBLANK($D$2:$D$25),"",INDIRECT(ADDRESS(SMALL((IF($D$2:$D$25&gt;"",ROW($D$2:$D$25),ROW()+ROWS($D$2:$D$25))),ROW()-ROW($E$2:$E$25)+1),COLUMN($D$2:$D$25),4)))</f>
        <v>#REF!</v>
      </c>
      <c r="Q6" s="147" t="e">
        <f t="array" aca="1" ref="Q6" ca="1">IF(ROW()-ROW($F$2:$F$25)+1&gt;ROWS($E$2:$E$25)-COUNTBLANK($E$2:$E$25),"",INDIRECT(ADDRESS(SMALL((IF($E$2:$E$25&gt;"",ROW($E$2:$E$25),ROW()+ROWS($E$2:$E$25))),ROW()-ROW($F$2:$F$25)+1),COLUMN($E$2:$E$25),4)))</f>
        <v>#REF!</v>
      </c>
      <c r="R6" s="146" t="e">
        <f t="array" aca="1" ref="R6" ca="1">IF(ROW()-ROW($G$2:$G$25)+1&gt;ROWS($F$2:$F$25)-COUNTBLANK($F$2:$F$25),"",INDIRECT(ADDRESS(SMALL((IF($F$2:$F$25&gt;"",ROW($F$2:$F$25),ROW()+ROWS($F$2:$F$25))),ROW()-ROW($G$2:$G$25)+1),COLUMN($F$2:$F$25),4)))</f>
        <v>#REF!</v>
      </c>
      <c r="S6" s="147" t="e">
        <f t="array" aca="1" ref="S6" ca="1">IF(ROW()-ROW($H$2:$H$25)+1&gt;ROWS($G$2:$G$25)-COUNTBLANK($G$2:$G$25),"",INDIRECT(ADDRESS(SMALL((IF($G$2:$G$25&lt;&gt;"",ROW($G$2:$G$25),ROW()+ROWS($G$2:$G$25))),ROW()-ROW($H$2:$H$25)+1),COLUMN($G$2:$G$25),4)))</f>
        <v>#REF!</v>
      </c>
      <c r="T6" s="145" t="e">
        <f t="array" aca="1" ref="T6" ca="1">IF(ROW()-ROW($I$2:$I$25)+1&gt;ROWS($H$2:$H$25)-COUNTBLANK($H$2:$H$25),"",INDIRECT(ADDRESS(SMALL((IF($H$2:$H$25&lt;&gt;"",ROW($H$2:$H$25),ROW()+ROWS($H$2:$H$25))),ROW()-ROW($I$2:$I$25)+1),COLUMN($H$2:$H$25),4)))</f>
        <v>#REF!</v>
      </c>
      <c r="U6" s="145" t="e">
        <f t="array" aca="1" ref="U6" ca="1">IF(ROW()-ROW($J$2:$J$25)+1&gt;ROWS($I$2:$I$25)-COUNTBLANK($I$2:$I$25),"",INDIRECT(ADDRESS(SMALL((IF($I$2:$I$25&lt;&gt;"",ROW($I$2:$I$25),ROW()+ROWS($I$2:$I$25))),ROW()-ROW($J$2:$J$25)+1),COLUMN($I$2:$I$25),4)))</f>
        <v>#REF!</v>
      </c>
      <c r="V6" s="147" t="e">
        <f t="array" aca="1" ref="V6" ca="1">IF(ROW()-ROW($K$2:$K$25)+1&gt;ROWS($J$2:$J$25)-COUNTBLANK($J$2:$J$25),"",INDIRECT(ADDRESS(SMALL((IF($J$2:$J$25&lt;&gt;"",ROW($J$2:$J$25),ROW()+ROWS($J$2:$J$25))),ROW()-ROW($K$2:$K$25)+1),COLUMN($J$2:$J$25),4)))</f>
        <v>#REF!</v>
      </c>
      <c r="W6" s="66" t="e">
        <f t="array" aca="1" ref="W6" ca="1">IF(ROW()-ROW($L$2:$L$25)+1&gt;ROWS($K$2:$K$25)-COUNTBLANK($K$2:$K$25),"",INDIRECT(ADDRESS(SMALL((IF($K$2:$K$25&lt;&gt;"",ROW($K$2:$K$25),ROW()+ROWS($K$2:$K$25))),ROW()-ROW($L$2:$L$25)+1),COLUMN($K$2:$K$25),4)))</f>
        <v>#REF!</v>
      </c>
      <c r="X6" s="150" t="e">
        <f t="array" aca="1" ref="X6" ca="1">IF(ROW()-ROW($M$2:$M$25)+1&gt;ROWS($L$2:$L$25)-COUNTBLANK($L$2:$L$25),"",INDIRECT(ADDRESS(SMALL((IF($L$2:$L$25&lt;&gt;"",ROW($L$2:$L$25),ROW()+ROWS($L$2:$L$25))),ROW()-ROW($M$2:$M$25)+1),COLUMN($L$2:$L$25),4)))</f>
        <v>#REF!</v>
      </c>
      <c r="Y6" s="150" t="e">
        <f t="array" aca="1" ref="Y6" ca="1">IF(ROW()-ROW($N$2:$N$25)+1&gt;ROWS($M$2:$M$25)-COUNTBLANK($M$2:$M$25),"",INDIRECT(ADDRESS(SMALL((IF($M$2:$M$25&lt;&gt;"",ROW($M$2:$M$25),ROW()+ROWS($M$2:$M$25))),ROW()-ROW($N$2:$N$25)+1),COLUMN($M$2:$M$25),4)))</f>
        <v>#REF!</v>
      </c>
    </row>
    <row r="7" spans="1:25" ht="22.5" customHeight="1" x14ac:dyDescent="0.25">
      <c r="A7" s="226" t="e">
        <f>IF('Indicator sheet'!#REF!=0,"",'Indicator sheet'!#REF!)</f>
        <v>#REF!</v>
      </c>
      <c r="C7" s="226" t="e">
        <f>IF($A7="I.O.","",'Indicator sheet'!#REF!)</f>
        <v>#REF!</v>
      </c>
      <c r="D7" s="149" t="e">
        <f>IF($A7="I.O.","",'Indicator sheet'!#REF!)</f>
        <v>#REF!</v>
      </c>
      <c r="E7" s="147" t="e">
        <f>IF(AND('Indicator sheet'!#REF!="",$A7&lt;&gt;"I.O."),"-----",IF($A7="I.O.","",'Indicator sheet'!#REF!))</f>
        <v>#REF!</v>
      </c>
      <c r="F7" s="146" t="e">
        <f>IF($A7="I.O.","",'Indicator sheet'!#REF!)</f>
        <v>#REF!</v>
      </c>
      <c r="G7" s="147" t="e">
        <f>IF(AND('Indicator sheet'!#REF!="",$A7&lt;&gt;"I.O."),"-----",IF($A7="I.O.","",'Indicator sheet'!#REF!))</f>
        <v>#REF!</v>
      </c>
      <c r="H7" s="145" t="e">
        <f>IF($A7="I.O.","",IF('Indicator sheet'!#REF!="","-----",'Indicator sheet'!#REF!))</f>
        <v>#REF!</v>
      </c>
      <c r="I7" s="145" t="e">
        <f>IF($A7="I.O.","",IF('Indicator sheet'!#REF!="","-----",'Indicator sheet'!#REF!))</f>
        <v>#REF!</v>
      </c>
      <c r="J7" s="144" t="e">
        <f>IF($A7="I.O.","",IF('Indicator sheet'!#REF!="",0,'Indicator sheet'!#REF!))</f>
        <v>#REF!</v>
      </c>
      <c r="K7" s="226" t="e">
        <f>IF($A7="I.O.","",'Indicator sheet'!#REF!)</f>
        <v>#REF!</v>
      </c>
      <c r="L7" s="150" t="e">
        <f>IF(AND('Indicator sheet'!#REF!="",$A7&lt;&gt;"I.O."),"-----",IF($A7="I.O.","",'Indicator sheet'!#REF!))</f>
        <v>#REF!</v>
      </c>
      <c r="M7" s="150" t="e">
        <f>IF(AND('Indicator sheet'!#REF!="",$A7&lt;&gt;"I.O."),"-----",IF($A7="I.O.","",'Indicator sheet'!#REF!))</f>
        <v>#REF!</v>
      </c>
      <c r="O7" s="226" t="e">
        <f t="array" aca="1" ref="O7" ca="1">IF(ROW()-ROW($D$2:$D$25)+1&gt;ROWS($C$2:$C$25)-COUNTBLANK($C$2:$C$25),"",INDIRECT(ADDRESS(SMALL((IF($C$2:$C$25&lt;&gt;"",ROW($C$2:$C$25),ROW()+ROWS($C$2:$C$25))),ROW()-ROW($D$2:$D$25)+1),COLUMN($C$2:$C$25),4)))</f>
        <v>#REF!</v>
      </c>
      <c r="P7" s="150" t="e">
        <f t="array" aca="1" ref="P7" ca="1">IF(ROW()-ROW($E$2:$E$25)+1&gt;ROWS($D$2:$D$25)-COUNTBLANK($D$2:$D$25),"",INDIRECT(ADDRESS(SMALL((IF($D$2:$D$25&gt;"",ROW($D$2:$D$25),ROW()+ROWS($D$2:$D$25))),ROW()-ROW($E$2:$E$25)+1),COLUMN($D$2:$D$25),4)))</f>
        <v>#REF!</v>
      </c>
      <c r="Q7" s="147" t="e">
        <f t="array" aca="1" ref="Q7" ca="1">IF(ROW()-ROW($F$2:$F$25)+1&gt;ROWS($E$2:$E$25)-COUNTBLANK($E$2:$E$25),"",INDIRECT(ADDRESS(SMALL((IF($E$2:$E$25&gt;"",ROW($E$2:$E$25),ROW()+ROWS($E$2:$E$25))),ROW()-ROW($F$2:$F$25)+1),COLUMN($E$2:$E$25),4)))</f>
        <v>#REF!</v>
      </c>
      <c r="R7" s="146" t="e">
        <f t="array" aca="1" ref="R7" ca="1">IF(ROW()-ROW($G$2:$G$25)+1&gt;ROWS($F$2:$F$25)-COUNTBLANK($F$2:$F$25),"",INDIRECT(ADDRESS(SMALL((IF($F$2:$F$25&gt;"",ROW($F$2:$F$25),ROW()+ROWS($F$2:$F$25))),ROW()-ROW($G$2:$G$25)+1),COLUMN($F$2:$F$25),4)))</f>
        <v>#REF!</v>
      </c>
      <c r="S7" s="147" t="e">
        <f t="array" aca="1" ref="S7" ca="1">IF(ROW()-ROW($H$2:$H$25)+1&gt;ROWS($G$2:$G$25)-COUNTBLANK($G$2:$G$25),"",INDIRECT(ADDRESS(SMALL((IF($G$2:$G$25&lt;&gt;"",ROW($G$2:$G$25),ROW()+ROWS($G$2:$G$25))),ROW()-ROW($H$2:$H$25)+1),COLUMN($G$2:$G$25),4)))</f>
        <v>#REF!</v>
      </c>
      <c r="T7" s="145" t="e">
        <f t="array" aca="1" ref="T7" ca="1">IF(ROW()-ROW($I$2:$I$25)+1&gt;ROWS($H$2:$H$25)-COUNTBLANK($H$2:$H$25),"",INDIRECT(ADDRESS(SMALL((IF($H$2:$H$25&lt;&gt;"",ROW($H$2:$H$25),ROW()+ROWS($H$2:$H$25))),ROW()-ROW($I$2:$I$25)+1),COLUMN($H$2:$H$25),4)))</f>
        <v>#REF!</v>
      </c>
      <c r="U7" s="145" t="e">
        <f t="array" aca="1" ref="U7" ca="1">IF(ROW()-ROW($J$2:$J$25)+1&gt;ROWS($I$2:$I$25)-COUNTBLANK($I$2:$I$25),"",INDIRECT(ADDRESS(SMALL((IF($I$2:$I$25&lt;&gt;"",ROW($I$2:$I$25),ROW()+ROWS($I$2:$I$25))),ROW()-ROW($J$2:$J$25)+1),COLUMN($I$2:$I$25),4)))</f>
        <v>#REF!</v>
      </c>
      <c r="V7" s="147" t="e">
        <f t="array" aca="1" ref="V7" ca="1">IF(ROW()-ROW($K$2:$K$25)+1&gt;ROWS($J$2:$J$25)-COUNTBLANK($J$2:$J$25),"",INDIRECT(ADDRESS(SMALL((IF($J$2:$J$25&lt;&gt;"",ROW($J$2:$J$25),ROW()+ROWS($J$2:$J$25))),ROW()-ROW($K$2:$K$25)+1),COLUMN($J$2:$J$25),4)))</f>
        <v>#REF!</v>
      </c>
      <c r="W7" s="66" t="e">
        <f t="array" aca="1" ref="W7" ca="1">IF(ROW()-ROW($L$2:$L$25)+1&gt;ROWS($K$2:$K$25)-COUNTBLANK($K$2:$K$25),"",INDIRECT(ADDRESS(SMALL((IF($K$2:$K$25&lt;&gt;"",ROW($K$2:$K$25),ROW()+ROWS($K$2:$K$25))),ROW()-ROW($L$2:$L$25)+1),COLUMN($K$2:$K$25),4)))</f>
        <v>#REF!</v>
      </c>
      <c r="X7" s="150" t="e">
        <f t="array" aca="1" ref="X7" ca="1">IF(ROW()-ROW($M$2:$M$25)+1&gt;ROWS($L$2:$L$25)-COUNTBLANK($L$2:$L$25),"",INDIRECT(ADDRESS(SMALL((IF($L$2:$L$25&lt;&gt;"",ROW($L$2:$L$25),ROW()+ROWS($L$2:$L$25))),ROW()-ROW($M$2:$M$25)+1),COLUMN($L$2:$L$25),4)))</f>
        <v>#REF!</v>
      </c>
      <c r="Y7" s="150" t="e">
        <f t="array" aca="1" ref="Y7" ca="1">IF(ROW()-ROW($N$2:$N$25)+1&gt;ROWS($M$2:$M$25)-COUNTBLANK($M$2:$M$25),"",INDIRECT(ADDRESS(SMALL((IF($M$2:$M$25&lt;&gt;"",ROW($M$2:$M$25),ROW()+ROWS($M$2:$M$25))),ROW()-ROW($N$2:$N$25)+1),COLUMN($M$2:$M$25),4)))</f>
        <v>#REF!</v>
      </c>
    </row>
    <row r="8" spans="1:25" ht="22.5" customHeight="1" x14ac:dyDescent="0.25">
      <c r="A8" s="226" t="str">
        <f>IF('Indicator sheet'!P24=0,"",'Indicator sheet'!P24)</f>
        <v>Incomplete</v>
      </c>
      <c r="C8" s="226">
        <f>IF($A8="I.O.","",'Indicator sheet'!A24)</f>
        <v>6</v>
      </c>
      <c r="D8" s="149" t="str">
        <f>IF($A8="I.O.","",'Indicator sheet'!C24)</f>
        <v>Endocrine therapy in the case of steroid receptor positive result1</v>
      </c>
      <c r="E8" s="147" t="str">
        <f>IF(AND('Indicator sheet'!J24="",$A8&lt;&gt;"I.O."),"-----",IF($A8="I.O.","",'Indicator sheet'!J24))</f>
        <v>-----</v>
      </c>
      <c r="F8" s="146" t="str">
        <f>IF($A8="I.O.","",'Indicator sheet'!K24)</f>
        <v>≥ 95%</v>
      </c>
      <c r="G8" s="147" t="str">
        <f>IF(AND('Indicator sheet'!M24="",$A8&lt;&gt;"I.O."),"-----",IF($A8="I.O.","",'Indicator sheet'!M24))</f>
        <v>-----</v>
      </c>
      <c r="H8" s="145" t="str">
        <f>IF($A8="I.O.","",IF('Indicator sheet'!O24="","-----",'Indicator sheet'!O24))</f>
        <v>-----</v>
      </c>
      <c r="I8" s="145" t="str">
        <f>IF($A8="I.O.","",IF('Indicator sheet'!O25="","-----",'Indicator sheet'!O25))</f>
        <v>-----</v>
      </c>
      <c r="J8" s="144" t="str">
        <f>IF($A8="I.O.","",IF('Indicator sheet'!O26="",0,'Indicator sheet'!O26))</f>
        <v>n.d.</v>
      </c>
      <c r="K8" s="226" t="str">
        <f>IF($A8="I.O.","",'Indicator sheet'!P24)</f>
        <v>Incomplete</v>
      </c>
      <c r="L8" s="150" t="str">
        <f>IF(AND('Indicator sheet'!Q24="",$A8&lt;&gt;"I.O."),"-----",IF($A8="I.O.","",'Indicator sheet'!Q24))</f>
        <v>-----</v>
      </c>
      <c r="M8" s="150" t="str">
        <f>IF(AND('Indicator sheet'!R24="",$A8&lt;&gt;"I.O."),"-----",IF($A8="I.O.","",'Indicator sheet'!R24))</f>
        <v>-----</v>
      </c>
      <c r="O8" s="226" t="e">
        <f t="array" aca="1" ref="O8" ca="1">IF(ROW()-ROW($D$2:$D$25)+1&gt;ROWS($C$2:$C$25)-COUNTBLANK($C$2:$C$25),"",INDIRECT(ADDRESS(SMALL((IF($C$2:$C$25&lt;&gt;"",ROW($C$2:$C$25),ROW()+ROWS($C$2:$C$25))),ROW()-ROW($D$2:$D$25)+1),COLUMN($C$2:$C$25),4)))</f>
        <v>#REF!</v>
      </c>
      <c r="P8" s="150" t="e">
        <f t="array" aca="1" ref="P8" ca="1">IF(ROW()-ROW($E$2:$E$25)+1&gt;ROWS($D$2:$D$25)-COUNTBLANK($D$2:$D$25),"",INDIRECT(ADDRESS(SMALL((IF($D$2:$D$25&gt;"",ROW($D$2:$D$25),ROW()+ROWS($D$2:$D$25))),ROW()-ROW($E$2:$E$25)+1),COLUMN($D$2:$D$25),4)))</f>
        <v>#REF!</v>
      </c>
      <c r="Q8" s="147" t="e">
        <f t="array" aca="1" ref="Q8" ca="1">IF(ROW()-ROW($F$2:$F$25)+1&gt;ROWS($E$2:$E$25)-COUNTBLANK($E$2:$E$25),"",INDIRECT(ADDRESS(SMALL((IF($E$2:$E$25&gt;"",ROW($E$2:$E$25),ROW()+ROWS($E$2:$E$25))),ROW()-ROW($F$2:$F$25)+1),COLUMN($E$2:$E$25),4)))</f>
        <v>#REF!</v>
      </c>
      <c r="R8" s="146" t="e">
        <f t="array" aca="1" ref="R8" ca="1">IF(ROW()-ROW($G$2:$G$25)+1&gt;ROWS($F$2:$F$25)-COUNTBLANK($F$2:$F$25),"",INDIRECT(ADDRESS(SMALL((IF($F$2:$F$25&gt;"",ROW($F$2:$F$25),ROW()+ROWS($F$2:$F$25))),ROW()-ROW($G$2:$G$25)+1),COLUMN($F$2:$F$25),4)))</f>
        <v>#REF!</v>
      </c>
      <c r="S8" s="147" t="e">
        <f t="array" aca="1" ref="S8" ca="1">IF(ROW()-ROW($H$2:$H$25)+1&gt;ROWS($G$2:$G$25)-COUNTBLANK($G$2:$G$25),"",INDIRECT(ADDRESS(SMALL((IF($G$2:$G$25&lt;&gt;"",ROW($G$2:$G$25),ROW()+ROWS($G$2:$G$25))),ROW()-ROW($H$2:$H$25)+1),COLUMN($G$2:$G$25),4)))</f>
        <v>#REF!</v>
      </c>
      <c r="T8" s="145" t="e">
        <f t="array" aca="1" ref="T8" ca="1">IF(ROW()-ROW($I$2:$I$25)+1&gt;ROWS($H$2:$H$25)-COUNTBLANK($H$2:$H$25),"",INDIRECT(ADDRESS(SMALL((IF($H$2:$H$25&lt;&gt;"",ROW($H$2:$H$25),ROW()+ROWS($H$2:$H$25))),ROW()-ROW($I$2:$I$25)+1),COLUMN($H$2:$H$25),4)))</f>
        <v>#REF!</v>
      </c>
      <c r="U8" s="145" t="e">
        <f t="array" aca="1" ref="U8" ca="1">IF(ROW()-ROW($J$2:$J$25)+1&gt;ROWS($I$2:$I$25)-COUNTBLANK($I$2:$I$25),"",INDIRECT(ADDRESS(SMALL((IF($I$2:$I$25&lt;&gt;"",ROW($I$2:$I$25),ROW()+ROWS($I$2:$I$25))),ROW()-ROW($J$2:$J$25)+1),COLUMN($I$2:$I$25),4)))</f>
        <v>#REF!</v>
      </c>
      <c r="V8" s="147" t="e">
        <f t="array" aca="1" ref="V8" ca="1">IF(ROW()-ROW($K$2:$K$25)+1&gt;ROWS($J$2:$J$25)-COUNTBLANK($J$2:$J$25),"",INDIRECT(ADDRESS(SMALL((IF($J$2:$J$25&lt;&gt;"",ROW($J$2:$J$25),ROW()+ROWS($J$2:$J$25))),ROW()-ROW($K$2:$K$25)+1),COLUMN($J$2:$J$25),4)))</f>
        <v>#REF!</v>
      </c>
      <c r="W8" s="66" t="e">
        <f t="array" aca="1" ref="W8" ca="1">IF(ROW()-ROW($L$2:$L$25)+1&gt;ROWS($K$2:$K$25)-COUNTBLANK($K$2:$K$25),"",INDIRECT(ADDRESS(SMALL((IF($K$2:$K$25&lt;&gt;"",ROW($K$2:$K$25),ROW()+ROWS($K$2:$K$25))),ROW()-ROW($L$2:$L$25)+1),COLUMN($K$2:$K$25),4)))</f>
        <v>#REF!</v>
      </c>
      <c r="X8" s="150" t="e">
        <f t="array" aca="1" ref="X8" ca="1">IF(ROW()-ROW($M$2:$M$25)+1&gt;ROWS($L$2:$L$25)-COUNTBLANK($L$2:$L$25),"",INDIRECT(ADDRESS(SMALL((IF($L$2:$L$25&lt;&gt;"",ROW($L$2:$L$25),ROW()+ROWS($L$2:$L$25))),ROW()-ROW($M$2:$M$25)+1),COLUMN($L$2:$L$25),4)))</f>
        <v>#REF!</v>
      </c>
      <c r="Y8" s="150" t="e">
        <f t="array" aca="1" ref="Y8" ca="1">IF(ROW()-ROW($N$2:$N$25)+1&gt;ROWS($M$2:$M$25)-COUNTBLANK($M$2:$M$25),"",INDIRECT(ADDRESS(SMALL((IF($M$2:$M$25&lt;&gt;"",ROW($M$2:$M$25),ROW()+ROWS($M$2:$M$25))),ROW()-ROW($N$2:$N$25)+1),COLUMN($M$2:$M$25),4)))</f>
        <v>#REF!</v>
      </c>
    </row>
    <row r="9" spans="1:25" ht="22.5" customHeight="1" x14ac:dyDescent="0.25">
      <c r="A9" s="226" t="str">
        <f>IF('Indicator sheet'!P27=0,"",'Indicator sheet'!P27)</f>
        <v>Incomplete</v>
      </c>
      <c r="C9" s="301">
        <f>IF($A9="I.O.","",'Indicator sheet'!A27)</f>
        <v>7</v>
      </c>
      <c r="D9" s="320" t="str">
        <f>IF($A9="I.O.","",'Indicator sheet'!C27)</f>
        <v>Trastuzumab-based over 1 year in the case of HER-2 positive result</v>
      </c>
      <c r="E9" s="321" t="str">
        <f>IF(AND('Indicator sheet'!J27="",$A9&lt;&gt;"I.O."),"-----",IF($A9="I.O.","",'Indicator sheet'!J27))</f>
        <v>-----</v>
      </c>
      <c r="F9" s="322" t="str">
        <f>IF($A9="I.O.","",'Indicator sheet'!K27)</f>
        <v>≥ 95%</v>
      </c>
      <c r="G9" s="321" t="str">
        <f>IF(AND('Indicator sheet'!M27="",$A9&lt;&gt;"I.O."),"-----",IF($A9="I.O.","",'Indicator sheet'!M27))</f>
        <v>-----</v>
      </c>
      <c r="H9" s="323" t="str">
        <f>IF($A9="I.O.","",IF('Indicator sheet'!O27="","-----",'Indicator sheet'!O27))</f>
        <v>-----</v>
      </c>
      <c r="I9" s="323" t="str">
        <f>IF($A9="I.O.","",IF('Indicator sheet'!O28="","-----",'Indicator sheet'!O28))</f>
        <v>-----</v>
      </c>
      <c r="J9" s="324" t="str">
        <f>IF($A9="I.O.","",IF('Indicator sheet'!O29="","-----",'Indicator sheet'!O29))</f>
        <v>n.d.</v>
      </c>
      <c r="K9" s="301" t="str">
        <f>IF($A9="I.O.","",'Indicator sheet'!P27)</f>
        <v>Incomplete</v>
      </c>
      <c r="L9" s="325" t="str">
        <f>IF(AND('Indicator sheet'!Q27="",$A9&lt;&gt;"I.O."),"-----",IF($A9="I.O.","",'Indicator sheet'!Q27))</f>
        <v>-----</v>
      </c>
      <c r="M9" s="325" t="str">
        <f>IF(AND('Indicator sheet'!R27="",$A9&lt;&gt;"I.O."),"-----",IF($A9="I.O.","",'Indicator sheet'!R27))</f>
        <v>-----</v>
      </c>
      <c r="O9" s="226" t="e">
        <f t="array" aca="1" ref="O9" ca="1">IF(ROW()-ROW($D$2:$D$25)+1&gt;ROWS($C$2:$C$25)-COUNTBLANK($C$2:$C$25),"",INDIRECT(ADDRESS(SMALL((IF($C$2:$C$25&lt;&gt;"",ROW($C$2:$C$25),ROW()+ROWS($C$2:$C$25))),ROW()-ROW($D$2:$D$25)+1),COLUMN($C$2:$C$25),4)))</f>
        <v>#REF!</v>
      </c>
      <c r="P9" s="150" t="e">
        <f t="array" aca="1" ref="P9" ca="1">IF(ROW()-ROW($E$2:$E$25)+1&gt;ROWS($D$2:$D$25)-COUNTBLANK($D$2:$D$25),"",INDIRECT(ADDRESS(SMALL((IF($D$2:$D$25&gt;"",ROW($D$2:$D$25),ROW()+ROWS($D$2:$D$25))),ROW()-ROW($E$2:$E$25)+1),COLUMN($D$2:$D$25),4)))</f>
        <v>#REF!</v>
      </c>
      <c r="Q9" s="147" t="e">
        <f t="array" aca="1" ref="Q9" ca="1">IF(ROW()-ROW($F$2:$F$25)+1&gt;ROWS($E$2:$E$25)-COUNTBLANK($E$2:$E$25),"",INDIRECT(ADDRESS(SMALL((IF($E$2:$E$25&gt;"",ROW($E$2:$E$25),ROW()+ROWS($E$2:$E$25))),ROW()-ROW($F$2:$F$25)+1),COLUMN($E$2:$E$25),4)))</f>
        <v>#REF!</v>
      </c>
      <c r="R9" s="146" t="e">
        <f t="array" aca="1" ref="R9" ca="1">IF(ROW()-ROW($G$2:$G$25)+1&gt;ROWS($F$2:$F$25)-COUNTBLANK($F$2:$F$25),"",INDIRECT(ADDRESS(SMALL((IF($F$2:$F$25&gt;"",ROW($F$2:$F$25),ROW()+ROWS($F$2:$F$25))),ROW()-ROW($G$2:$G$25)+1),COLUMN($F$2:$F$25),4)))</f>
        <v>#REF!</v>
      </c>
      <c r="S9" s="147" t="e">
        <f t="array" aca="1" ref="S9" ca="1">IF(ROW()-ROW($H$2:$H$25)+1&gt;ROWS($G$2:$G$25)-COUNTBLANK($G$2:$G$25),"",INDIRECT(ADDRESS(SMALL((IF($G$2:$G$25&lt;&gt;"",ROW($G$2:$G$25),ROW()+ROWS($G$2:$G$25))),ROW()-ROW($H$2:$H$25)+1),COLUMN($G$2:$G$25),4)))</f>
        <v>#REF!</v>
      </c>
      <c r="T9" s="145" t="e">
        <f t="array" aca="1" ref="T9" ca="1">IF(ROW()-ROW($I$2:$I$25)+1&gt;ROWS($H$2:$H$25)-COUNTBLANK($H$2:$H$25),"",INDIRECT(ADDRESS(SMALL((IF($H$2:$H$25&lt;&gt;"",ROW($H$2:$H$25),ROW()+ROWS($H$2:$H$25))),ROW()-ROW($I$2:$I$25)+1),COLUMN($H$2:$H$25),4)))</f>
        <v>#REF!</v>
      </c>
      <c r="U9" s="145" t="e">
        <f t="array" aca="1" ref="U9" ca="1">IF(ROW()-ROW($J$2:$J$25)+1&gt;ROWS($I$2:$I$25)-COUNTBLANK($I$2:$I$25),"",INDIRECT(ADDRESS(SMALL((IF($I$2:$I$25&lt;&gt;"",ROW($I$2:$I$25),ROW()+ROWS($I$2:$I$25))),ROW()-ROW($J$2:$J$25)+1),COLUMN($I$2:$I$25),4)))</f>
        <v>#REF!</v>
      </c>
      <c r="V9" s="147" t="e">
        <f t="array" aca="1" ref="V9" ca="1">IF(ROW()-ROW($K$2:$K$25)+1&gt;ROWS($J$2:$J$25)-COUNTBLANK($J$2:$J$25),"",INDIRECT(ADDRESS(SMALL((IF($J$2:$J$25&lt;&gt;"",ROW($J$2:$J$25),ROW()+ROWS($J$2:$J$25))),ROW()-ROW($K$2:$K$25)+1),COLUMN($J$2:$J$25),4)))</f>
        <v>#REF!</v>
      </c>
      <c r="W9" s="66" t="e">
        <f t="array" aca="1" ref="W9" ca="1">IF(ROW()-ROW($L$2:$L$25)+1&gt;ROWS($K$2:$K$25)-COUNTBLANK($K$2:$K$25),"",INDIRECT(ADDRESS(SMALL((IF($K$2:$K$25&lt;&gt;"",ROW($K$2:$K$25),ROW()+ROWS($K$2:$K$25))),ROW()-ROW($L$2:$L$25)+1),COLUMN($K$2:$K$25),4)))</f>
        <v>#REF!</v>
      </c>
      <c r="X9" s="150" t="e">
        <f t="array" aca="1" ref="X9" ca="1">IF(ROW()-ROW($M$2:$M$25)+1&gt;ROWS($L$2:$L$25)-COUNTBLANK($L$2:$L$25),"",INDIRECT(ADDRESS(SMALL((IF($L$2:$L$25&lt;&gt;"",ROW($L$2:$L$25),ROW()+ROWS($L$2:$L$25))),ROW()-ROW($M$2:$M$25)+1),COLUMN($L$2:$L$25),4)))</f>
        <v>#REF!</v>
      </c>
      <c r="Y9" s="150" t="e">
        <f t="array" aca="1" ref="Y9" ca="1">IF(ROW()-ROW($N$2:$N$25)+1&gt;ROWS($M$2:$M$25)-COUNTBLANK($M$2:$M$25),"",INDIRECT(ADDRESS(SMALL((IF($M$2:$M$25&lt;&gt;"",ROW($M$2:$M$25),ROW()+ROWS($M$2:$M$25))),ROW()-ROW($N$2:$N$25)+1),COLUMN($M$2:$M$25),4)))</f>
        <v>#REF!</v>
      </c>
    </row>
    <row r="10" spans="1:25" ht="22.5" customHeight="1" x14ac:dyDescent="0.25">
      <c r="A10" s="226" t="str">
        <f>IF('Indicator sheet'!P30=0,"",'Indicator sheet'!P30)</f>
        <v>Incomplete</v>
      </c>
      <c r="C10" s="301">
        <f>IF($A10="I.O.","",'Indicator sheet'!A30)</f>
        <v>8</v>
      </c>
      <c r="D10" s="320" t="str">
        <f>IF($A10="I.O.","",'Indicator sheet'!C30)</f>
        <v>Endocrine therapy for metastasis</v>
      </c>
      <c r="E10" s="321" t="str">
        <f>IF(AND('Indicator sheet'!J30="",$A10&lt;&gt;"I.O."),"-----",IF($A10="I.O.","",'Indicator sheet'!J30))</f>
        <v>-----</v>
      </c>
      <c r="F10" s="322" t="str">
        <f>IF($A10="I.O.","",'Indicator sheet'!K30)</f>
        <v>≥ 95%</v>
      </c>
      <c r="G10" s="321" t="str">
        <f>IF(AND('Indicator sheet'!M30="",$A10&lt;&gt;"I.O."),"-----",IF($A10="I.O.","",'Indicator sheet'!M30))</f>
        <v>-----</v>
      </c>
      <c r="H10" s="323" t="str">
        <f>IF($A10="I.O.","",IF('Indicator sheet'!O30="","-----",'Indicator sheet'!O30))</f>
        <v>-----</v>
      </c>
      <c r="I10" s="323" t="str">
        <f>IF($A10="I.O.","",IF('Indicator sheet'!O31="","-----",'Indicator sheet'!O31))</f>
        <v>-----</v>
      </c>
      <c r="J10" s="324" t="str">
        <f>IF($A10="I.O.","",IF('Indicator sheet'!O32="","-----",'Indicator sheet'!O32))</f>
        <v>n.d.</v>
      </c>
      <c r="K10" s="301" t="str">
        <f>IF($A10="I.O.","",'Indicator sheet'!P30)</f>
        <v>Incomplete</v>
      </c>
      <c r="L10" s="325" t="str">
        <f>IF(AND('Indicator sheet'!Q30="",$A10&lt;&gt;"I.O."),"-----",IF($A10="I.O.","",'Indicator sheet'!Q30))</f>
        <v>-----</v>
      </c>
      <c r="M10" s="325" t="str">
        <f>IF(AND('Indicator sheet'!R30="",$A10&lt;&gt;"I.O."),"-----",IF($A10="I.O.","",'Indicator sheet'!R30))</f>
        <v>-----</v>
      </c>
      <c r="O10" s="226" t="e">
        <f t="array" aca="1" ref="O10" ca="1">IF(ROW()-ROW($D$2:$D$25)+1&gt;ROWS($C$2:$C$25)-COUNTBLANK($C$2:$C$25),"",INDIRECT(ADDRESS(SMALL((IF($C$2:$C$25&lt;&gt;"",ROW($C$2:$C$25),ROW()+ROWS($C$2:$C$25))),ROW()-ROW($D$2:$D$25)+1),COLUMN($C$2:$C$25),4)))</f>
        <v>#REF!</v>
      </c>
      <c r="P10" s="150" t="e">
        <f t="array" aca="1" ref="P10" ca="1">IF(ROW()-ROW($E$2:$E$25)+1&gt;ROWS($D$2:$D$25)-COUNTBLANK($D$2:$D$25),"",INDIRECT(ADDRESS(SMALL((IF($D$2:$D$25&gt;"",ROW($D$2:$D$25),ROW()+ROWS($D$2:$D$25))),ROW()-ROW($E$2:$E$25)+1),COLUMN($D$2:$D$25),4)))</f>
        <v>#REF!</v>
      </c>
      <c r="Q10" s="147" t="e">
        <f t="array" aca="1" ref="Q10" ca="1">IF(ROW()-ROW($F$2:$F$25)+1&gt;ROWS($E$2:$E$25)-COUNTBLANK($E$2:$E$25),"",INDIRECT(ADDRESS(SMALL((IF($E$2:$E$25&gt;"",ROW($E$2:$E$25),ROW()+ROWS($E$2:$E$25))),ROW()-ROW($F$2:$F$25)+1),COLUMN($E$2:$E$25),4)))</f>
        <v>#REF!</v>
      </c>
      <c r="R10" s="146" t="e">
        <f t="array" aca="1" ref="R10" ca="1">IF(ROW()-ROW($G$2:$G$25)+1&gt;ROWS($F$2:$F$25)-COUNTBLANK($F$2:$F$25),"",INDIRECT(ADDRESS(SMALL((IF($F$2:$F$25&gt;"",ROW($F$2:$F$25),ROW()+ROWS($F$2:$F$25))),ROW()-ROW($G$2:$G$25)+1),COLUMN($F$2:$F$25),4)))</f>
        <v>#REF!</v>
      </c>
      <c r="S10" s="147" t="e">
        <f t="array" aca="1" ref="S10" ca="1">IF(ROW()-ROW($H$2:$H$25)+1&gt;ROWS($G$2:$G$25)-COUNTBLANK($G$2:$G$25),"",INDIRECT(ADDRESS(SMALL((IF($G$2:$G$25&lt;&gt;"",ROW($G$2:$G$25),ROW()+ROWS($G$2:$G$25))),ROW()-ROW($H$2:$H$25)+1),COLUMN($G$2:$G$25),4)))</f>
        <v>#REF!</v>
      </c>
      <c r="T10" s="145" t="e">
        <f t="array" aca="1" ref="T10" ca="1">IF(ROW()-ROW($I$2:$I$25)+1&gt;ROWS($H$2:$H$25)-COUNTBLANK($H$2:$H$25),"",INDIRECT(ADDRESS(SMALL((IF($H$2:$H$25&lt;&gt;"",ROW($H$2:$H$25),ROW()+ROWS($H$2:$H$25))),ROW()-ROW($I$2:$I$25)+1),COLUMN($H$2:$H$25),4)))</f>
        <v>#REF!</v>
      </c>
      <c r="U10" s="145" t="e">
        <f t="array" aca="1" ref="U10" ca="1">IF(ROW()-ROW($J$2:$J$25)+1&gt;ROWS($I$2:$I$25)-COUNTBLANK($I$2:$I$25),"",INDIRECT(ADDRESS(SMALL((IF($I$2:$I$25&lt;&gt;"",ROW($I$2:$I$25),ROW()+ROWS($I$2:$I$25))),ROW()-ROW($J$2:$J$25)+1),COLUMN($I$2:$I$25),4)))</f>
        <v>#REF!</v>
      </c>
      <c r="V10" s="147" t="e">
        <f t="array" aca="1" ref="V10" ca="1">IF(ROW()-ROW($K$2:$K$25)+1&gt;ROWS($J$2:$J$25)-COUNTBLANK($J$2:$J$25),"",INDIRECT(ADDRESS(SMALL((IF($J$2:$J$25&lt;&gt;"",ROW($J$2:$J$25),ROW()+ROWS($J$2:$J$25))),ROW()-ROW($K$2:$K$25)+1),COLUMN($J$2:$J$25),4)))</f>
        <v>#REF!</v>
      </c>
      <c r="W10" s="66" t="e">
        <f t="array" aca="1" ref="W10" ca="1">IF(ROW()-ROW($L$2:$L$25)+1&gt;ROWS($K$2:$K$25)-COUNTBLANK($K$2:$K$25),"",INDIRECT(ADDRESS(SMALL((IF($K$2:$K$25&lt;&gt;"",ROW($K$2:$K$25),ROW()+ROWS($K$2:$K$25))),ROW()-ROW($L$2:$L$25)+1),COLUMN($K$2:$K$25),4)))</f>
        <v>#REF!</v>
      </c>
      <c r="X10" s="150" t="e">
        <f t="array" aca="1" ref="X10" ca="1">IF(ROW()-ROW($M$2:$M$25)+1&gt;ROWS($L$2:$L$25)-COUNTBLANK($L$2:$L$25),"",INDIRECT(ADDRESS(SMALL((IF($L$2:$L$25&lt;&gt;"",ROW($L$2:$L$25),ROW()+ROWS($L$2:$L$25))),ROW()-ROW($M$2:$M$25)+1),COLUMN($L$2:$L$25),4)))</f>
        <v>#REF!</v>
      </c>
      <c r="Y10" s="150" t="e">
        <f t="array" aca="1" ref="Y10" ca="1">IF(ROW()-ROW($N$2:$N$25)+1&gt;ROWS($M$2:$M$25)-COUNTBLANK($M$2:$M$25),"",INDIRECT(ADDRESS(SMALL((IF($M$2:$M$25&lt;&gt;"",ROW($M$2:$M$25),ROW()+ROWS($M$2:$M$25))),ROW()-ROW($N$2:$N$25)+1),COLUMN($M$2:$M$25),4)))</f>
        <v>#REF!</v>
      </c>
    </row>
    <row r="11" spans="1:25" ht="22.5" customHeight="1" x14ac:dyDescent="0.25">
      <c r="A11" s="226" t="str">
        <f>IF('Indicator sheet'!P33=0,"",'Indicator sheet'!P33)</f>
        <v>Incomplete</v>
      </c>
      <c r="C11" s="226" t="str">
        <f>IF($A11="I.O.","",'Indicator sheet'!A33)</f>
        <v xml:space="preserve">9
</v>
      </c>
      <c r="D11" s="149" t="str">
        <f>IF($A11="I.O.","",'Indicator sheet'!C33)</f>
        <v xml:space="preserve">Psycho-oncological distress screening </v>
      </c>
      <c r="E11" s="147" t="str">
        <f>IF(AND('Indicator sheet'!J33="",$A11&lt;&gt;"I.O."),"-----",IF($A11="I.O.","",'Indicator sheet'!J33))</f>
        <v>-----</v>
      </c>
      <c r="F11" s="146" t="str">
        <f>IF($A11="I.O.","",'Indicator sheet'!K33)</f>
        <v>≥ 65%</v>
      </c>
      <c r="G11" s="147" t="str">
        <f>IF(AND('Indicator sheet'!M33="",$A11&lt;&gt;"I.O."),"-----",IF($A11="I.O.","",'Indicator sheet'!M33))</f>
        <v>-----</v>
      </c>
      <c r="H11" s="145" t="str">
        <f>IF($A11="I.O.","",IF('Indicator sheet'!O33="","-----",'Indicator sheet'!O33))</f>
        <v>-----</v>
      </c>
      <c r="I11" s="145">
        <f>IF($A11="I.O.","",IF('Indicator sheet'!O34="","-----",'Indicator sheet'!O34))</f>
        <v>0</v>
      </c>
      <c r="J11" s="144" t="str">
        <f>IF($A11="I.O.","",IF('Indicator sheet'!O35="",0,'Indicator sheet'!O35))</f>
        <v>n.d.</v>
      </c>
      <c r="K11" s="226" t="str">
        <f>IF($A11="I.O.","",'Indicator sheet'!P33)</f>
        <v>Incomplete</v>
      </c>
      <c r="L11" s="150" t="str">
        <f>IF(AND('Indicator sheet'!Q33="",$A11&lt;&gt;"I.O."),"-----",IF($A11="I.O.","",'Indicator sheet'!Q33))</f>
        <v>-----</v>
      </c>
      <c r="M11" s="150" t="str">
        <f>IF(AND('Indicator sheet'!R33="",$A11&lt;&gt;"I.O."),"-----",IF($A11="I.O.","",'Indicator sheet'!R33))</f>
        <v>-----</v>
      </c>
      <c r="O11" s="226" t="e">
        <f t="array" aca="1" ref="O11" ca="1">IF(ROW()-ROW($D$2:$D$25)+1&gt;ROWS($C$2:$C$25)-COUNTBLANK($C$2:$C$25),"",INDIRECT(ADDRESS(SMALL((IF($C$2:$C$25&lt;&gt;"",ROW($C$2:$C$25),ROW()+ROWS($C$2:$C$25))),ROW()-ROW($D$2:$D$25)+1),COLUMN($C$2:$C$25),4)))</f>
        <v>#REF!</v>
      </c>
      <c r="P11" s="150" t="e">
        <f t="array" aca="1" ref="P11" ca="1">IF(ROW()-ROW($E$2:$E$25)+1&gt;ROWS($D$2:$D$25)-COUNTBLANK($D$2:$D$25),"",INDIRECT(ADDRESS(SMALL((IF($D$2:$D$25&gt;"",ROW($D$2:$D$25),ROW()+ROWS($D$2:$D$25))),ROW()-ROW($E$2:$E$25)+1),COLUMN($D$2:$D$25),4)))</f>
        <v>#REF!</v>
      </c>
      <c r="Q11" s="147" t="e">
        <f t="array" aca="1" ref="Q11" ca="1">IF(ROW()-ROW($F$2:$F$25)+1&gt;ROWS($E$2:$E$25)-COUNTBLANK($E$2:$E$25),"",INDIRECT(ADDRESS(SMALL((IF($E$2:$E$25&gt;"",ROW($E$2:$E$25),ROW()+ROWS($E$2:$E$25))),ROW()-ROW($F$2:$F$25)+1),COLUMN($E$2:$E$25),4)))</f>
        <v>#REF!</v>
      </c>
      <c r="R11" s="146" t="e">
        <f t="array" aca="1" ref="R11" ca="1">IF(ROW()-ROW($G$2:$G$25)+1&gt;ROWS($F$2:$F$25)-COUNTBLANK($F$2:$F$25),"",INDIRECT(ADDRESS(SMALL((IF($F$2:$F$25&gt;"",ROW($F$2:$F$25),ROW()+ROWS($F$2:$F$25))),ROW()-ROW($G$2:$G$25)+1),COLUMN($F$2:$F$25),4)))</f>
        <v>#REF!</v>
      </c>
      <c r="S11" s="147" t="e">
        <f t="array" aca="1" ref="S11" ca="1">IF(ROW()-ROW($H$2:$H$25)+1&gt;ROWS($G$2:$G$25)-COUNTBLANK($G$2:$G$25),"",INDIRECT(ADDRESS(SMALL((IF($G$2:$G$25&lt;&gt;"",ROW($G$2:$G$25),ROW()+ROWS($G$2:$G$25))),ROW()-ROW($H$2:$H$25)+1),COLUMN($G$2:$G$25),4)))</f>
        <v>#REF!</v>
      </c>
      <c r="T11" s="145" t="e">
        <f t="array" aca="1" ref="T11" ca="1">IF(ROW()-ROW($I$2:$I$25)+1&gt;ROWS($H$2:$H$25)-COUNTBLANK($H$2:$H$25),"",INDIRECT(ADDRESS(SMALL((IF($H$2:$H$25&lt;&gt;"",ROW($H$2:$H$25),ROW()+ROWS($H$2:$H$25))),ROW()-ROW($I$2:$I$25)+1),COLUMN($H$2:$H$25),4)))</f>
        <v>#REF!</v>
      </c>
      <c r="U11" s="145" t="e">
        <f t="array" aca="1" ref="U11" ca="1">IF(ROW()-ROW($J$2:$J$25)+1&gt;ROWS($I$2:$I$25)-COUNTBLANK($I$2:$I$25),"",INDIRECT(ADDRESS(SMALL((IF($I$2:$I$25&lt;&gt;"",ROW($I$2:$I$25),ROW()+ROWS($I$2:$I$25))),ROW()-ROW($J$2:$J$25)+1),COLUMN($I$2:$I$25),4)))</f>
        <v>#REF!</v>
      </c>
      <c r="V11" s="147" t="e">
        <f t="array" aca="1" ref="V11" ca="1">IF(ROW()-ROW($K$2:$K$25)+1&gt;ROWS($J$2:$J$25)-COUNTBLANK($J$2:$J$25),"",INDIRECT(ADDRESS(SMALL((IF($J$2:$J$25&lt;&gt;"",ROW($J$2:$J$25),ROW()+ROWS($J$2:$J$25))),ROW()-ROW($K$2:$K$25)+1),COLUMN($J$2:$J$25),4)))</f>
        <v>#REF!</v>
      </c>
      <c r="W11" s="66" t="e">
        <f t="array" aca="1" ref="W11" ca="1">IF(ROW()-ROW($L$2:$L$25)+1&gt;ROWS($K$2:$K$25)-COUNTBLANK($K$2:$K$25),"",INDIRECT(ADDRESS(SMALL((IF($K$2:$K$25&lt;&gt;"",ROW($K$2:$K$25),ROW()+ROWS($K$2:$K$25))),ROW()-ROW($L$2:$L$25)+1),COLUMN($K$2:$K$25),4)))</f>
        <v>#REF!</v>
      </c>
      <c r="X11" s="150" t="e">
        <f t="array" aca="1" ref="X11" ca="1">IF(ROW()-ROW($M$2:$M$25)+1&gt;ROWS($L$2:$L$25)-COUNTBLANK($L$2:$L$25),"",INDIRECT(ADDRESS(SMALL((IF($L$2:$L$25&lt;&gt;"",ROW($L$2:$L$25),ROW()+ROWS($L$2:$L$25))),ROW()-ROW($M$2:$M$25)+1),COLUMN($L$2:$L$25),4)))</f>
        <v>#REF!</v>
      </c>
      <c r="Y11" s="150" t="e">
        <f t="array" aca="1" ref="Y11" ca="1">IF(ROW()-ROW($N$2:$N$25)+1&gt;ROWS($M$2:$M$25)-COUNTBLANK($M$2:$M$25),"",INDIRECT(ADDRESS(SMALL((IF($M$2:$M$25&lt;&gt;"",ROW($M$2:$M$25),ROW()+ROWS($M$2:$M$25))),ROW()-ROW($N$2:$N$25)+1),COLUMN($M$2:$M$25),4)))</f>
        <v>#REF!</v>
      </c>
    </row>
    <row r="12" spans="1:25" ht="22.5" customHeight="1" x14ac:dyDescent="0.25">
      <c r="A12" s="226" t="str">
        <f>IF('Indicator sheet'!P36=0,"",'Indicator sheet'!P36)</f>
        <v>Incomplete</v>
      </c>
      <c r="C12" s="226">
        <f>IF($A12="I.O.","",'Indicator sheet'!A36)</f>
        <v>10</v>
      </c>
      <c r="D12" s="149" t="str">
        <f>IF($A12="I.O.","",'Indicator sheet'!C36)</f>
        <v>Social service counselling</v>
      </c>
      <c r="E12" s="147" t="str">
        <f>IF(AND('Indicator sheet'!J36="",$A12&lt;&gt;"I.O."),"-----",IF($A12="I.O.","",'Indicator sheet'!J36))</f>
        <v>&lt; 50%</v>
      </c>
      <c r="F12" s="146" t="str">
        <f>IF($A12="I.O.","",'Indicator sheet'!K36)</f>
        <v>No target value</v>
      </c>
      <c r="G12" s="147" t="str">
        <f>IF(AND('Indicator sheet'!M36="",$A12&lt;&gt;"I.O."),"-----",IF($A12="I.O.","",'Indicator sheet'!M36))</f>
        <v>-----</v>
      </c>
      <c r="H12" s="145" t="str">
        <f>IF($A12="I.O.","",IF('Indicator sheet'!O36="","-----",'Indicator sheet'!O36))</f>
        <v>-----</v>
      </c>
      <c r="I12" s="145">
        <f>IF($A12="I.O.","",IF('Indicator sheet'!O37="","-----",'Indicator sheet'!O37))</f>
        <v>0</v>
      </c>
      <c r="J12" s="144" t="str">
        <f>IF($A12="I.O.","",IF('Indicator sheet'!O38="",0,'Indicator sheet'!O38))</f>
        <v>n.d.</v>
      </c>
      <c r="K12" s="226" t="str">
        <f>IF($A12="I.O.","",'Indicator sheet'!P36)</f>
        <v>Incomplete</v>
      </c>
      <c r="L12" s="150" t="str">
        <f>IF(AND('Indicator sheet'!Q36="",$A12&lt;&gt;"I.O."),"-----",IF($A12="I.O.","",'Indicator sheet'!Q36))</f>
        <v>-----</v>
      </c>
      <c r="M12" s="150" t="str">
        <f>IF(AND('Indicator sheet'!R36="",$A12&lt;&gt;"I.O."),"-----",IF($A12="I.O.","",'Indicator sheet'!R36))</f>
        <v>-----</v>
      </c>
      <c r="O12" s="226" t="e">
        <f t="array" aca="1" ref="O12" ca="1">IF(ROW()-ROW($D$2:$D$25)+1&gt;ROWS($C$2:$C$25)-COUNTBLANK($C$2:$C$25),"",INDIRECT(ADDRESS(SMALL((IF($C$2:$C$25&lt;&gt;"",ROW($C$2:$C$25),ROW()+ROWS($C$2:$C$25))),ROW()-ROW($D$2:$D$25)+1),COLUMN($C$2:$C$25),4)))</f>
        <v>#REF!</v>
      </c>
      <c r="P12" s="150" t="e">
        <f t="array" aca="1" ref="P12" ca="1">IF(ROW()-ROW($E$2:$E$25)+1&gt;ROWS($D$2:$D$25)-COUNTBLANK($D$2:$D$25),"",INDIRECT(ADDRESS(SMALL((IF($D$2:$D$25&gt;"",ROW($D$2:$D$25),ROW()+ROWS($D$2:$D$25))),ROW()-ROW($E$2:$E$25)+1),COLUMN($D$2:$D$25),4)))</f>
        <v>#REF!</v>
      </c>
      <c r="Q12" s="147" t="e">
        <f t="array" aca="1" ref="Q12" ca="1">IF(ROW()-ROW($F$2:$F$25)+1&gt;ROWS($E$2:$E$25)-COUNTBLANK($E$2:$E$25),"",INDIRECT(ADDRESS(SMALL((IF($E$2:$E$25&gt;"",ROW($E$2:$E$25),ROW()+ROWS($E$2:$E$25))),ROW()-ROW($F$2:$F$25)+1),COLUMN($E$2:$E$25),4)))</f>
        <v>#REF!</v>
      </c>
      <c r="R12" s="146" t="e">
        <f t="array" aca="1" ref="R12" ca="1">IF(ROW()-ROW($G$2:$G$25)+1&gt;ROWS($F$2:$F$25)-COUNTBLANK($F$2:$F$25),"",INDIRECT(ADDRESS(SMALL((IF($F$2:$F$25&gt;"",ROW($F$2:$F$25),ROW()+ROWS($F$2:$F$25))),ROW()-ROW($G$2:$G$25)+1),COLUMN($F$2:$F$25),4)))</f>
        <v>#REF!</v>
      </c>
      <c r="S12" s="147" t="e">
        <f t="array" aca="1" ref="S12" ca="1">IF(ROW()-ROW($H$2:$H$25)+1&gt;ROWS($G$2:$G$25)-COUNTBLANK($G$2:$G$25),"",INDIRECT(ADDRESS(SMALL((IF($G$2:$G$25&lt;&gt;"",ROW($G$2:$G$25),ROW()+ROWS($G$2:$G$25))),ROW()-ROW($H$2:$H$25)+1),COLUMN($G$2:$G$25),4)))</f>
        <v>#REF!</v>
      </c>
      <c r="T12" s="145" t="e">
        <f t="array" aca="1" ref="T12" ca="1">IF(ROW()-ROW($I$2:$I$25)+1&gt;ROWS($H$2:$H$25)-COUNTBLANK($H$2:$H$25),"",INDIRECT(ADDRESS(SMALL((IF($H$2:$H$25&lt;&gt;"",ROW($H$2:$H$25),ROW()+ROWS($H$2:$H$25))),ROW()-ROW($I$2:$I$25)+1),COLUMN($H$2:$H$25),4)))</f>
        <v>#REF!</v>
      </c>
      <c r="U12" s="145" t="e">
        <f t="array" aca="1" ref="U12" ca="1">IF(ROW()-ROW($J$2:$J$25)+1&gt;ROWS($I$2:$I$25)-COUNTBLANK($I$2:$I$25),"",INDIRECT(ADDRESS(SMALL((IF($I$2:$I$25&lt;&gt;"",ROW($I$2:$I$25),ROW()+ROWS($I$2:$I$25))),ROW()-ROW($J$2:$J$25)+1),COLUMN($I$2:$I$25),4)))</f>
        <v>#REF!</v>
      </c>
      <c r="V12" s="147" t="e">
        <f t="array" aca="1" ref="V12" ca="1">IF(ROW()-ROW($K$2:$K$25)+1&gt;ROWS($J$2:$J$25)-COUNTBLANK($J$2:$J$25),"",INDIRECT(ADDRESS(SMALL((IF($J$2:$J$25&lt;&gt;"",ROW($J$2:$J$25),ROW()+ROWS($J$2:$J$25))),ROW()-ROW($K$2:$K$25)+1),COLUMN($J$2:$J$25),4)))</f>
        <v>#REF!</v>
      </c>
      <c r="W12" s="66" t="e">
        <f t="array" aca="1" ref="W12" ca="1">IF(ROW()-ROW($L$2:$L$25)+1&gt;ROWS($K$2:$K$25)-COUNTBLANK($K$2:$K$25),"",INDIRECT(ADDRESS(SMALL((IF($K$2:$K$25&lt;&gt;"",ROW($K$2:$K$25),ROW()+ROWS($K$2:$K$25))),ROW()-ROW($L$2:$L$25)+1),COLUMN($K$2:$K$25),4)))</f>
        <v>#REF!</v>
      </c>
      <c r="X12" s="150" t="e">
        <f t="array" aca="1" ref="X12" ca="1">IF(ROW()-ROW($M$2:$M$25)+1&gt;ROWS($L$2:$L$25)-COUNTBLANK($L$2:$L$25),"",INDIRECT(ADDRESS(SMALL((IF($L$2:$L$25&lt;&gt;"",ROW($L$2:$L$25),ROW()+ROWS($L$2:$L$25))),ROW()-ROW($M$2:$M$25)+1),COLUMN($L$2:$L$25),4)))</f>
        <v>#REF!</v>
      </c>
      <c r="Y12" s="150" t="e">
        <f t="array" aca="1" ref="Y12" ca="1">IF(ROW()-ROW($N$2:$N$25)+1&gt;ROWS($M$2:$M$25)-COUNTBLANK($M$2:$M$25),"",INDIRECT(ADDRESS(SMALL((IF($M$2:$M$25&lt;&gt;"",ROW($M$2:$M$25),ROW()+ROWS($M$2:$M$25))),ROW()-ROW($N$2:$N$25)+1),COLUMN($M$2:$M$25),4)))</f>
        <v>#REF!</v>
      </c>
    </row>
    <row r="13" spans="1:25" ht="22.5" customHeight="1" x14ac:dyDescent="0.25">
      <c r="A13" s="226" t="str">
        <f>IF('Indicator sheet'!P39=0,"",'Indicator sheet'!P39)</f>
        <v>Incomplete</v>
      </c>
      <c r="C13" s="226">
        <f>IF($A13="I.O.","",'Indicator sheet'!A39)</f>
        <v>11</v>
      </c>
      <c r="D13" s="149" t="str">
        <f>IF($A13="I.O.","",'Indicator sheet'!C39)</f>
        <v>Patients enrolled in a study</v>
      </c>
      <c r="E13" s="147" t="str">
        <f>IF(AND('Indicator sheet'!J39="",$A13&lt;&gt;"I.O."),"-----",IF($A13="I.O.","",'Indicator sheet'!J39))</f>
        <v>-----</v>
      </c>
      <c r="F13" s="146" t="str">
        <f>IF($A13="I.O.","",'Indicator sheet'!K39)</f>
        <v>≥ 5%</v>
      </c>
      <c r="G13" s="147" t="str">
        <f>IF(AND('Indicator sheet'!M39="",$A13&lt;&gt;"I.O."),"-----",IF($A13="I.O.","",'Indicator sheet'!M39))</f>
        <v>&gt; 65%</v>
      </c>
      <c r="H13" s="145">
        <f>IF($A13="I.O.","",IF('Indicator sheet'!O39="","-----",'Indicator sheet'!O39))</f>
        <v>0</v>
      </c>
      <c r="I13" s="145">
        <f>IF($A13="I.O.","",IF('Indicator sheet'!O40="","-----",'Indicator sheet'!O40))</f>
        <v>0</v>
      </c>
      <c r="J13" s="144" t="str">
        <f>IF($A13="I.O.","",IF('Indicator sheet'!O41="",0,'Indicator sheet'!O41))</f>
        <v>n.d.</v>
      </c>
      <c r="K13" s="226" t="str">
        <f>IF($A13="I.O.","",'Indicator sheet'!P39)</f>
        <v>Incomplete</v>
      </c>
      <c r="L13" s="150" t="str">
        <f>IF(AND('Indicator sheet'!Q39="",$A13&lt;&gt;"I.O."),"-----",IF($A13="I.O.","",'Indicator sheet'!Q39))</f>
        <v>-----</v>
      </c>
      <c r="M13" s="150" t="str">
        <f>IF(AND('Indicator sheet'!R39="",$A13&lt;&gt;"I.O."),"-----",IF($A13="I.O.","",'Indicator sheet'!R39))</f>
        <v>-----</v>
      </c>
      <c r="O13" s="226" t="e">
        <f t="array" aca="1" ref="O13" ca="1">IF(ROW()-ROW($D$2:$D$25)+1&gt;ROWS($C$2:$C$25)-COUNTBLANK($C$2:$C$25),"",INDIRECT(ADDRESS(SMALL((IF($C$2:$C$25&lt;&gt;"",ROW($C$2:$C$25),ROW()+ROWS($C$2:$C$25))),ROW()-ROW($D$2:$D$25)+1),COLUMN($C$2:$C$25),4)))</f>
        <v>#REF!</v>
      </c>
      <c r="P13" s="150" t="e">
        <f t="array" aca="1" ref="P13" ca="1">IF(ROW()-ROW($E$2:$E$25)+1&gt;ROWS($D$2:$D$25)-COUNTBLANK($D$2:$D$25),"",INDIRECT(ADDRESS(SMALL((IF($D$2:$D$25&gt;"",ROW($D$2:$D$25),ROW()+ROWS($D$2:$D$25))),ROW()-ROW($E$2:$E$25)+1),COLUMN($D$2:$D$25),4)))</f>
        <v>#REF!</v>
      </c>
      <c r="Q13" s="147" t="e">
        <f t="array" aca="1" ref="Q13" ca="1">IF(ROW()-ROW($F$2:$F$25)+1&gt;ROWS($E$2:$E$25)-COUNTBLANK($E$2:$E$25),"",INDIRECT(ADDRESS(SMALL((IF($E$2:$E$25&gt;"",ROW($E$2:$E$25),ROW()+ROWS($E$2:$E$25))),ROW()-ROW($F$2:$F$25)+1),COLUMN($E$2:$E$25),4)))</f>
        <v>#REF!</v>
      </c>
      <c r="R13" s="146" t="e">
        <f t="array" aca="1" ref="R13" ca="1">IF(ROW()-ROW($G$2:$G$25)+1&gt;ROWS($F$2:$F$25)-COUNTBLANK($F$2:$F$25),"",INDIRECT(ADDRESS(SMALL((IF($F$2:$F$25&gt;"",ROW($F$2:$F$25),ROW()+ROWS($F$2:$F$25))),ROW()-ROW($G$2:$G$25)+1),COLUMN($F$2:$F$25),4)))</f>
        <v>#REF!</v>
      </c>
      <c r="S13" s="147" t="e">
        <f t="array" aca="1" ref="S13" ca="1">IF(ROW()-ROW($H$2:$H$25)+1&gt;ROWS($G$2:$G$25)-COUNTBLANK($G$2:$G$25),"",INDIRECT(ADDRESS(SMALL((IF($G$2:$G$25&lt;&gt;"",ROW($G$2:$G$25),ROW()+ROWS($G$2:$G$25))),ROW()-ROW($H$2:$H$25)+1),COLUMN($G$2:$G$25),4)))</f>
        <v>#REF!</v>
      </c>
      <c r="T13" s="145" t="e">
        <f t="array" aca="1" ref="T13" ca="1">IF(ROW()-ROW($I$2:$I$25)+1&gt;ROWS($H$2:$H$25)-COUNTBLANK($H$2:$H$25),"",INDIRECT(ADDRESS(SMALL((IF($H$2:$H$25&lt;&gt;"",ROW($H$2:$H$25),ROW()+ROWS($H$2:$H$25))),ROW()-ROW($I$2:$I$25)+1),COLUMN($H$2:$H$25),4)))</f>
        <v>#REF!</v>
      </c>
      <c r="U13" s="145" t="e">
        <f t="array" aca="1" ref="U13" ca="1">IF(ROW()-ROW($J$2:$J$25)+1&gt;ROWS($I$2:$I$25)-COUNTBLANK($I$2:$I$25),"",INDIRECT(ADDRESS(SMALL((IF($I$2:$I$25&lt;&gt;"",ROW($I$2:$I$25),ROW()+ROWS($I$2:$I$25))),ROW()-ROW($J$2:$J$25)+1),COLUMN($I$2:$I$25),4)))</f>
        <v>#REF!</v>
      </c>
      <c r="V13" s="147" t="e">
        <f t="array" aca="1" ref="V13" ca="1">IF(ROW()-ROW($K$2:$K$25)+1&gt;ROWS($J$2:$J$25)-COUNTBLANK($J$2:$J$25),"",INDIRECT(ADDRESS(SMALL((IF($J$2:$J$25&lt;&gt;"",ROW($J$2:$J$25),ROW()+ROWS($J$2:$J$25))),ROW()-ROW($K$2:$K$25)+1),COLUMN($J$2:$J$25),4)))</f>
        <v>#REF!</v>
      </c>
      <c r="W13" s="66" t="e">
        <f t="array" aca="1" ref="W13" ca="1">IF(ROW()-ROW($L$2:$L$25)+1&gt;ROWS($K$2:$K$25)-COUNTBLANK($K$2:$K$25),"",INDIRECT(ADDRESS(SMALL((IF($K$2:$K$25&lt;&gt;"",ROW($K$2:$K$25),ROW()+ROWS($K$2:$K$25))),ROW()-ROW($L$2:$L$25)+1),COLUMN($K$2:$K$25),4)))</f>
        <v>#REF!</v>
      </c>
      <c r="X13" s="150" t="e">
        <f t="array" aca="1" ref="X13" ca="1">IF(ROW()-ROW($M$2:$M$25)+1&gt;ROWS($L$2:$L$25)-COUNTBLANK($L$2:$L$25),"",INDIRECT(ADDRESS(SMALL((IF($L$2:$L$25&lt;&gt;"",ROW($L$2:$L$25),ROW()+ROWS($L$2:$L$25))),ROW()-ROW($M$2:$M$25)+1),COLUMN($L$2:$L$25),4)))</f>
        <v>#REF!</v>
      </c>
      <c r="Y13" s="150" t="e">
        <f t="array" aca="1" ref="Y13" ca="1">IF(ROW()-ROW($N$2:$N$25)+1&gt;ROWS($M$2:$M$25)-COUNTBLANK($M$2:$M$25),"",INDIRECT(ADDRESS(SMALL((IF($M$2:$M$25&lt;&gt;"",ROW($M$2:$M$25),ROW()+ROWS($M$2:$M$25))),ROW()-ROW($N$2:$N$25)+1),COLUMN($M$2:$M$25),4)))</f>
        <v>#REF!</v>
      </c>
    </row>
    <row r="14" spans="1:25" ht="22.5" customHeight="1" x14ac:dyDescent="0.25">
      <c r="A14" s="226" t="str">
        <f>IF('Indicator sheet'!P42=0,"",'Indicator sheet'!P42)</f>
        <v>Incomplete</v>
      </c>
      <c r="C14" s="226">
        <f>IF($A14="I.O.","",'Indicator sheet'!A42)</f>
        <v>12</v>
      </c>
      <c r="D14" s="149" t="str">
        <f>IF($A14="I.O.","",'Indicator sheet'!C42)</f>
        <v>Pretherapeutic histological confirmation</v>
      </c>
      <c r="E14" s="147" t="str">
        <f>IF(AND('Indicator sheet'!J42="",$A14&lt;&gt;"I.O."),"-----",IF($A14="I.O.","",'Indicator sheet'!J42))</f>
        <v>-----</v>
      </c>
      <c r="F14" s="146" t="str">
        <f>IF($A14="I.O.","",'Indicator sheet'!K42)</f>
        <v>≥ 90%</v>
      </c>
      <c r="G14" s="147" t="str">
        <f>IF(AND('Indicator sheet'!M42="",$A14&lt;&gt;"I.O."),"-----",IF($A14="I.O.","",'Indicator sheet'!M42))</f>
        <v>-----</v>
      </c>
      <c r="H14" s="145" t="str">
        <f>IF($A14="I.O.","",IF('Indicator sheet'!O42="","-----",'Indicator sheet'!O42))</f>
        <v>-----</v>
      </c>
      <c r="I14" s="145">
        <f>IF($A14="I.O.","",IF('Indicator sheet'!O43="","-----",'Indicator sheet'!O43))</f>
        <v>0</v>
      </c>
      <c r="J14" s="144" t="str">
        <f>IF($A14="I.O.","",IF('Indicator sheet'!O44="",0,'Indicator sheet'!O44))</f>
        <v>n.d.</v>
      </c>
      <c r="K14" s="226" t="str">
        <f>IF($A14="I.O.","",'Indicator sheet'!P42)</f>
        <v>Incomplete</v>
      </c>
      <c r="L14" s="150" t="str">
        <f>IF(AND('Indicator sheet'!Q42="",$A14&lt;&gt;"I.O."),"-----",IF($A14="I.O.","",'Indicator sheet'!Q42))</f>
        <v>-----</v>
      </c>
      <c r="M14" s="150" t="str">
        <f>IF(AND('Indicator sheet'!R42="",$A14&lt;&gt;"I.O."),"-----",IF($A14="I.O.","",'Indicator sheet'!R42))</f>
        <v>-----</v>
      </c>
      <c r="O14" s="226" t="e">
        <f t="array" aca="1" ref="O14" ca="1">IF(ROW()-ROW($D$2:$D$25)+1&gt;ROWS($C$2:$C$25)-COUNTBLANK($C$2:$C$25),"",INDIRECT(ADDRESS(SMALL((IF($C$2:$C$25&lt;&gt;"",ROW($C$2:$C$25),ROW()+ROWS($C$2:$C$25))),ROW()-ROW($D$2:$D$25)+1),COLUMN($C$2:$C$25),4)))</f>
        <v>#REF!</v>
      </c>
      <c r="P14" s="150" t="e">
        <f t="array" aca="1" ref="P14" ca="1">IF(ROW()-ROW($E$2:$E$25)+1&gt;ROWS($D$2:$D$25)-COUNTBLANK($D$2:$D$25),"",INDIRECT(ADDRESS(SMALL((IF($D$2:$D$25&gt;"",ROW($D$2:$D$25),ROW()+ROWS($D$2:$D$25))),ROW()-ROW($E$2:$E$25)+1),COLUMN($D$2:$D$25),4)))</f>
        <v>#REF!</v>
      </c>
      <c r="Q14" s="147" t="e">
        <f t="array" aca="1" ref="Q14" ca="1">IF(ROW()-ROW($F$2:$F$25)+1&gt;ROWS($E$2:$E$25)-COUNTBLANK($E$2:$E$25),"",INDIRECT(ADDRESS(SMALL((IF($E$2:$E$25&gt;"",ROW($E$2:$E$25),ROW()+ROWS($E$2:$E$25))),ROW()-ROW($F$2:$F$25)+1),COLUMN($E$2:$E$25),4)))</f>
        <v>#REF!</v>
      </c>
      <c r="R14" s="146" t="e">
        <f t="array" aca="1" ref="R14" ca="1">IF(ROW()-ROW($G$2:$G$25)+1&gt;ROWS($F$2:$F$25)-COUNTBLANK($F$2:$F$25),"",INDIRECT(ADDRESS(SMALL((IF($F$2:$F$25&gt;"",ROW($F$2:$F$25),ROW()+ROWS($F$2:$F$25))),ROW()-ROW($G$2:$G$25)+1),COLUMN($F$2:$F$25),4)))</f>
        <v>#REF!</v>
      </c>
      <c r="S14" s="147" t="e">
        <f t="array" aca="1" ref="S14" ca="1">IF(ROW()-ROW($H$2:$H$25)+1&gt;ROWS($G$2:$G$25)-COUNTBLANK($G$2:$G$25),"",INDIRECT(ADDRESS(SMALL((IF($G$2:$G$25&lt;&gt;"",ROW($G$2:$G$25),ROW()+ROWS($G$2:$G$25))),ROW()-ROW($H$2:$H$25)+1),COLUMN($G$2:$G$25),4)))</f>
        <v>#REF!</v>
      </c>
      <c r="T14" s="145" t="e">
        <f t="array" aca="1" ref="T14" ca="1">IF(ROW()-ROW($I$2:$I$25)+1&gt;ROWS($H$2:$H$25)-COUNTBLANK($H$2:$H$25),"",INDIRECT(ADDRESS(SMALL((IF($H$2:$H$25&lt;&gt;"",ROW($H$2:$H$25),ROW()+ROWS($H$2:$H$25))),ROW()-ROW($I$2:$I$25)+1),COLUMN($H$2:$H$25),4)))</f>
        <v>#REF!</v>
      </c>
      <c r="U14" s="145" t="e">
        <f t="array" aca="1" ref="U14" ca="1">IF(ROW()-ROW($J$2:$J$25)+1&gt;ROWS($I$2:$I$25)-COUNTBLANK($I$2:$I$25),"",INDIRECT(ADDRESS(SMALL((IF($I$2:$I$25&lt;&gt;"",ROW($I$2:$I$25),ROW()+ROWS($I$2:$I$25))),ROW()-ROW($J$2:$J$25)+1),COLUMN($I$2:$I$25),4)))</f>
        <v>#REF!</v>
      </c>
      <c r="V14" s="147" t="e">
        <f t="array" aca="1" ref="V14" ca="1">IF(ROW()-ROW($K$2:$K$25)+1&gt;ROWS($J$2:$J$25)-COUNTBLANK($J$2:$J$25),"",INDIRECT(ADDRESS(SMALL((IF($J$2:$J$25&lt;&gt;"",ROW($J$2:$J$25),ROW()+ROWS($J$2:$J$25))),ROW()-ROW($K$2:$K$25)+1),COLUMN($J$2:$J$25),4)))</f>
        <v>#REF!</v>
      </c>
      <c r="W14" s="66" t="e">
        <f t="array" aca="1" ref="W14" ca="1">IF(ROW()-ROW($L$2:$L$25)+1&gt;ROWS($K$2:$K$25)-COUNTBLANK($K$2:$K$25),"",INDIRECT(ADDRESS(SMALL((IF($K$2:$K$25&lt;&gt;"",ROW($K$2:$K$25),ROW()+ROWS($K$2:$K$25))),ROW()-ROW($L$2:$L$25)+1),COLUMN($K$2:$K$25),4)))</f>
        <v>#REF!</v>
      </c>
      <c r="X14" s="150" t="e">
        <f t="array" aca="1" ref="X14" ca="1">IF(ROW()-ROW($M$2:$M$25)+1&gt;ROWS($L$2:$L$25)-COUNTBLANK($L$2:$L$25),"",INDIRECT(ADDRESS(SMALL((IF($L$2:$L$25&lt;&gt;"",ROW($L$2:$L$25),ROW()+ROWS($L$2:$L$25))),ROW()-ROW($M$2:$M$25)+1),COLUMN($L$2:$L$25),4)))</f>
        <v>#REF!</v>
      </c>
      <c r="Y14" s="150" t="e">
        <f t="array" aca="1" ref="Y14" ca="1">IF(ROW()-ROW($N$2:$N$25)+1&gt;ROWS($M$2:$M$25)-COUNTBLANK($M$2:$M$25),"",INDIRECT(ADDRESS(SMALL((IF($M$2:$M$25&lt;&gt;"",ROW($M$2:$M$25),ROW()+ROWS($M$2:$M$25))),ROW()-ROW($N$2:$N$25)+1),COLUMN($M$2:$M$25),4)))</f>
        <v>#REF!</v>
      </c>
    </row>
    <row r="15" spans="1:25" ht="22.5" customHeight="1" x14ac:dyDescent="0.25">
      <c r="A15" s="226" t="str">
        <f>IF('Indicator sheet'!P45=0,"",'Indicator sheet'!P45)</f>
        <v>Incomplete</v>
      </c>
      <c r="C15" s="226" t="str">
        <f>IF($A15="I.O.","",'Indicator sheet'!A45)</f>
        <v>13a</v>
      </c>
      <c r="D15" s="149" t="str">
        <f>IF($A15="I.O.","",'Indicator sheet'!C45)</f>
        <v>Primary cases breast cancer</v>
      </c>
      <c r="E15" s="147" t="str">
        <f>IF(AND('Indicator sheet'!J45="",$A15&lt;&gt;"I.O."),"-----",IF($A15="I.O.","",'Indicator sheet'!J45))</f>
        <v>-----</v>
      </c>
      <c r="F15" s="146" t="str">
        <f>IF($A15="I.O.","",'Indicator sheet'!K45)</f>
        <v>≥ 100</v>
      </c>
      <c r="G15" s="147" t="str">
        <f>IF(AND('Indicator sheet'!M45="",$A15&lt;&gt;"I.O."),"-----",IF($A15="I.O.","",'Indicator sheet'!M45))</f>
        <v>-----</v>
      </c>
      <c r="H15" s="145">
        <f>IF($A15="I.O.","",IF('Indicator sheet'!O45="","-----",'Indicator sheet'!O45))</f>
        <v>0</v>
      </c>
      <c r="I15" s="145" t="str">
        <f>IF($A15="I.O.","","-----")</f>
        <v>-----</v>
      </c>
      <c r="J15" s="144" t="str">
        <f>IF($A15="I.O.","","-----")</f>
        <v>-----</v>
      </c>
      <c r="K15" s="226" t="str">
        <f>IF($A15="I.O.","",'Indicator sheet'!P45)</f>
        <v>Incomplete</v>
      </c>
      <c r="L15" s="150" t="str">
        <f>IF(AND('Indicator sheet'!Q45="",$A15&lt;&gt;"I.O."),"-----",IF($A15="I.O.","",'Indicator sheet'!Q45))</f>
        <v>-----</v>
      </c>
      <c r="M15" s="150" t="str">
        <f>IF(AND('Indicator sheet'!R45="",$A15&lt;&gt;"I.O."),"-----",IF($A15="I.O.","",'Indicator sheet'!R45))</f>
        <v>-----</v>
      </c>
      <c r="O15" s="226" t="e">
        <f t="array" aca="1" ref="O15" ca="1">IF(ROW()-ROW($D$2:$D$25)+1&gt;ROWS($C$2:$C$25)-COUNTBLANK($C$2:$C$25),"",INDIRECT(ADDRESS(SMALL((IF($C$2:$C$25&lt;&gt;"",ROW($C$2:$C$25),ROW()+ROWS($C$2:$C$25))),ROW()-ROW($D$2:$D$25)+1),COLUMN($C$2:$C$25),4)))</f>
        <v>#REF!</v>
      </c>
      <c r="P15" s="150" t="e">
        <f t="array" aca="1" ref="P15" ca="1">IF(ROW()-ROW($E$2:$E$25)+1&gt;ROWS($D$2:$D$25)-COUNTBLANK($D$2:$D$25),"",INDIRECT(ADDRESS(SMALL((IF($D$2:$D$25&gt;"",ROW($D$2:$D$25),ROW()+ROWS($D$2:$D$25))),ROW()-ROW($E$2:$E$25)+1),COLUMN($D$2:$D$25),4)))</f>
        <v>#REF!</v>
      </c>
      <c r="Q15" s="147" t="e">
        <f t="array" aca="1" ref="Q15" ca="1">IF(ROW()-ROW($F$2:$F$25)+1&gt;ROWS($E$2:$E$25)-COUNTBLANK($E$2:$E$25),"",INDIRECT(ADDRESS(SMALL((IF($E$2:$E$25&gt;"",ROW($E$2:$E$25),ROW()+ROWS($E$2:$E$25))),ROW()-ROW($F$2:$F$25)+1),COLUMN($E$2:$E$25),4)))</f>
        <v>#REF!</v>
      </c>
      <c r="R15" s="146" t="e">
        <f t="array" aca="1" ref="R15" ca="1">IF(ROW()-ROW($G$2:$G$25)+1&gt;ROWS($F$2:$F$25)-COUNTBLANK($F$2:$F$25),"",INDIRECT(ADDRESS(SMALL((IF($F$2:$F$25&gt;"",ROW($F$2:$F$25),ROW()+ROWS($F$2:$F$25))),ROW()-ROW($G$2:$G$25)+1),COLUMN($F$2:$F$25),4)))</f>
        <v>#REF!</v>
      </c>
      <c r="S15" s="147" t="e">
        <f t="array" aca="1" ref="S15" ca="1">IF(ROW()-ROW($H$2:$H$25)+1&gt;ROWS($G$2:$G$25)-COUNTBLANK($G$2:$G$25),"",INDIRECT(ADDRESS(SMALL((IF($G$2:$G$25&lt;&gt;"",ROW($G$2:$G$25),ROW()+ROWS($G$2:$G$25))),ROW()-ROW($H$2:$H$25)+1),COLUMN($G$2:$G$25),4)))</f>
        <v>#REF!</v>
      </c>
      <c r="T15" s="145" t="e">
        <f t="array" aca="1" ref="T15" ca="1">IF(ROW()-ROW($I$2:$I$25)+1&gt;ROWS($H$2:$H$25)-COUNTBLANK($H$2:$H$25),"",INDIRECT(ADDRESS(SMALL((IF($H$2:$H$25&lt;&gt;"",ROW($H$2:$H$25),ROW()+ROWS($H$2:$H$25))),ROW()-ROW($I$2:$I$25)+1),COLUMN($H$2:$H$25),4)))</f>
        <v>#REF!</v>
      </c>
      <c r="U15" s="145" t="e">
        <f t="array" aca="1" ref="U15" ca="1">IF(ROW()-ROW($J$2:$J$25)+1&gt;ROWS($I$2:$I$25)-COUNTBLANK($I$2:$I$25),"",INDIRECT(ADDRESS(SMALL((IF($I$2:$I$25&lt;&gt;"",ROW($I$2:$I$25),ROW()+ROWS($I$2:$I$25))),ROW()-ROW($J$2:$J$25)+1),COLUMN($I$2:$I$25),4)))</f>
        <v>#REF!</v>
      </c>
      <c r="V15" s="147" t="e">
        <f t="array" aca="1" ref="V15" ca="1">IF(ROW()-ROW($K$2:$K$25)+1&gt;ROWS($J$2:$J$25)-COUNTBLANK($J$2:$J$25),"",INDIRECT(ADDRESS(SMALL((IF($J$2:$J$25&lt;&gt;"",ROW($J$2:$J$25),ROW()+ROWS($J$2:$J$25))),ROW()-ROW($K$2:$K$25)+1),COLUMN($J$2:$J$25),4)))</f>
        <v>#REF!</v>
      </c>
      <c r="W15" s="66" t="e">
        <f t="array" aca="1" ref="W15" ca="1">IF(ROW()-ROW($L$2:$L$25)+1&gt;ROWS($K$2:$K$25)-COUNTBLANK($K$2:$K$25),"",INDIRECT(ADDRESS(SMALL((IF($K$2:$K$25&lt;&gt;"",ROW($K$2:$K$25),ROW()+ROWS($K$2:$K$25))),ROW()-ROW($L$2:$L$25)+1),COLUMN($K$2:$K$25),4)))</f>
        <v>#REF!</v>
      </c>
      <c r="X15" s="150" t="e">
        <f t="array" aca="1" ref="X15" ca="1">IF(ROW()-ROW($M$2:$M$25)+1&gt;ROWS($L$2:$L$25)-COUNTBLANK($L$2:$L$25),"",INDIRECT(ADDRESS(SMALL((IF($L$2:$L$25&lt;&gt;"",ROW($L$2:$L$25),ROW()+ROWS($L$2:$L$25))),ROW()-ROW($M$2:$M$25)+1),COLUMN($L$2:$L$25),4)))</f>
        <v>#REF!</v>
      </c>
      <c r="Y15" s="150" t="e">
        <f t="array" aca="1" ref="Y15" ca="1">IF(ROW()-ROW($N$2:$N$25)+1&gt;ROWS($M$2:$M$25)-COUNTBLANK($M$2:$M$25),"",INDIRECT(ADDRESS(SMALL((IF($M$2:$M$25&lt;&gt;"",ROW($M$2:$M$25),ROW()+ROWS($M$2:$M$25))),ROW()-ROW($N$2:$N$25)+1),COLUMN($M$2:$M$25),4)))</f>
        <v>#REF!</v>
      </c>
    </row>
    <row r="16" spans="1:25" ht="22.5" customHeight="1" x14ac:dyDescent="0.25">
      <c r="A16" s="226" t="str">
        <f>IF('Indicator sheet'!P51=0,"",'Indicator sheet'!P51)</f>
        <v>Incomplete</v>
      </c>
      <c r="B16" s="231"/>
      <c r="C16" s="226">
        <f>IF($A16="I.O.","",'Indicator sheet'!A51)</f>
        <v>14</v>
      </c>
      <c r="D16" s="149" t="str">
        <f>IF($A16="I.O.","",'Indicator sheet'!C51)</f>
        <v>Number of surgical procedures for R0 resection for BCS</v>
      </c>
      <c r="E16" s="147" t="str">
        <f>IF(AND('Indicator sheet'!J51="",$A16&lt;&gt;"I.O."),"-----",IF($A16="I.O.","",'Indicator sheet'!J51))</f>
        <v>&lt; 70%</v>
      </c>
      <c r="F16" s="146" t="str">
        <f>IF($A16="I.O.","",'Indicator sheet'!K51)</f>
        <v>No target value</v>
      </c>
      <c r="G16" s="147" t="str">
        <f>IF(AND('Indicator sheet'!M51="",$A16&lt;&gt;"I.O."),"-----",IF($A16="I.O.","",'Indicator sheet'!M51))</f>
        <v>-----</v>
      </c>
      <c r="H16" s="145" t="str">
        <f>IF($A16="I.O.","",IF('Indicator sheet'!O51="","-----",'Indicator sheet'!O51))</f>
        <v>-----</v>
      </c>
      <c r="I16" s="145" t="str">
        <f>IF($A16="I.O.","",IF('Indicator sheet'!O52="","-----",'Indicator sheet'!O52))</f>
        <v>-----</v>
      </c>
      <c r="J16" s="144" t="str">
        <f>IF($A16="I.O.","",IF('Indicator sheet'!O53="",0,'Indicator sheet'!O53))</f>
        <v>n.d.</v>
      </c>
      <c r="K16" s="226" t="str">
        <f>IF($A16="I.O.","",'Indicator sheet'!P51)</f>
        <v>Incomplete</v>
      </c>
      <c r="L16" s="150" t="str">
        <f>IF(AND('Indicator sheet'!Q51="",$A16&lt;&gt;"I.O."),"-----",IF($A16="I.O.","",'Indicator sheet'!Q51))</f>
        <v>-----</v>
      </c>
      <c r="M16" s="150" t="str">
        <f>IF(AND('Indicator sheet'!R51="",$A16&lt;&gt;"I.O."),"-----",IF($A16="I.O.","",'Indicator sheet'!R51))</f>
        <v>-----</v>
      </c>
      <c r="O16" s="226" t="e">
        <f t="array" aca="1" ref="O16" ca="1">IF(ROW()-ROW($D$2:$D$25)+1&gt;ROWS($C$2:$C$25)-COUNTBLANK($C$2:$C$25),"",INDIRECT(ADDRESS(SMALL((IF($C$2:$C$25&lt;&gt;"",ROW($C$2:$C$25),ROW()+ROWS($C$2:$C$25))),ROW()-ROW($D$2:$D$25)+1),COLUMN($C$2:$C$25),4)))</f>
        <v>#REF!</v>
      </c>
      <c r="P16" s="150" t="e">
        <f t="array" aca="1" ref="P16" ca="1">IF(ROW()-ROW($E$2:$E$25)+1&gt;ROWS($D$2:$D$25)-COUNTBLANK($D$2:$D$25),"",INDIRECT(ADDRESS(SMALL((IF($D$2:$D$25&gt;"",ROW($D$2:$D$25),ROW()+ROWS($D$2:$D$25))),ROW()-ROW($E$2:$E$25)+1),COLUMN($D$2:$D$25),4)))</f>
        <v>#REF!</v>
      </c>
      <c r="Q16" s="147" t="e">
        <f t="array" aca="1" ref="Q16" ca="1">IF(ROW()-ROW($F$2:$F$25)+1&gt;ROWS($E$2:$E$25)-COUNTBLANK($E$2:$E$25),"",INDIRECT(ADDRESS(SMALL((IF($E$2:$E$25&gt;"",ROW($E$2:$E$25),ROW()+ROWS($E$2:$E$25))),ROW()-ROW($F$2:$F$25)+1),COLUMN($E$2:$E$25),4)))</f>
        <v>#REF!</v>
      </c>
      <c r="R16" s="146" t="e">
        <f t="array" aca="1" ref="R16" ca="1">IF(ROW()-ROW($G$2:$G$25)+1&gt;ROWS($F$2:$F$25)-COUNTBLANK($F$2:$F$25),"",INDIRECT(ADDRESS(SMALL((IF($F$2:$F$25&gt;"",ROW($F$2:$F$25),ROW()+ROWS($F$2:$F$25))),ROW()-ROW($G$2:$G$25)+1),COLUMN($F$2:$F$25),4)))</f>
        <v>#REF!</v>
      </c>
      <c r="S16" s="147" t="e">
        <f t="array" aca="1" ref="S16" ca="1">IF(ROW()-ROW($H$2:$H$25)+1&gt;ROWS($G$2:$G$25)-COUNTBLANK($G$2:$G$25),"",INDIRECT(ADDRESS(SMALL((IF($G$2:$G$25&lt;&gt;"",ROW($G$2:$G$25),ROW()+ROWS($G$2:$G$25))),ROW()-ROW($H$2:$H$25)+1),COLUMN($G$2:$G$25),4)))</f>
        <v>#REF!</v>
      </c>
      <c r="T16" s="145" t="e">
        <f t="array" aca="1" ref="T16" ca="1">IF(ROW()-ROW($I$2:$I$25)+1&gt;ROWS($H$2:$H$25)-COUNTBLANK($H$2:$H$25),"",INDIRECT(ADDRESS(SMALL((IF($H$2:$H$25&lt;&gt;"",ROW($H$2:$H$25),ROW()+ROWS($H$2:$H$25))),ROW()-ROW($I$2:$I$25)+1),COLUMN($H$2:$H$25),4)))</f>
        <v>#REF!</v>
      </c>
      <c r="U16" s="145" t="e">
        <f t="array" aca="1" ref="U16" ca="1">IF(ROW()-ROW($J$2:$J$25)+1&gt;ROWS($I$2:$I$25)-COUNTBLANK($I$2:$I$25),"",INDIRECT(ADDRESS(SMALL((IF($I$2:$I$25&lt;&gt;"",ROW($I$2:$I$25),ROW()+ROWS($I$2:$I$25))),ROW()-ROW($J$2:$J$25)+1),COLUMN($I$2:$I$25),4)))</f>
        <v>#REF!</v>
      </c>
      <c r="V16" s="147" t="e">
        <f t="array" aca="1" ref="V16" ca="1">IF(ROW()-ROW($K$2:$K$25)+1&gt;ROWS($J$2:$J$25)-COUNTBLANK($J$2:$J$25),"",INDIRECT(ADDRESS(SMALL((IF($J$2:$J$25&lt;&gt;"",ROW($J$2:$J$25),ROW()+ROWS($J$2:$J$25))),ROW()-ROW($K$2:$K$25)+1),COLUMN($J$2:$J$25),4)))</f>
        <v>#REF!</v>
      </c>
      <c r="W16" s="66" t="e">
        <f t="array" aca="1" ref="W16" ca="1">IF(ROW()-ROW($L$2:$L$25)+1&gt;ROWS($K$2:$K$25)-COUNTBLANK($K$2:$K$25),"",INDIRECT(ADDRESS(SMALL((IF($K$2:$K$25&lt;&gt;"",ROW($K$2:$K$25),ROW()+ROWS($K$2:$K$25))),ROW()-ROW($L$2:$L$25)+1),COLUMN($K$2:$K$25),4)))</f>
        <v>#REF!</v>
      </c>
      <c r="X16" s="150" t="e">
        <f t="array" aca="1" ref="X16" ca="1">IF(ROW()-ROW($M$2:$M$25)+1&gt;ROWS($L$2:$L$25)-COUNTBLANK($L$2:$L$25),"",INDIRECT(ADDRESS(SMALL((IF($L$2:$L$25&lt;&gt;"",ROW($L$2:$L$25),ROW()+ROWS($L$2:$L$25))),ROW()-ROW($M$2:$M$25)+1),COLUMN($L$2:$L$25),4)))</f>
        <v>#REF!</v>
      </c>
      <c r="Y16" s="150" t="e">
        <f t="array" aca="1" ref="Y16" ca="1">IF(ROW()-ROW($N$2:$N$25)+1&gt;ROWS($M$2:$M$25)-COUNTBLANK($M$2:$M$25),"",INDIRECT(ADDRESS(SMALL((IF($M$2:$M$25&lt;&gt;"",ROW($M$2:$M$25),ROW()+ROWS($M$2:$M$25))),ROW()-ROW($N$2:$N$25)+1),COLUMN($M$2:$M$25),4)))</f>
        <v>#REF!</v>
      </c>
    </row>
    <row r="17" spans="1:25" ht="22.5" customHeight="1" x14ac:dyDescent="0.25">
      <c r="A17" s="226" t="str">
        <f>IF('Indicator sheet'!P54=0,"",'Indicator sheet'!P54)</f>
        <v>Incomplete</v>
      </c>
      <c r="C17" s="226">
        <f>IF($A17="I.O.","",'Indicator sheet'!A54)</f>
        <v>15</v>
      </c>
      <c r="D17" s="149" t="str">
        <f>IF($A17="I.O.","",'Indicator sheet'!C54)</f>
        <v>Breast-conserving procedure for pT1 (incl. (y)pT1 u. (y)pT0)</v>
      </c>
      <c r="E17" s="147" t="str">
        <f>IF(AND('Indicator sheet'!J54="",$A17&lt;&gt;"I.O."),"-----",IF($A17="I.O.","",'Indicator sheet'!J54))</f>
        <v>-----</v>
      </c>
      <c r="F17" s="146" t="str">
        <f>IF($A17="I.O.","",'Indicator sheet'!K54)</f>
        <v>≥ 70%</v>
      </c>
      <c r="G17" s="147" t="str">
        <f>IF(AND('Indicator sheet'!M54="",$A17&lt;&gt;"I.O."),"-----",IF($A17="I.O.","",'Indicator sheet'!M54))</f>
        <v>-----</v>
      </c>
      <c r="H17" s="145" t="str">
        <f>IF($A17="I.O.","",IF('Indicator sheet'!O54="","-----",'Indicator sheet'!O54))</f>
        <v>-----</v>
      </c>
      <c r="I17" s="145" t="str">
        <f>IF($A17="I.O.","",IF('Indicator sheet'!O55="","-----",'Indicator sheet'!O55))</f>
        <v>-----</v>
      </c>
      <c r="J17" s="144" t="str">
        <f>IF($A17="I.O.","",IF('Indicator sheet'!O56="",0,'Indicator sheet'!O56))</f>
        <v>n.d.</v>
      </c>
      <c r="K17" s="226" t="str">
        <f>IF($A17="I.O.","",'Indicator sheet'!P54)</f>
        <v>Incomplete</v>
      </c>
      <c r="L17" s="150" t="str">
        <f>IF(AND('Indicator sheet'!Q54="",$A17&lt;&gt;"I.O."),"-----",IF($A17="I.O.","",'Indicator sheet'!Q54))</f>
        <v>-----</v>
      </c>
      <c r="M17" s="150" t="str">
        <f>IF(AND('Indicator sheet'!R54="",$A17&lt;&gt;"I.O."),"-----",IF($A17="I.O.","",'Indicator sheet'!R54))</f>
        <v>-----</v>
      </c>
      <c r="O17" s="226" t="e">
        <f t="array" aca="1" ref="O17" ca="1">IF(ROW()-ROW($D$2:$D$25)+1&gt;ROWS($C$2:$C$25)-COUNTBLANK($C$2:$C$25),"",INDIRECT(ADDRESS(SMALL((IF($C$2:$C$25&lt;&gt;"",ROW($C$2:$C$25),ROW()+ROWS($C$2:$C$25))),ROW()-ROW($D$2:$D$25)+1),COLUMN($C$2:$C$25),4)))</f>
        <v>#REF!</v>
      </c>
      <c r="P17" s="150" t="e">
        <f t="array" aca="1" ref="P17" ca="1">IF(ROW()-ROW($E$2:$E$25)+1&gt;ROWS($D$2:$D$25)-COUNTBLANK($D$2:$D$25),"",INDIRECT(ADDRESS(SMALL((IF($D$2:$D$25&gt;"",ROW($D$2:$D$25),ROW()+ROWS($D$2:$D$25))),ROW()-ROW($E$2:$E$25)+1),COLUMN($D$2:$D$25),4)))</f>
        <v>#REF!</v>
      </c>
      <c r="Q17" s="147" t="e">
        <f t="array" aca="1" ref="Q17" ca="1">IF(ROW()-ROW($F$2:$F$25)+1&gt;ROWS($E$2:$E$25)-COUNTBLANK($E$2:$E$25),"",INDIRECT(ADDRESS(SMALL((IF($E$2:$E$25&gt;"",ROW($E$2:$E$25),ROW()+ROWS($E$2:$E$25))),ROW()-ROW($F$2:$F$25)+1),COLUMN($E$2:$E$25),4)))</f>
        <v>#REF!</v>
      </c>
      <c r="R17" s="146" t="e">
        <f t="array" aca="1" ref="R17" ca="1">IF(ROW()-ROW($G$2:$G$25)+1&gt;ROWS($F$2:$F$25)-COUNTBLANK($F$2:$F$25),"",INDIRECT(ADDRESS(SMALL((IF($F$2:$F$25&gt;"",ROW($F$2:$F$25),ROW()+ROWS($F$2:$F$25))),ROW()-ROW($G$2:$G$25)+1),COLUMN($F$2:$F$25),4)))</f>
        <v>#REF!</v>
      </c>
      <c r="S17" s="147" t="e">
        <f t="array" aca="1" ref="S17" ca="1">IF(ROW()-ROW($H$2:$H$25)+1&gt;ROWS($G$2:$G$25)-COUNTBLANK($G$2:$G$25),"",INDIRECT(ADDRESS(SMALL((IF($G$2:$G$25&lt;&gt;"",ROW($G$2:$G$25),ROW()+ROWS($G$2:$G$25))),ROW()-ROW($H$2:$H$25)+1),COLUMN($G$2:$G$25),4)))</f>
        <v>#REF!</v>
      </c>
      <c r="T17" s="145" t="e">
        <f t="array" aca="1" ref="T17" ca="1">IF(ROW()-ROW($I$2:$I$25)+1&gt;ROWS($H$2:$H$25)-COUNTBLANK($H$2:$H$25),"",INDIRECT(ADDRESS(SMALL((IF($H$2:$H$25&lt;&gt;"",ROW($H$2:$H$25),ROW()+ROWS($H$2:$H$25))),ROW()-ROW($I$2:$I$25)+1),COLUMN($H$2:$H$25),4)))</f>
        <v>#REF!</v>
      </c>
      <c r="U17" s="145" t="e">
        <f t="array" aca="1" ref="U17" ca="1">IF(ROW()-ROW($J$2:$J$25)+1&gt;ROWS($I$2:$I$25)-COUNTBLANK($I$2:$I$25),"",INDIRECT(ADDRESS(SMALL((IF($I$2:$I$25&lt;&gt;"",ROW($I$2:$I$25),ROW()+ROWS($I$2:$I$25))),ROW()-ROW($J$2:$J$25)+1),COLUMN($I$2:$I$25),4)))</f>
        <v>#REF!</v>
      </c>
      <c r="V17" s="147" t="e">
        <f t="array" aca="1" ref="V17" ca="1">IF(ROW()-ROW($K$2:$K$25)+1&gt;ROWS($J$2:$J$25)-COUNTBLANK($J$2:$J$25),"",INDIRECT(ADDRESS(SMALL((IF($J$2:$J$25&lt;&gt;"",ROW($J$2:$J$25),ROW()+ROWS($J$2:$J$25))),ROW()-ROW($K$2:$K$25)+1),COLUMN($J$2:$J$25),4)))</f>
        <v>#REF!</v>
      </c>
      <c r="W17" s="66" t="e">
        <f t="array" aca="1" ref="W17" ca="1">IF(ROW()-ROW($L$2:$L$25)+1&gt;ROWS($K$2:$K$25)-COUNTBLANK($K$2:$K$25),"",INDIRECT(ADDRESS(SMALL((IF($K$2:$K$25&lt;&gt;"",ROW($K$2:$K$25),ROW()+ROWS($K$2:$K$25))),ROW()-ROW($L$2:$L$25)+1),COLUMN($K$2:$K$25),4)))</f>
        <v>#REF!</v>
      </c>
      <c r="X17" s="150" t="e">
        <f t="array" aca="1" ref="X17" ca="1">IF(ROW()-ROW($M$2:$M$25)+1&gt;ROWS($L$2:$L$25)-COUNTBLANK($L$2:$L$25),"",INDIRECT(ADDRESS(SMALL((IF($L$2:$L$25&lt;&gt;"",ROW($L$2:$L$25),ROW()+ROWS($L$2:$L$25))),ROW()-ROW($M$2:$M$25)+1),COLUMN($L$2:$L$25),4)))</f>
        <v>#REF!</v>
      </c>
      <c r="Y17" s="150" t="e">
        <f t="array" aca="1" ref="Y17" ca="1">IF(ROW()-ROW($N$2:$N$25)+1&gt;ROWS($M$2:$M$25)-COUNTBLANK($M$2:$M$25),"",INDIRECT(ADDRESS(SMALL((IF($M$2:$M$25&lt;&gt;"",ROW($M$2:$M$25),ROW()+ROWS($M$2:$M$25))),ROW()-ROW($N$2:$N$25)+1),COLUMN($M$2:$M$25),4)))</f>
        <v>#REF!</v>
      </c>
    </row>
    <row r="18" spans="1:25" ht="22.5" customHeight="1" x14ac:dyDescent="0.25">
      <c r="A18" s="226" t="str">
        <f>IF('Indicator sheet'!P57=0,"",'Indicator sheet'!P57)</f>
        <v>Incomplete</v>
      </c>
      <c r="C18" s="226">
        <f>IF($A18="I.O.","",'Indicator sheet'!A57)</f>
        <v>16</v>
      </c>
      <c r="D18" s="149" t="str">
        <f>IF($A18="I.O.","",'Indicator sheet'!C57)</f>
        <v>Mastectomies</v>
      </c>
      <c r="E18" s="147" t="str">
        <f>IF(AND('Indicator sheet'!J57="",$A18&lt;&gt;"I.O."),"-----",IF($A18="I.O.","",'Indicator sheet'!J57))</f>
        <v>&lt; 15%</v>
      </c>
      <c r="F18" s="146" t="str">
        <f>IF($A18="I.O.","",'Indicator sheet'!K57)</f>
        <v>No target value</v>
      </c>
      <c r="G18" s="147" t="str">
        <f>IF(AND('Indicator sheet'!M57="",$A18&lt;&gt;"I.O."),"-----",IF($A18="I.O.","",'Indicator sheet'!M57))</f>
        <v>&gt; 40%</v>
      </c>
      <c r="H18" s="145">
        <f>IF($A18="I.O.","",IF('Indicator sheet'!O57="","-----",'Indicator sheet'!O57))</f>
        <v>0</v>
      </c>
      <c r="I18" s="145">
        <f>IF($A18="I.O.","",IF('Indicator sheet'!O58="","-----",'Indicator sheet'!O58))</f>
        <v>0</v>
      </c>
      <c r="J18" s="144" t="str">
        <f>IF($A18="I.O.","",IF('Indicator sheet'!O59="",0,'Indicator sheet'!O59))</f>
        <v>n.d.</v>
      </c>
      <c r="K18" s="226" t="str">
        <f>IF($A18="I.O.","",'Indicator sheet'!P57)</f>
        <v>Incomplete</v>
      </c>
      <c r="L18" s="150" t="str">
        <f>IF(AND('Indicator sheet'!Q57="",$A18&lt;&gt;"I.O."),"-----",IF($A18="I.O.","",'Indicator sheet'!Q57))</f>
        <v>-----</v>
      </c>
      <c r="M18" s="150" t="str">
        <f>IF(AND('Indicator sheet'!R57="",$A18&lt;&gt;"I.O."),"-----",IF($A18="I.O.","",'Indicator sheet'!R57))</f>
        <v>-----</v>
      </c>
      <c r="O18" s="226" t="e">
        <f t="array" aca="1" ref="O18" ca="1">IF(ROW()-ROW($D$2:$D$25)+1&gt;ROWS($C$2:$C$25)-COUNTBLANK($C$2:$C$25),"",INDIRECT(ADDRESS(SMALL((IF($C$2:$C$25&lt;&gt;"",ROW($C$2:$C$25),ROW()+ROWS($C$2:$C$25))),ROW()-ROW($D$2:$D$25)+1),COLUMN($C$2:$C$25),4)))</f>
        <v>#REF!</v>
      </c>
      <c r="P18" s="150" t="e">
        <f t="array" aca="1" ref="P18" ca="1">IF(ROW()-ROW($E$2:$E$25)+1&gt;ROWS($D$2:$D$25)-COUNTBLANK($D$2:$D$25),"",INDIRECT(ADDRESS(SMALL((IF($D$2:$D$25&gt;"",ROW($D$2:$D$25),ROW()+ROWS($D$2:$D$25))),ROW()-ROW($E$2:$E$25)+1),COLUMN($D$2:$D$25),4)))</f>
        <v>#REF!</v>
      </c>
      <c r="Q18" s="147" t="e">
        <f t="array" aca="1" ref="Q18" ca="1">IF(ROW()-ROW($F$2:$F$25)+1&gt;ROWS($E$2:$E$25)-COUNTBLANK($E$2:$E$25),"",INDIRECT(ADDRESS(SMALL((IF($E$2:$E$25&gt;"",ROW($E$2:$E$25),ROW()+ROWS($E$2:$E$25))),ROW()-ROW($F$2:$F$25)+1),COLUMN($E$2:$E$25),4)))</f>
        <v>#REF!</v>
      </c>
      <c r="R18" s="146" t="e">
        <f t="array" aca="1" ref="R18" ca="1">IF(ROW()-ROW($G$2:$G$25)+1&gt;ROWS($F$2:$F$25)-COUNTBLANK($F$2:$F$25),"",INDIRECT(ADDRESS(SMALL((IF($F$2:$F$25&gt;"",ROW($F$2:$F$25),ROW()+ROWS($F$2:$F$25))),ROW()-ROW($G$2:$G$25)+1),COLUMN($F$2:$F$25),4)))</f>
        <v>#REF!</v>
      </c>
      <c r="S18" s="147" t="e">
        <f t="array" aca="1" ref="S18" ca="1">IF(ROW()-ROW($H$2:$H$25)+1&gt;ROWS($G$2:$G$25)-COUNTBLANK($G$2:$G$25),"",INDIRECT(ADDRESS(SMALL((IF($G$2:$G$25&lt;&gt;"",ROW($G$2:$G$25),ROW()+ROWS($G$2:$G$25))),ROW()-ROW($H$2:$H$25)+1),COLUMN($G$2:$G$25),4)))</f>
        <v>#REF!</v>
      </c>
      <c r="T18" s="145" t="e">
        <f t="array" aca="1" ref="T18" ca="1">IF(ROW()-ROW($I$2:$I$25)+1&gt;ROWS($H$2:$H$25)-COUNTBLANK($H$2:$H$25),"",INDIRECT(ADDRESS(SMALL((IF($H$2:$H$25&lt;&gt;"",ROW($H$2:$H$25),ROW()+ROWS($H$2:$H$25))),ROW()-ROW($I$2:$I$25)+1),COLUMN($H$2:$H$25),4)))</f>
        <v>#REF!</v>
      </c>
      <c r="U18" s="145" t="e">
        <f t="array" aca="1" ref="U18" ca="1">IF(ROW()-ROW($J$2:$J$25)+1&gt;ROWS($I$2:$I$25)-COUNTBLANK($I$2:$I$25),"",INDIRECT(ADDRESS(SMALL((IF($I$2:$I$25&lt;&gt;"",ROW($I$2:$I$25),ROW()+ROWS($I$2:$I$25))),ROW()-ROW($J$2:$J$25)+1),COLUMN($I$2:$I$25),4)))</f>
        <v>#REF!</v>
      </c>
      <c r="V18" s="147" t="e">
        <f t="array" aca="1" ref="V18" ca="1">IF(ROW()-ROW($K$2:$K$25)+1&gt;ROWS($J$2:$J$25)-COUNTBLANK($J$2:$J$25),"",INDIRECT(ADDRESS(SMALL((IF($J$2:$J$25&lt;&gt;"",ROW($J$2:$J$25),ROW()+ROWS($J$2:$J$25))),ROW()-ROW($K$2:$K$25)+1),COLUMN($J$2:$J$25),4)))</f>
        <v>#REF!</v>
      </c>
      <c r="W18" s="66" t="e">
        <f t="array" aca="1" ref="W18" ca="1">IF(ROW()-ROW($L$2:$L$25)+1&gt;ROWS($K$2:$K$25)-COUNTBLANK($K$2:$K$25),"",INDIRECT(ADDRESS(SMALL((IF($K$2:$K$25&lt;&gt;"",ROW($K$2:$K$25),ROW()+ROWS($K$2:$K$25))),ROW()-ROW($L$2:$L$25)+1),COLUMN($K$2:$K$25),4)))</f>
        <v>#REF!</v>
      </c>
      <c r="X18" s="150" t="e">
        <f t="array" aca="1" ref="X18" ca="1">IF(ROW()-ROW($M$2:$M$25)+1&gt;ROWS($L$2:$L$25)-COUNTBLANK($L$2:$L$25),"",INDIRECT(ADDRESS(SMALL((IF($L$2:$L$25&lt;&gt;"",ROW($L$2:$L$25),ROW()+ROWS($L$2:$L$25))),ROW()-ROW($M$2:$M$25)+1),COLUMN($L$2:$L$25),4)))</f>
        <v>#REF!</v>
      </c>
      <c r="Y18" s="150" t="e">
        <f t="array" aca="1" ref="Y18" ca="1">IF(ROW()-ROW($N$2:$N$25)+1&gt;ROWS($M$2:$M$25)-COUNTBLANK($M$2:$M$25),"",INDIRECT(ADDRESS(SMALL((IF($M$2:$M$25&lt;&gt;"",ROW($M$2:$M$25),ROW()+ROWS($M$2:$M$25))),ROW()-ROW($N$2:$N$25)+1),COLUMN($M$2:$M$25),4)))</f>
        <v>#REF!</v>
      </c>
    </row>
    <row r="19" spans="1:25" ht="22.5" customHeight="1" x14ac:dyDescent="0.25">
      <c r="A19" s="226" t="str">
        <f>IF('Indicator sheet'!P60=0,"",'Indicator sheet'!P60)</f>
        <v>Incomplete</v>
      </c>
      <c r="C19" s="301">
        <f>IF($A19="I.O.","",'Indicator sheet'!A60)</f>
        <v>17</v>
      </c>
      <c r="D19" s="320" t="str">
        <f>IF($A19="I.O.","",'Indicator sheet'!C60)</f>
        <v>Lymph node removal in the case of DCIS</v>
      </c>
      <c r="E19" s="321" t="str">
        <f>IF(AND('Indicator sheet'!J60="",$A19&lt;&gt;"I.O."),"-----",IF($A19="I.O.","",'Indicator sheet'!J60))</f>
        <v>-----</v>
      </c>
      <c r="F19" s="322" t="str">
        <f>IF($A19="I.O.","",'Indicator sheet'!K60)</f>
        <v>≤ 5%</v>
      </c>
      <c r="G19" s="321" t="str">
        <f>IF(AND('Indicator sheet'!M60="",$A19&lt;&gt;"I.O."),"-----",IF($A19="I.O.","",'Indicator sheet'!M60))</f>
        <v>-----</v>
      </c>
      <c r="H19" s="323" t="str">
        <f>IF($A19="I.O.","",IF('Indicator sheet'!O60="","-----",'Indicator sheet'!O60))</f>
        <v>-----</v>
      </c>
      <c r="I19" s="323" t="str">
        <f>IF($A19="I.O.","",IF('Indicator sheet'!O61="","-----",'Indicator sheet'!O61))</f>
        <v>-----</v>
      </c>
      <c r="J19" s="324" t="str">
        <f>IF($A19="I.O.","",IF('Indicator sheet'!O62="","-----",'Indicator sheet'!O62))</f>
        <v>n.d.</v>
      </c>
      <c r="K19" s="301" t="str">
        <f>IF($A19="I.O.","",'Indicator sheet'!P60)</f>
        <v>Incomplete</v>
      </c>
      <c r="L19" s="325" t="str">
        <f>IF(AND('Indicator sheet'!Q60="",$A19&lt;&gt;"I.O."),"-----",IF($A19="I.O.","",'Indicator sheet'!Q60))</f>
        <v>-----</v>
      </c>
      <c r="M19" s="325" t="str">
        <f>IF(AND('Indicator sheet'!R60="",$A19&lt;&gt;"I.O."),"-----",IF($A19="I.O.","",'Indicator sheet'!R60))</f>
        <v>-----</v>
      </c>
      <c r="O19" s="226" t="e">
        <f t="array" aca="1" ref="O19" ca="1">IF(ROW()-ROW($D$2:$D$25)+1&gt;ROWS($C$2:$C$25)-COUNTBLANK($C$2:$C$25),"",INDIRECT(ADDRESS(SMALL((IF($C$2:$C$25&lt;&gt;"",ROW($C$2:$C$25),ROW()+ROWS($C$2:$C$25))),ROW()-ROW($D$2:$D$25)+1),COLUMN($C$2:$C$25),4)))</f>
        <v>#REF!</v>
      </c>
      <c r="P19" s="150" t="e">
        <f t="array" aca="1" ref="P19" ca="1">IF(ROW()-ROW($E$2:$E$25)+1&gt;ROWS($D$2:$D$25)-COUNTBLANK($D$2:$D$25),"",INDIRECT(ADDRESS(SMALL((IF($D$2:$D$25&gt;"",ROW($D$2:$D$25),ROW()+ROWS($D$2:$D$25))),ROW()-ROW($E$2:$E$25)+1),COLUMN($D$2:$D$25),4)))</f>
        <v>#REF!</v>
      </c>
      <c r="Q19" s="147" t="e">
        <f t="array" aca="1" ref="Q19" ca="1">IF(ROW()-ROW($F$2:$F$25)+1&gt;ROWS($E$2:$E$25)-COUNTBLANK($E$2:$E$25),"",INDIRECT(ADDRESS(SMALL((IF($E$2:$E$25&gt;"",ROW($E$2:$E$25),ROW()+ROWS($E$2:$E$25))),ROW()-ROW($F$2:$F$25)+1),COLUMN($E$2:$E$25),4)))</f>
        <v>#REF!</v>
      </c>
      <c r="R19" s="146" t="e">
        <f t="array" aca="1" ref="R19" ca="1">IF(ROW()-ROW($G$2:$G$25)+1&gt;ROWS($F$2:$F$25)-COUNTBLANK($F$2:$F$25),"",INDIRECT(ADDRESS(SMALL((IF($F$2:$F$25&gt;"",ROW($F$2:$F$25),ROW()+ROWS($F$2:$F$25))),ROW()-ROW($G$2:$G$25)+1),COLUMN($F$2:$F$25),4)))</f>
        <v>#REF!</v>
      </c>
      <c r="S19" s="147" t="e">
        <f t="array" aca="1" ref="S19" ca="1">IF(ROW()-ROW($H$2:$H$25)+1&gt;ROWS($G$2:$G$25)-COUNTBLANK($G$2:$G$25),"",INDIRECT(ADDRESS(SMALL((IF($G$2:$G$25&lt;&gt;"",ROW($G$2:$G$25),ROW()+ROWS($G$2:$G$25))),ROW()-ROW($H$2:$H$25)+1),COLUMN($G$2:$G$25),4)))</f>
        <v>#REF!</v>
      </c>
      <c r="T19" s="145" t="e">
        <f t="array" aca="1" ref="T19" ca="1">IF(ROW()-ROW($I$2:$I$25)+1&gt;ROWS($H$2:$H$25)-COUNTBLANK($H$2:$H$25),"",INDIRECT(ADDRESS(SMALL((IF($H$2:$H$25&lt;&gt;"",ROW($H$2:$H$25),ROW()+ROWS($H$2:$H$25))),ROW()-ROW($I$2:$I$25)+1),COLUMN($H$2:$H$25),4)))</f>
        <v>#REF!</v>
      </c>
      <c r="U19" s="145" t="e">
        <f t="array" aca="1" ref="U19" ca="1">IF(ROW()-ROW($J$2:$J$25)+1&gt;ROWS($I$2:$I$25)-COUNTBLANK($I$2:$I$25),"",INDIRECT(ADDRESS(SMALL((IF($I$2:$I$25&lt;&gt;"",ROW($I$2:$I$25),ROW()+ROWS($I$2:$I$25))),ROW()-ROW($J$2:$J$25)+1),COLUMN($I$2:$I$25),4)))</f>
        <v>#REF!</v>
      </c>
      <c r="V19" s="147" t="e">
        <f t="array" aca="1" ref="V19" ca="1">IF(ROW()-ROW($K$2:$K$25)+1&gt;ROWS($J$2:$J$25)-COUNTBLANK($J$2:$J$25),"",INDIRECT(ADDRESS(SMALL((IF($J$2:$J$25&lt;&gt;"",ROW($J$2:$J$25),ROW()+ROWS($J$2:$J$25))),ROW()-ROW($K$2:$K$25)+1),COLUMN($J$2:$J$25),4)))</f>
        <v>#REF!</v>
      </c>
      <c r="W19" s="66" t="e">
        <f t="array" aca="1" ref="W19" ca="1">IF(ROW()-ROW($L$2:$L$25)+1&gt;ROWS($K$2:$K$25)-COUNTBLANK($K$2:$K$25),"",INDIRECT(ADDRESS(SMALL((IF($K$2:$K$25&lt;&gt;"",ROW($K$2:$K$25),ROW()+ROWS($K$2:$K$25))),ROW()-ROW($L$2:$L$25)+1),COLUMN($K$2:$K$25),4)))</f>
        <v>#REF!</v>
      </c>
      <c r="X19" s="150" t="e">
        <f t="array" aca="1" ref="X19" ca="1">IF(ROW()-ROW($M$2:$M$25)+1&gt;ROWS($L$2:$L$25)-COUNTBLANK($L$2:$L$25),"",INDIRECT(ADDRESS(SMALL((IF($L$2:$L$25&lt;&gt;"",ROW($L$2:$L$25),ROW()+ROWS($L$2:$L$25))),ROW()-ROW($M$2:$M$25)+1),COLUMN($L$2:$L$25),4)))</f>
        <v>#REF!</v>
      </c>
      <c r="Y19" s="150" t="e">
        <f t="array" aca="1" ref="Y19" ca="1">IF(ROW()-ROW($N$2:$N$25)+1&gt;ROWS($M$2:$M$25)-COUNTBLANK($M$2:$M$25),"",INDIRECT(ADDRESS(SMALL((IF($M$2:$M$25&lt;&gt;"",ROW($M$2:$M$25),ROW()+ROWS($M$2:$M$25))),ROW()-ROW($N$2:$N$25)+1),COLUMN($M$2:$M$25),4)))</f>
        <v>#REF!</v>
      </c>
    </row>
    <row r="20" spans="1:25" ht="22.5" customHeight="1" x14ac:dyDescent="0.25">
      <c r="A20" s="226" t="e">
        <f>IF('Indicator sheet'!#REF!=0,"",'Indicator sheet'!#REF!)</f>
        <v>#REF!</v>
      </c>
      <c r="C20" s="226" t="e">
        <f>IF($A20="I.O.","",'Indicator sheet'!#REF!)</f>
        <v>#REF!</v>
      </c>
      <c r="D20" s="149" t="e">
        <f>IF($A20="I.O.","",'Indicator sheet'!#REF!)</f>
        <v>#REF!</v>
      </c>
      <c r="E20" s="147" t="e">
        <f>IF(AND('Indicator sheet'!#REF!="",$A20&lt;&gt;"I.O."),"-----",IF($A20="I.O.","",'Indicator sheet'!#REF!))</f>
        <v>#REF!</v>
      </c>
      <c r="F20" s="146" t="e">
        <f>IF($A20="I.O.","",'Indicator sheet'!#REF!)</f>
        <v>#REF!</v>
      </c>
      <c r="G20" s="147" t="e">
        <f>IF(AND('Indicator sheet'!#REF!="",$A20&lt;&gt;"I.O."),"-----",IF($A20="I.O.","",'Indicator sheet'!#REF!))</f>
        <v>#REF!</v>
      </c>
      <c r="H20" s="145" t="e">
        <f>IF($A20="I.O.","",IF('Indicator sheet'!#REF!="","-----",'Indicator sheet'!#REF!))</f>
        <v>#REF!</v>
      </c>
      <c r="I20" s="145" t="e">
        <f>IF($A20="I.O.","",IF('Indicator sheet'!#REF!="","-----",'Indicator sheet'!#REF!))</f>
        <v>#REF!</v>
      </c>
      <c r="J20" s="144" t="e">
        <f>IF($A20="I.O.","",IF('Indicator sheet'!#REF!="",0,'Indicator sheet'!#REF!))</f>
        <v>#REF!</v>
      </c>
      <c r="K20" s="226" t="e">
        <f>IF($A20="I.O.","",'Indicator sheet'!#REF!)</f>
        <v>#REF!</v>
      </c>
      <c r="L20" s="150" t="e">
        <f>IF(AND('Indicator sheet'!#REF!="",$A20&lt;&gt;"I.O."),"-----",IF($A20="I.O.","",'Indicator sheet'!#REF!))</f>
        <v>#REF!</v>
      </c>
      <c r="M20" s="150" t="e">
        <f>IF(AND('Indicator sheet'!#REF!="",$A20&lt;&gt;"I.O."),"-----",IF($A20="I.O.","",'Indicator sheet'!#REF!))</f>
        <v>#REF!</v>
      </c>
      <c r="O20" s="226" t="e">
        <f t="array" aca="1" ref="O20" ca="1">IF(ROW()-ROW($D$2:$D$25)+1&gt;ROWS($C$2:$C$25)-COUNTBLANK($C$2:$C$25),"",INDIRECT(ADDRESS(SMALL((IF($C$2:$C$25&lt;&gt;"",ROW($C$2:$C$25),ROW()+ROWS($C$2:$C$25))),ROW()-ROW($D$2:$D$25)+1),COLUMN($C$2:$C$25),4)))</f>
        <v>#REF!</v>
      </c>
      <c r="P20" s="150" t="e">
        <f t="array" aca="1" ref="P20" ca="1">IF(ROW()-ROW($E$2:$E$25)+1&gt;ROWS($D$2:$D$25)-COUNTBLANK($D$2:$D$25),"",INDIRECT(ADDRESS(SMALL((IF($D$2:$D$25&gt;"",ROW($D$2:$D$25),ROW()+ROWS($D$2:$D$25))),ROW()-ROW($E$2:$E$25)+1),COLUMN($D$2:$D$25),4)))</f>
        <v>#REF!</v>
      </c>
      <c r="Q20" s="147" t="e">
        <f t="array" aca="1" ref="Q20" ca="1">IF(ROW()-ROW($F$2:$F$25)+1&gt;ROWS($E$2:$E$25)-COUNTBLANK($E$2:$E$25),"",INDIRECT(ADDRESS(SMALL((IF($E$2:$E$25&gt;"",ROW($E$2:$E$25),ROW()+ROWS($E$2:$E$25))),ROW()-ROW($F$2:$F$25)+1),COLUMN($E$2:$E$25),4)))</f>
        <v>#REF!</v>
      </c>
      <c r="R20" s="146" t="e">
        <f t="array" aca="1" ref="R20" ca="1">IF(ROW()-ROW($G$2:$G$25)+1&gt;ROWS($F$2:$F$25)-COUNTBLANK($F$2:$F$25),"",INDIRECT(ADDRESS(SMALL((IF($F$2:$F$25&gt;"",ROW($F$2:$F$25),ROW()+ROWS($F$2:$F$25))),ROW()-ROW($G$2:$G$25)+1),COLUMN($F$2:$F$25),4)))</f>
        <v>#REF!</v>
      </c>
      <c r="S20" s="147" t="e">
        <f t="array" aca="1" ref="S20" ca="1">IF(ROW()-ROW($H$2:$H$25)+1&gt;ROWS($G$2:$G$25)-COUNTBLANK($G$2:$G$25),"",INDIRECT(ADDRESS(SMALL((IF($G$2:$G$25&lt;&gt;"",ROW($G$2:$G$25),ROW()+ROWS($G$2:$G$25))),ROW()-ROW($H$2:$H$25)+1),COLUMN($G$2:$G$25),4)))</f>
        <v>#REF!</v>
      </c>
      <c r="T20" s="145" t="e">
        <f t="array" aca="1" ref="T20" ca="1">IF(ROW()-ROW($I$2:$I$25)+1&gt;ROWS($H$2:$H$25)-COUNTBLANK($H$2:$H$25),"",INDIRECT(ADDRESS(SMALL((IF($H$2:$H$25&lt;&gt;"",ROW($H$2:$H$25),ROW()+ROWS($H$2:$H$25))),ROW()-ROW($I$2:$I$25)+1),COLUMN($H$2:$H$25),4)))</f>
        <v>#REF!</v>
      </c>
      <c r="U20" s="145" t="e">
        <f t="array" aca="1" ref="U20" ca="1">IF(ROW()-ROW($J$2:$J$25)+1&gt;ROWS($I$2:$I$25)-COUNTBLANK($I$2:$I$25),"",INDIRECT(ADDRESS(SMALL((IF($I$2:$I$25&lt;&gt;"",ROW($I$2:$I$25),ROW()+ROWS($I$2:$I$25))),ROW()-ROW($J$2:$J$25)+1),COLUMN($I$2:$I$25),4)))</f>
        <v>#REF!</v>
      </c>
      <c r="V20" s="147" t="e">
        <f t="array" aca="1" ref="V20" ca="1">IF(ROW()-ROW($K$2:$K$25)+1&gt;ROWS($J$2:$J$25)-COUNTBLANK($J$2:$J$25),"",INDIRECT(ADDRESS(SMALL((IF($J$2:$J$25&lt;&gt;"",ROW($J$2:$J$25),ROW()+ROWS($J$2:$J$25))),ROW()-ROW($K$2:$K$25)+1),COLUMN($J$2:$J$25),4)))</f>
        <v>#REF!</v>
      </c>
      <c r="W20" s="66" t="e">
        <f t="array" aca="1" ref="W20" ca="1">IF(ROW()-ROW($L$2:$L$25)+1&gt;ROWS($K$2:$K$25)-COUNTBLANK($K$2:$K$25),"",INDIRECT(ADDRESS(SMALL((IF($K$2:$K$25&lt;&gt;"",ROW($K$2:$K$25),ROW()+ROWS($K$2:$K$25))),ROW()-ROW($L$2:$L$25)+1),COLUMN($K$2:$K$25),4)))</f>
        <v>#REF!</v>
      </c>
      <c r="X20" s="150" t="e">
        <f t="array" aca="1" ref="X20" ca="1">IF(ROW()-ROW($M$2:$M$25)+1&gt;ROWS($L$2:$L$25)-COUNTBLANK($L$2:$L$25),"",INDIRECT(ADDRESS(SMALL((IF($L$2:$L$25&lt;&gt;"",ROW($L$2:$L$25),ROW()+ROWS($L$2:$L$25))),ROW()-ROW($M$2:$M$25)+1),COLUMN($L$2:$L$25),4)))</f>
        <v>#REF!</v>
      </c>
      <c r="Y20" s="150" t="e">
        <f t="array" aca="1" ref="Y20" ca="1">IF(ROW()-ROW($N$2:$N$25)+1&gt;ROWS($M$2:$M$25)-COUNTBLANK($M$2:$M$25),"",INDIRECT(ADDRESS(SMALL((IF($M$2:$M$25&lt;&gt;"",ROW($M$2:$M$25),ROW()+ROWS($M$2:$M$25))),ROW()-ROW($N$2:$N$25)+1),COLUMN($M$2:$M$25),4)))</f>
        <v>#REF!</v>
      </c>
    </row>
    <row r="21" spans="1:25" ht="22.5" customHeight="1" x14ac:dyDescent="0.25">
      <c r="A21" s="226" t="e">
        <f>IF('Indicator sheet'!#REF!=0,"",'Indicator sheet'!#REF!)</f>
        <v>#REF!</v>
      </c>
      <c r="C21" s="301" t="e">
        <f>IF($A21="I.O.","",'Indicator sheet'!#REF!)</f>
        <v>#REF!</v>
      </c>
      <c r="D21" s="320" t="e">
        <f>IF($A21="I.O.","",'Indicator sheet'!#REF!)</f>
        <v>#REF!</v>
      </c>
      <c r="E21" s="321" t="e">
        <f>IF(AND('Indicator sheet'!#REF!="",$A21&lt;&gt;"I.O."),"-----",IF($A21="I.O.","",'Indicator sheet'!#REF!))</f>
        <v>#REF!</v>
      </c>
      <c r="F21" s="322" t="e">
        <f>IF($A21="I.O.","",'Indicator sheet'!#REF!)</f>
        <v>#REF!</v>
      </c>
      <c r="G21" s="321" t="e">
        <f>IF(AND('Indicator sheet'!#REF!="",$A21&lt;&gt;"I.O."),"-----",IF($A21="I.O.","",'Indicator sheet'!#REF!))</f>
        <v>#REF!</v>
      </c>
      <c r="H21" s="323" t="e">
        <f>IF($A21="I.O.","",IF('Indicator sheet'!#REF!="","-----",'Indicator sheet'!#REF!))</f>
        <v>#REF!</v>
      </c>
      <c r="I21" s="323" t="e">
        <f>IF($A21="I.O.","",IF('Indicator sheet'!#REF!="","-----",'Indicator sheet'!#REF!))</f>
        <v>#REF!</v>
      </c>
      <c r="J21" s="324" t="e">
        <f>IF($A21="I.O.","",IF('Indicator sheet'!#REF!="","-----",'Indicator sheet'!#REF!))</f>
        <v>#REF!</v>
      </c>
      <c r="K21" s="301" t="e">
        <f>IF($A21="I.O.","",'Indicator sheet'!#REF!)</f>
        <v>#REF!</v>
      </c>
      <c r="L21" s="325" t="e">
        <f>IF(AND('Indicator sheet'!#REF!="",$A21&lt;&gt;"I.O."),"-----",IF($A21="I.O.","",'Indicator sheet'!#REF!))</f>
        <v>#REF!</v>
      </c>
      <c r="M21" s="325" t="e">
        <f>IF(AND('Indicator sheet'!#REF!="",$A21&lt;&gt;"I.O."),"-----",IF($A21="I.O.","",'Indicator sheet'!#REF!))</f>
        <v>#REF!</v>
      </c>
      <c r="O21" s="226" t="e">
        <f t="array" aca="1" ref="O21" ca="1">IF(ROW()-ROW($D$2:$D$25)+1&gt;ROWS($C$2:$C$25)-COUNTBLANK($C$2:$C$25),"",INDIRECT(ADDRESS(SMALL((IF($C$2:$C$25&lt;&gt;"",ROW($C$2:$C$25),ROW()+ROWS($C$2:$C$25))),ROW()-ROW($D$2:$D$25)+1),COLUMN($C$2:$C$25),4)))</f>
        <v>#REF!</v>
      </c>
      <c r="P21" s="150" t="e">
        <f t="array" aca="1" ref="P21" ca="1">IF(ROW()-ROW($E$2:$E$25)+1&gt;ROWS($D$2:$D$25)-COUNTBLANK($D$2:$D$25),"",INDIRECT(ADDRESS(SMALL((IF($D$2:$D$25&gt;"",ROW($D$2:$D$25),ROW()+ROWS($D$2:$D$25))),ROW()-ROW($E$2:$E$25)+1),COLUMN($D$2:$D$25),4)))</f>
        <v>#REF!</v>
      </c>
      <c r="Q21" s="147" t="e">
        <f t="array" aca="1" ref="Q21" ca="1">IF(ROW()-ROW($F$2:$F$25)+1&gt;ROWS($E$2:$E$25)-COUNTBLANK($E$2:$E$25),"",INDIRECT(ADDRESS(SMALL((IF($E$2:$E$25&gt;"",ROW($E$2:$E$25),ROW()+ROWS($E$2:$E$25))),ROW()-ROW($F$2:$F$25)+1),COLUMN($E$2:$E$25),4)))</f>
        <v>#REF!</v>
      </c>
      <c r="R21" s="146" t="e">
        <f t="array" aca="1" ref="R21" ca="1">IF(ROW()-ROW($G$2:$G$25)+1&gt;ROWS($F$2:$F$25)-COUNTBLANK($F$2:$F$25),"",INDIRECT(ADDRESS(SMALL((IF($F$2:$F$25&gt;"",ROW($F$2:$F$25),ROW()+ROWS($F$2:$F$25))),ROW()-ROW($G$2:$G$25)+1),COLUMN($F$2:$F$25),4)))</f>
        <v>#REF!</v>
      </c>
      <c r="S21" s="147" t="e">
        <f t="array" aca="1" ref="S21" ca="1">IF(ROW()-ROW($H$2:$H$25)+1&gt;ROWS($G$2:$G$25)-COUNTBLANK($G$2:$G$25),"",INDIRECT(ADDRESS(SMALL((IF($G$2:$G$25&lt;&gt;"",ROW($G$2:$G$25),ROW()+ROWS($G$2:$G$25))),ROW()-ROW($H$2:$H$25)+1),COLUMN($G$2:$G$25),4)))</f>
        <v>#REF!</v>
      </c>
      <c r="T21" s="145" t="e">
        <f t="array" aca="1" ref="T21" ca="1">IF(ROW()-ROW($I$2:$I$25)+1&gt;ROWS($H$2:$H$25)-COUNTBLANK($H$2:$H$25),"",INDIRECT(ADDRESS(SMALL((IF($H$2:$H$25&lt;&gt;"",ROW($H$2:$H$25),ROW()+ROWS($H$2:$H$25))),ROW()-ROW($I$2:$I$25)+1),COLUMN($H$2:$H$25),4)))</f>
        <v>#REF!</v>
      </c>
      <c r="U21" s="145" t="e">
        <f t="array" aca="1" ref="U21" ca="1">IF(ROW()-ROW($J$2:$J$25)+1&gt;ROWS($I$2:$I$25)-COUNTBLANK($I$2:$I$25),"",INDIRECT(ADDRESS(SMALL((IF($I$2:$I$25&lt;&gt;"",ROW($I$2:$I$25),ROW()+ROWS($I$2:$I$25))),ROW()-ROW($J$2:$J$25)+1),COLUMN($I$2:$I$25),4)))</f>
        <v>#REF!</v>
      </c>
      <c r="V21" s="147" t="e">
        <f t="array" aca="1" ref="V21" ca="1">IF(ROW()-ROW($K$2:$K$25)+1&gt;ROWS($J$2:$J$25)-COUNTBLANK($J$2:$J$25),"",INDIRECT(ADDRESS(SMALL((IF($J$2:$J$25&lt;&gt;"",ROW($J$2:$J$25),ROW()+ROWS($J$2:$J$25))),ROW()-ROW($K$2:$K$25)+1),COLUMN($J$2:$J$25),4)))</f>
        <v>#REF!</v>
      </c>
      <c r="W21" s="66" t="e">
        <f t="array" aca="1" ref="W21" ca="1">IF(ROW()-ROW($L$2:$L$25)+1&gt;ROWS($K$2:$K$25)-COUNTBLANK($K$2:$K$25),"",INDIRECT(ADDRESS(SMALL((IF($K$2:$K$25&lt;&gt;"",ROW($K$2:$K$25),ROW()+ROWS($K$2:$K$25))),ROW()-ROW($L$2:$L$25)+1),COLUMN($K$2:$K$25),4)))</f>
        <v>#REF!</v>
      </c>
      <c r="X21" s="150" t="e">
        <f t="array" aca="1" ref="X21" ca="1">IF(ROW()-ROW($M$2:$M$25)+1&gt;ROWS($L$2:$L$25)-COUNTBLANK($L$2:$L$25),"",INDIRECT(ADDRESS(SMALL((IF($L$2:$L$25&lt;&gt;"",ROW($L$2:$L$25),ROW()+ROWS($L$2:$L$25))),ROW()-ROW($M$2:$M$25)+1),COLUMN($L$2:$L$25),4)))</f>
        <v>#REF!</v>
      </c>
      <c r="Y21" s="150" t="e">
        <f t="array" aca="1" ref="Y21" ca="1">IF(ROW()-ROW($N$2:$N$25)+1&gt;ROWS($M$2:$M$25)-COUNTBLANK($M$2:$M$25),"",INDIRECT(ADDRESS(SMALL((IF($M$2:$M$25&lt;&gt;"",ROW($M$2:$M$25),ROW()+ROWS($M$2:$M$25))),ROW()-ROW($N$2:$N$25)+1),COLUMN($M$2:$M$25),4)))</f>
        <v>#REF!</v>
      </c>
    </row>
    <row r="22" spans="1:25" ht="22.5" customHeight="1" x14ac:dyDescent="0.25">
      <c r="A22" s="226" t="e">
        <f>IF('Indicator sheet'!#REF!=0,"",'Indicator sheet'!#REF!)</f>
        <v>#REF!</v>
      </c>
      <c r="C22" s="301" t="e">
        <f>IF($A22="I.O.","",'Indicator sheet'!#REF!)</f>
        <v>#REF!</v>
      </c>
      <c r="D22" s="320" t="e">
        <f>IF($A22="I.O.","",'Indicator sheet'!#REF!)</f>
        <v>#REF!</v>
      </c>
      <c r="E22" s="321" t="e">
        <f>IF(AND('Indicator sheet'!#REF!="",$A22&lt;&gt;"I.O."),"-----",IF($A22="I.O.","",'Indicator sheet'!#REF!))</f>
        <v>#REF!</v>
      </c>
      <c r="F22" s="322" t="e">
        <f>IF($A22="I.O.","",'Indicator sheet'!#REF!)</f>
        <v>#REF!</v>
      </c>
      <c r="G22" s="321" t="e">
        <f>IF(AND('Indicator sheet'!#REF!="",$A22&lt;&gt;"I.O."),"-----",IF($A22="I.O.","",'Indicator sheet'!#REF!))</f>
        <v>#REF!</v>
      </c>
      <c r="H22" s="323" t="e">
        <f>IF($A22="I.O.","",IF('Indicator sheet'!#REF!="","-----",'Indicator sheet'!#REF!))</f>
        <v>#REF!</v>
      </c>
      <c r="I22" s="323" t="e">
        <f>IF($A22="I.O.","",IF('Indicator sheet'!#REF!="","-----",'Indicator sheet'!#REF!))</f>
        <v>#REF!</v>
      </c>
      <c r="J22" s="324" t="e">
        <f>IF($A22="I.O.","",IF('Indicator sheet'!#REF!="","-----",'Indicator sheet'!#REF!))</f>
        <v>#REF!</v>
      </c>
      <c r="K22" s="301" t="e">
        <f>IF($A22="I.O.","",'Indicator sheet'!#REF!)</f>
        <v>#REF!</v>
      </c>
      <c r="L22" s="325" t="e">
        <f>IF(AND('Indicator sheet'!#REF!="",$A22&lt;&gt;"I.O."),"-----",IF($A22="I.O.","",'Indicator sheet'!#REF!))</f>
        <v>#REF!</v>
      </c>
      <c r="M22" s="325" t="e">
        <f>IF(AND('Indicator sheet'!#REF!="",$A22&lt;&gt;"I.O."),"-----",IF($A22="I.O.","",'Indicator sheet'!#REF!))</f>
        <v>#REF!</v>
      </c>
      <c r="O22" s="226" t="e">
        <f t="array" aca="1" ref="O22" ca="1">IF(ROW()-ROW($D$2:$D$25)+1&gt;ROWS($C$2:$C$25)-COUNTBLANK($C$2:$C$25),"",INDIRECT(ADDRESS(SMALL((IF($C$2:$C$25&lt;&gt;"",ROW($C$2:$C$25),ROW()+ROWS($C$2:$C$25))),ROW()-ROW($D$2:$D$25)+1),COLUMN($C$2:$C$25),4)))</f>
        <v>#REF!</v>
      </c>
      <c r="P22" s="150" t="e">
        <f t="array" aca="1" ref="P22" ca="1">IF(ROW()-ROW($E$2:$E$25)+1&gt;ROWS($D$2:$D$25)-COUNTBLANK($D$2:$D$25),"",INDIRECT(ADDRESS(SMALL((IF($D$2:$D$25&gt;"",ROW($D$2:$D$25),ROW()+ROWS($D$2:$D$25))),ROW()-ROW($E$2:$E$25)+1),COLUMN($D$2:$D$25),4)))</f>
        <v>#REF!</v>
      </c>
      <c r="Q22" s="147" t="e">
        <f t="array" aca="1" ref="Q22" ca="1">IF(ROW()-ROW($F$2:$F$25)+1&gt;ROWS($E$2:$E$25)-COUNTBLANK($E$2:$E$25),"",INDIRECT(ADDRESS(SMALL((IF($E$2:$E$25&gt;"",ROW($E$2:$E$25),ROW()+ROWS($E$2:$E$25))),ROW()-ROW($F$2:$F$25)+1),COLUMN($E$2:$E$25),4)))</f>
        <v>#REF!</v>
      </c>
      <c r="R22" s="146" t="e">
        <f t="array" aca="1" ref="R22" ca="1">IF(ROW()-ROW($G$2:$G$25)+1&gt;ROWS($F$2:$F$25)-COUNTBLANK($F$2:$F$25),"",INDIRECT(ADDRESS(SMALL((IF($F$2:$F$25&gt;"",ROW($F$2:$F$25),ROW()+ROWS($F$2:$F$25))),ROW()-ROW($G$2:$G$25)+1),COLUMN($F$2:$F$25),4)))</f>
        <v>#REF!</v>
      </c>
      <c r="S22" s="147" t="e">
        <f t="array" aca="1" ref="S22" ca="1">IF(ROW()-ROW($H$2:$H$25)+1&gt;ROWS($G$2:$G$25)-COUNTBLANK($G$2:$G$25),"",INDIRECT(ADDRESS(SMALL((IF($G$2:$G$25&lt;&gt;"",ROW($G$2:$G$25),ROW()+ROWS($G$2:$G$25))),ROW()-ROW($H$2:$H$25)+1),COLUMN($G$2:$G$25),4)))</f>
        <v>#REF!</v>
      </c>
      <c r="T22" s="145" t="e">
        <f t="array" aca="1" ref="T22" ca="1">IF(ROW()-ROW($I$2:$I$25)+1&gt;ROWS($H$2:$H$25)-COUNTBLANK($H$2:$H$25),"",INDIRECT(ADDRESS(SMALL((IF($H$2:$H$25&lt;&gt;"",ROW($H$2:$H$25),ROW()+ROWS($H$2:$H$25))),ROW()-ROW($I$2:$I$25)+1),COLUMN($H$2:$H$25),4)))</f>
        <v>#REF!</v>
      </c>
      <c r="U22" s="145" t="e">
        <f t="array" aca="1" ref="U22" ca="1">IF(ROW()-ROW($J$2:$J$25)+1&gt;ROWS($I$2:$I$25)-COUNTBLANK($I$2:$I$25),"",INDIRECT(ADDRESS(SMALL((IF($I$2:$I$25&lt;&gt;"",ROW($I$2:$I$25),ROW()+ROWS($I$2:$I$25))),ROW()-ROW($J$2:$J$25)+1),COLUMN($I$2:$I$25),4)))</f>
        <v>#REF!</v>
      </c>
      <c r="V22" s="147" t="e">
        <f t="array" aca="1" ref="V22" ca="1">IF(ROW()-ROW($K$2:$K$25)+1&gt;ROWS($J$2:$J$25)-COUNTBLANK($J$2:$J$25),"",INDIRECT(ADDRESS(SMALL((IF($J$2:$J$25&lt;&gt;"",ROW($J$2:$J$25),ROW()+ROWS($J$2:$J$25))),ROW()-ROW($K$2:$K$25)+1),COLUMN($J$2:$J$25),4)))</f>
        <v>#REF!</v>
      </c>
      <c r="W22" s="66" t="e">
        <f t="array" aca="1" ref="W22" ca="1">IF(ROW()-ROW($L$2:$L$25)+1&gt;ROWS($K$2:$K$25)-COUNTBLANK($K$2:$K$25),"",INDIRECT(ADDRESS(SMALL((IF($K$2:$K$25&lt;&gt;"",ROW($K$2:$K$25),ROW()+ROWS($K$2:$K$25))),ROW()-ROW($L$2:$L$25)+1),COLUMN($K$2:$K$25),4)))</f>
        <v>#REF!</v>
      </c>
      <c r="X22" s="150" t="e">
        <f t="array" aca="1" ref="X22" ca="1">IF(ROW()-ROW($M$2:$M$25)+1&gt;ROWS($L$2:$L$25)-COUNTBLANK($L$2:$L$25),"",INDIRECT(ADDRESS(SMALL((IF($L$2:$L$25&lt;&gt;"",ROW($L$2:$L$25),ROW()+ROWS($L$2:$L$25))),ROW()-ROW($M$2:$M$25)+1),COLUMN($L$2:$L$25),4)))</f>
        <v>#REF!</v>
      </c>
      <c r="Y22" s="150" t="e">
        <f t="array" aca="1" ref="Y22" ca="1">IF(ROW()-ROW($N$2:$N$25)+1&gt;ROWS($M$2:$M$25)-COUNTBLANK($M$2:$M$25),"",INDIRECT(ADDRESS(SMALL((IF($M$2:$M$25&lt;&gt;"",ROW($M$2:$M$25),ROW()+ROWS($M$2:$M$25))),ROW()-ROW($N$2:$N$25)+1),COLUMN($M$2:$M$25),4)))</f>
        <v>#REF!</v>
      </c>
    </row>
    <row r="23" spans="1:25" ht="22.5" customHeight="1" x14ac:dyDescent="0.25">
      <c r="A23" s="226" t="str">
        <f>IF('Indicator sheet'!P63=0,"",'Indicator sheet'!P63)</f>
        <v>Incomplete</v>
      </c>
      <c r="C23" s="226">
        <f>IF($A23="I.O.","",'Indicator sheet'!A63)</f>
        <v>18</v>
      </c>
      <c r="D23" s="149" t="str">
        <f>IF($A23="I.O.","",'Indicator sheet'!C63)</f>
        <v>Intraoperative sample radiography / sonography</v>
      </c>
      <c r="E23" s="147" t="str">
        <f>IF(AND('Indicator sheet'!J63="",$A23&lt;&gt;"I.O."),"-----",IF($A23="I.O.","",'Indicator sheet'!J63))</f>
        <v>-----</v>
      </c>
      <c r="F23" s="146" t="str">
        <f>IF($A23="I.O.","",'Indicator sheet'!K63)</f>
        <v>≥ 95%</v>
      </c>
      <c r="G23" s="147" t="str">
        <f>IF(AND('Indicator sheet'!M63="",$A23&lt;&gt;"I.O."),"-----",IF($A23="I.O.","",'Indicator sheet'!M63))</f>
        <v>-----</v>
      </c>
      <c r="H23" s="145" t="str">
        <f>IF($A23="I.O.","",IF('Indicator sheet'!O63="","-----",'Indicator sheet'!O63))</f>
        <v>-----</v>
      </c>
      <c r="I23" s="145" t="str">
        <f>IF($A23="I.O.","",IF('Indicator sheet'!O64="","-----",'Indicator sheet'!O64))</f>
        <v>-----</v>
      </c>
      <c r="J23" s="144" t="str">
        <f>IF($A23="I.O.","",IF('Indicator sheet'!O65="",0,'Indicator sheet'!O65))</f>
        <v>n.d.</v>
      </c>
      <c r="K23" s="226" t="str">
        <f>IF($A23="I.O.","",'Indicator sheet'!P63)</f>
        <v>Incomplete</v>
      </c>
      <c r="L23" s="150" t="str">
        <f>IF(AND('Indicator sheet'!Q63="",$A23&lt;&gt;"I.O."),"-----",IF($A23="I.O.","",'Indicator sheet'!Q63))</f>
        <v>-----</v>
      </c>
      <c r="M23" s="150" t="str">
        <f>IF(AND('Indicator sheet'!R63="",$A23&lt;&gt;"I.O."),"-----",IF($A23="I.O.","",'Indicator sheet'!R63))</f>
        <v>-----</v>
      </c>
      <c r="O23" s="226" t="e">
        <f t="array" aca="1" ref="O23" ca="1">IF(ROW()-ROW($D$2:$D$25)+1&gt;ROWS($C$2:$C$25)-COUNTBLANK($C$2:$C$25),"",INDIRECT(ADDRESS(SMALL((IF($C$2:$C$25&lt;&gt;"",ROW($C$2:$C$25),ROW()+ROWS($C$2:$C$25))),ROW()-ROW($D$2:$D$25)+1),COLUMN($C$2:$C$25),4)))</f>
        <v>#REF!</v>
      </c>
      <c r="P23" s="150" t="e">
        <f t="array" aca="1" ref="P23" ca="1">IF(ROW()-ROW($E$2:$E$25)+1&gt;ROWS($D$2:$D$25)-COUNTBLANK($D$2:$D$25),"",INDIRECT(ADDRESS(SMALL((IF($D$2:$D$25&gt;"",ROW($D$2:$D$25),ROW()+ROWS($D$2:$D$25))),ROW()-ROW($E$2:$E$25)+1),COLUMN($D$2:$D$25),4)))</f>
        <v>#REF!</v>
      </c>
      <c r="Q23" s="147" t="e">
        <f t="array" aca="1" ref="Q23" ca="1">IF(ROW()-ROW($F$2:$F$25)+1&gt;ROWS($E$2:$E$25)-COUNTBLANK($E$2:$E$25),"",INDIRECT(ADDRESS(SMALL((IF($E$2:$E$25&gt;"",ROW($E$2:$E$25),ROW()+ROWS($E$2:$E$25))),ROW()-ROW($F$2:$F$25)+1),COLUMN($E$2:$E$25),4)))</f>
        <v>#REF!</v>
      </c>
      <c r="R23" s="146" t="e">
        <f t="array" aca="1" ref="R23" ca="1">IF(ROW()-ROW($G$2:$G$25)+1&gt;ROWS($F$2:$F$25)-COUNTBLANK($F$2:$F$25),"",INDIRECT(ADDRESS(SMALL((IF($F$2:$F$25&gt;"",ROW($F$2:$F$25),ROW()+ROWS($F$2:$F$25))),ROW()-ROW($G$2:$G$25)+1),COLUMN($F$2:$F$25),4)))</f>
        <v>#REF!</v>
      </c>
      <c r="S23" s="147" t="e">
        <f t="array" aca="1" ref="S23" ca="1">IF(ROW()-ROW($H$2:$H$25)+1&gt;ROWS($G$2:$G$25)-COUNTBLANK($G$2:$G$25),"",INDIRECT(ADDRESS(SMALL((IF($G$2:$G$25&lt;&gt;"",ROW($G$2:$G$25),ROW()+ROWS($G$2:$G$25))),ROW()-ROW($H$2:$H$25)+1),COLUMN($G$2:$G$25),4)))</f>
        <v>#REF!</v>
      </c>
      <c r="T23" s="145" t="e">
        <f t="array" aca="1" ref="T23" ca="1">IF(ROW()-ROW($I$2:$I$25)+1&gt;ROWS($H$2:$H$25)-COUNTBLANK($H$2:$H$25),"",INDIRECT(ADDRESS(SMALL((IF($H$2:$H$25&lt;&gt;"",ROW($H$2:$H$25),ROW()+ROWS($H$2:$H$25))),ROW()-ROW($I$2:$I$25)+1),COLUMN($H$2:$H$25),4)))</f>
        <v>#REF!</v>
      </c>
      <c r="U23" s="145" t="e">
        <f t="array" aca="1" ref="U23" ca="1">IF(ROW()-ROW($J$2:$J$25)+1&gt;ROWS($I$2:$I$25)-COUNTBLANK($I$2:$I$25),"",INDIRECT(ADDRESS(SMALL((IF($I$2:$I$25&lt;&gt;"",ROW($I$2:$I$25),ROW()+ROWS($I$2:$I$25))),ROW()-ROW($J$2:$J$25)+1),COLUMN($I$2:$I$25),4)))</f>
        <v>#REF!</v>
      </c>
      <c r="V23" s="147" t="e">
        <f t="array" aca="1" ref="V23" ca="1">IF(ROW()-ROW($K$2:$K$25)+1&gt;ROWS($J$2:$J$25)-COUNTBLANK($J$2:$J$25),"",INDIRECT(ADDRESS(SMALL((IF($J$2:$J$25&lt;&gt;"",ROW($J$2:$J$25),ROW()+ROWS($J$2:$J$25))),ROW()-ROW($K$2:$K$25)+1),COLUMN($J$2:$J$25),4)))</f>
        <v>#REF!</v>
      </c>
      <c r="W23" s="66" t="e">
        <f t="array" aca="1" ref="W23" ca="1">IF(ROW()-ROW($L$2:$L$25)+1&gt;ROWS($K$2:$K$25)-COUNTBLANK($K$2:$K$25),"",INDIRECT(ADDRESS(SMALL((IF($K$2:$K$25&lt;&gt;"",ROW($K$2:$K$25),ROW()+ROWS($K$2:$K$25))),ROW()-ROW($L$2:$L$25)+1),COLUMN($K$2:$K$25),4)))</f>
        <v>#REF!</v>
      </c>
      <c r="X23" s="150" t="e">
        <f t="array" aca="1" ref="X23" ca="1">IF(ROW()-ROW($M$2:$M$25)+1&gt;ROWS($L$2:$L$25)-COUNTBLANK($L$2:$L$25),"",INDIRECT(ADDRESS(SMALL((IF($L$2:$L$25&lt;&gt;"",ROW($L$2:$L$25),ROW()+ROWS($L$2:$L$25))),ROW()-ROW($M$2:$M$25)+1),COLUMN($L$2:$L$25),4)))</f>
        <v>#REF!</v>
      </c>
      <c r="Y23" s="150" t="e">
        <f t="array" aca="1" ref="Y23" ca="1">IF(ROW()-ROW($N$2:$N$25)+1&gt;ROWS($M$2:$M$25)-COUNTBLANK($M$2:$M$25),"",INDIRECT(ADDRESS(SMALL((IF($M$2:$M$25&lt;&gt;"",ROW($M$2:$M$25),ROW()+ROWS($M$2:$M$25))),ROW()-ROW($N$2:$N$25)+1),COLUMN($M$2:$M$25),4)))</f>
        <v>#REF!</v>
      </c>
    </row>
    <row r="24" spans="1:25" ht="22.5" customHeight="1" x14ac:dyDescent="0.25">
      <c r="A24" s="226" t="str">
        <f>IF('Indicator sheet'!P66=0,"",'Indicator sheet'!P66)</f>
        <v>Incomplete</v>
      </c>
      <c r="C24" s="226">
        <f>IF($A24="I.O.","",'Indicator sheet'!A66)</f>
        <v>19</v>
      </c>
      <c r="D24" s="149" t="str">
        <f>IF($A24="I.O.","",'Indicator sheet'!C66)</f>
        <v>Revision surgeries</v>
      </c>
      <c r="E24" s="147" t="str">
        <f>IF(AND('Indicator sheet'!J66="",$A24&lt;&gt;"I.O."),"-----",IF($A24="I.O.","",'Indicator sheet'!J66))</f>
        <v>&lt; 0.01%</v>
      </c>
      <c r="F24" s="146" t="str">
        <f>IF($A24="I.O.","",'Indicator sheet'!K66)</f>
        <v xml:space="preserve">≤ 5% </v>
      </c>
      <c r="G24" s="147" t="str">
        <f>IF(AND('Indicator sheet'!M66="",$A24&lt;&gt;"I.O."),"-----",IF($A24="I.O.","",'Indicator sheet'!M66))</f>
        <v>-----</v>
      </c>
      <c r="H24" s="145" t="str">
        <f>IF($A24="I.O.","",IF('Indicator sheet'!O66="","-----",'Indicator sheet'!O66))</f>
        <v>-----</v>
      </c>
      <c r="I24" s="145">
        <f>IF($A24="I.O.","",IF('Indicator sheet'!O67="","-----",'Indicator sheet'!O67))</f>
        <v>0</v>
      </c>
      <c r="J24" s="144" t="str">
        <f>IF($A24="I.O.","",IF('Indicator sheet'!O68="",0,'Indicator sheet'!O68))</f>
        <v>n.d.</v>
      </c>
      <c r="K24" s="226" t="str">
        <f>IF($A24="I.O.","",'Indicator sheet'!P66)</f>
        <v>Incomplete</v>
      </c>
      <c r="L24" s="150" t="str">
        <f>IF(AND('Indicator sheet'!Q66="",$A24&lt;&gt;"I.O."),"-----",IF($A24="I.O.","",'Indicator sheet'!Q66))</f>
        <v>-----</v>
      </c>
      <c r="M24" s="150" t="str">
        <f>IF(AND('Indicator sheet'!R66="",$A24&lt;&gt;"I.O."),"-----",IF($A24="I.O.","",'Indicator sheet'!R66))</f>
        <v>-----</v>
      </c>
      <c r="O24" s="226" t="e">
        <f t="array" aca="1" ref="O24" ca="1">IF(ROW()-ROW($D$2:$D$25)+1&gt;ROWS($C$2:$C$25)-COUNTBLANK($C$2:$C$25),"",INDIRECT(ADDRESS(SMALL((IF($C$2:$C$25&lt;&gt;"",ROW($C$2:$C$25),ROW()+ROWS($C$2:$C$25))),ROW()-ROW($D$2:$D$25)+1),COLUMN($C$2:$C$25),4)))</f>
        <v>#REF!</v>
      </c>
      <c r="P24" s="150" t="e">
        <f t="array" aca="1" ref="P24" ca="1">IF(ROW()-ROW($E$2:$E$25)+1&gt;ROWS($D$2:$D$25)-COUNTBLANK($D$2:$D$25),"",INDIRECT(ADDRESS(SMALL((IF($D$2:$D$25&gt;"",ROW($D$2:$D$25),ROW()+ROWS($D$2:$D$25))),ROW()-ROW($E$2:$E$25)+1),COLUMN($D$2:$D$25),4)))</f>
        <v>#REF!</v>
      </c>
      <c r="Q24" s="147" t="e">
        <f t="array" aca="1" ref="Q24" ca="1">IF(ROW()-ROW($F$2:$F$25)+1&gt;ROWS($E$2:$E$25)-COUNTBLANK($E$2:$E$25),"",INDIRECT(ADDRESS(SMALL((IF($E$2:$E$25&gt;"",ROW($E$2:$E$25),ROW()+ROWS($E$2:$E$25))),ROW()-ROW($F$2:$F$25)+1),COLUMN($E$2:$E$25),4)))</f>
        <v>#REF!</v>
      </c>
      <c r="R24" s="146" t="e">
        <f t="array" aca="1" ref="R24" ca="1">IF(ROW()-ROW($G$2:$G$25)+1&gt;ROWS($F$2:$F$25)-COUNTBLANK($F$2:$F$25),"",INDIRECT(ADDRESS(SMALL((IF($F$2:$F$25&gt;"",ROW($F$2:$F$25),ROW()+ROWS($F$2:$F$25))),ROW()-ROW($G$2:$G$25)+1),COLUMN($F$2:$F$25),4)))</f>
        <v>#REF!</v>
      </c>
      <c r="S24" s="147" t="e">
        <f t="array" aca="1" ref="S24" ca="1">IF(ROW()-ROW($H$2:$H$25)+1&gt;ROWS($G$2:$G$25)-COUNTBLANK($G$2:$G$25),"",INDIRECT(ADDRESS(SMALL((IF($G$2:$G$25&lt;&gt;"",ROW($G$2:$G$25),ROW()+ROWS($G$2:$G$25))),ROW()-ROW($H$2:$H$25)+1),COLUMN($G$2:$G$25),4)))</f>
        <v>#REF!</v>
      </c>
      <c r="T24" s="145" t="e">
        <f t="array" aca="1" ref="T24" ca="1">IF(ROW()-ROW($I$2:$I$25)+1&gt;ROWS($H$2:$H$25)-COUNTBLANK($H$2:$H$25),"",INDIRECT(ADDRESS(SMALL((IF($H$2:$H$25&lt;&gt;"",ROW($H$2:$H$25),ROW()+ROWS($H$2:$H$25))),ROW()-ROW($I$2:$I$25)+1),COLUMN($H$2:$H$25),4)))</f>
        <v>#REF!</v>
      </c>
      <c r="U24" s="145" t="e">
        <f t="array" aca="1" ref="U24" ca="1">IF(ROW()-ROW($J$2:$J$25)+1&gt;ROWS($I$2:$I$25)-COUNTBLANK($I$2:$I$25),"",INDIRECT(ADDRESS(SMALL((IF($I$2:$I$25&lt;&gt;"",ROW($I$2:$I$25),ROW()+ROWS($I$2:$I$25))),ROW()-ROW($J$2:$J$25)+1),COLUMN($I$2:$I$25),4)))</f>
        <v>#REF!</v>
      </c>
      <c r="V24" s="147" t="e">
        <f t="array" aca="1" ref="V24" ca="1">IF(ROW()-ROW($K$2:$K$25)+1&gt;ROWS($J$2:$J$25)-COUNTBLANK($J$2:$J$25),"",INDIRECT(ADDRESS(SMALL((IF($J$2:$J$25&lt;&gt;"",ROW($J$2:$J$25),ROW()+ROWS($J$2:$J$25))),ROW()-ROW($K$2:$K$25)+1),COLUMN($J$2:$J$25),4)))</f>
        <v>#REF!</v>
      </c>
      <c r="W24" s="66" t="e">
        <f t="array" aca="1" ref="W24" ca="1">IF(ROW()-ROW($L$2:$L$25)+1&gt;ROWS($K$2:$K$25)-COUNTBLANK($K$2:$K$25),"",INDIRECT(ADDRESS(SMALL((IF($K$2:$K$25&lt;&gt;"",ROW($K$2:$K$25),ROW()+ROWS($K$2:$K$25))),ROW()-ROW($L$2:$L$25)+1),COLUMN($K$2:$K$25),4)))</f>
        <v>#REF!</v>
      </c>
      <c r="X24" s="150" t="e">
        <f t="array" aca="1" ref="X24" ca="1">IF(ROW()-ROW($M$2:$M$25)+1&gt;ROWS($L$2:$L$25)-COUNTBLANK($L$2:$L$25),"",INDIRECT(ADDRESS(SMALL((IF($L$2:$L$25&lt;&gt;"",ROW($L$2:$L$25),ROW()+ROWS($L$2:$L$25))),ROW()-ROW($M$2:$M$25)+1),COLUMN($L$2:$L$25),4)))</f>
        <v>#REF!</v>
      </c>
      <c r="Y24" s="150" t="e">
        <f t="array" aca="1" ref="Y24" ca="1">IF(ROW()-ROW($N$2:$N$25)+1&gt;ROWS($M$2:$M$25)-COUNTBLANK($M$2:$M$25),"",INDIRECT(ADDRESS(SMALL((IF($M$2:$M$25&lt;&gt;"",ROW($M$2:$M$25),ROW()+ROWS($M$2:$M$25))),ROW()-ROW($N$2:$N$25)+1),COLUMN($M$2:$M$25),4)))</f>
        <v>#REF!</v>
      </c>
    </row>
    <row r="25" spans="1:25" ht="22.5" customHeight="1" x14ac:dyDescent="0.25">
      <c r="A25" s="226" t="str">
        <f>IF('Indicator sheet'!P69=0,"",'Indicator sheet'!P69)</f>
        <v>optional - incomplete</v>
      </c>
      <c r="C25" s="301" t="str">
        <f>IF($A25="I.O.","",'Indicator sheet'!A69)</f>
        <v>20
Optional</v>
      </c>
      <c r="D25" s="320" t="str">
        <f>IF($A25="I.O.","",'Indicator sheet'!C69)</f>
        <v>Application of the checklist for recording a possible hereditary predisposition to breast and/or ovarian cancer from the DKG e.V. (https://www.krebsgesellschaft.de/zertdokumente.html)</v>
      </c>
      <c r="E25" s="321" t="str">
        <f>IF(AND('Indicator sheet'!J69="",$A25&lt;&gt;"I.O."),"-----",IF($A25="I.O.","",'Indicator sheet'!J69))</f>
        <v>-----</v>
      </c>
      <c r="F25" s="322" t="str">
        <f>IF($A25="I.O.","",'Indicator sheet'!K69)</f>
        <v>≥ 95%</v>
      </c>
      <c r="G25" s="321" t="str">
        <f>IF(AND('Indicator sheet'!M69="",$A25&lt;&gt;"I.O."),"-----",IF($A25="I.O.","",'Indicator sheet'!M69))</f>
        <v>-----</v>
      </c>
      <c r="H25" s="323" t="str">
        <f>IF($A25="I.O.","",IF('Indicator sheet'!O69="","-----",'Indicator sheet'!O69))</f>
        <v>-----</v>
      </c>
      <c r="I25" s="323">
        <f>IF($A25="I.O.","",IF('Indicator sheet'!O70="","-----",'Indicator sheet'!O70))</f>
        <v>0</v>
      </c>
      <c r="J25" s="324" t="str">
        <f>IF($A25="I.O.","",IF('Indicator sheet'!O71="","-----",'Indicator sheet'!O71))</f>
        <v>n.d.</v>
      </c>
      <c r="K25" s="301" t="str">
        <f>IF($A25="I.O.","",'Indicator sheet'!P69)</f>
        <v>optional - incomplete</v>
      </c>
      <c r="L25" s="325" t="str">
        <f>IF(AND('Indicator sheet'!Q69="",$A25&lt;&gt;"I.O."),"-----",IF($A25="I.O.","",'Indicator sheet'!Q69))</f>
        <v>-----</v>
      </c>
      <c r="M25" s="325" t="str">
        <f>IF(AND('Indicator sheet'!R69="",$A25&lt;&gt;"I.O."),"-----",IF($A25="I.O.","",'Indicator sheet'!R69))</f>
        <v>-----</v>
      </c>
      <c r="O25" s="226" t="e">
        <f t="array" aca="1" ref="O25" ca="1">IF(ROW()-ROW($D$2:$D$25)+1&gt;ROWS($C$2:$C$25)-COUNTBLANK($C$2:$C$25),"",INDIRECT(ADDRESS(SMALL((IF($C$2:$C$25&lt;&gt;"",ROW($C$2:$C$25),ROW()+ROWS($C$2:$C$25))),ROW()-ROW($D$2:$D$25)+1),COLUMN($C$2:$C$25),4)))</f>
        <v>#REF!</v>
      </c>
      <c r="P25" s="150" t="e">
        <f t="array" aca="1" ref="P25" ca="1">IF(ROW()-ROW($E$2:$E$25)+1&gt;ROWS($D$2:$D$25)-COUNTBLANK($D$2:$D$25),"",INDIRECT(ADDRESS(SMALL((IF($D$2:$D$25&gt;"",ROW($D$2:$D$25),ROW()+ROWS($D$2:$D$25))),ROW()-ROW($E$2:$E$25)+1),COLUMN($D$2:$D$25),4)))</f>
        <v>#REF!</v>
      </c>
      <c r="Q25" s="147" t="e">
        <f t="array" aca="1" ref="Q25" ca="1">IF(ROW()-ROW($F$2:$F$25)+1&gt;ROWS($E$2:$E$25)-COUNTBLANK($E$2:$E$25),"",INDIRECT(ADDRESS(SMALL((IF($E$2:$E$25&gt;"",ROW($E$2:$E$25),ROW()+ROWS($E$2:$E$25))),ROW()-ROW($F$2:$F$25)+1),COLUMN($E$2:$E$25),4)))</f>
        <v>#REF!</v>
      </c>
      <c r="R25" s="146" t="e">
        <f t="array" aca="1" ref="R25" ca="1">IF(ROW()-ROW($G$2:$G$25)+1&gt;ROWS($F$2:$F$25)-COUNTBLANK($F$2:$F$25),"",INDIRECT(ADDRESS(SMALL((IF($F$2:$F$25&gt;"",ROW($F$2:$F$25),ROW()+ROWS($F$2:$F$25))),ROW()-ROW($G$2:$G$25)+1),COLUMN($F$2:$F$25),4)))</f>
        <v>#REF!</v>
      </c>
      <c r="S25" s="147" t="e">
        <f t="array" aca="1" ref="S25" ca="1">IF(ROW()-ROW($H$2:$H$25)+1&gt;ROWS($G$2:$G$25)-COUNTBLANK($G$2:$G$25),"",INDIRECT(ADDRESS(SMALL((IF($G$2:$G$25&lt;&gt;"",ROW($G$2:$G$25),ROW()+ROWS($G$2:$G$25))),ROW()-ROW($H$2:$H$25)+1),COLUMN($G$2:$G$25),4)))</f>
        <v>#REF!</v>
      </c>
      <c r="T25" s="145" t="e">
        <f t="array" aca="1" ref="T25" ca="1">IF(ROW()-ROW($I$2:$I$25)+1&gt;ROWS($H$2:$H$25)-COUNTBLANK($H$2:$H$25),"",INDIRECT(ADDRESS(SMALL((IF($H$2:$H$25&lt;&gt;"",ROW($H$2:$H$25),ROW()+ROWS($H$2:$H$25))),ROW()-ROW($I$2:$I$25)+1),COLUMN($H$2:$H$25),4)))</f>
        <v>#REF!</v>
      </c>
      <c r="U25" s="145" t="e">
        <f t="array" aca="1" ref="U25" ca="1">IF(ROW()-ROW($J$2:$J$25)+1&gt;ROWS($I$2:$I$25)-COUNTBLANK($I$2:$I$25),"",INDIRECT(ADDRESS(SMALL((IF($I$2:$I$25&lt;&gt;"",ROW($I$2:$I$25),ROW()+ROWS($I$2:$I$25))),ROW()-ROW($J$2:$J$25)+1),COLUMN($I$2:$I$25),4)))</f>
        <v>#REF!</v>
      </c>
      <c r="V25" s="147" t="e">
        <f t="array" aca="1" ref="V25" ca="1">IF(ROW()-ROW($K$2:$K$25)+1&gt;ROWS($J$2:$J$25)-COUNTBLANK($J$2:$J$25),"",INDIRECT(ADDRESS(SMALL((IF($J$2:$J$25&lt;&gt;"",ROW($J$2:$J$25),ROW()+ROWS($J$2:$J$25))),ROW()-ROW($K$2:$K$25)+1),COLUMN($J$2:$J$25),4)))</f>
        <v>#REF!</v>
      </c>
      <c r="W25" s="66" t="e">
        <f t="array" aca="1" ref="W25" ca="1">IF(ROW()-ROW($L$2:$L$25)+1&gt;ROWS($K$2:$K$25)-COUNTBLANK($K$2:$K$25),"",INDIRECT(ADDRESS(SMALL((IF($K$2:$K$25&lt;&gt;"",ROW($K$2:$K$25),ROW()+ROWS($K$2:$K$25))),ROW()-ROW($L$2:$L$25)+1),COLUMN($K$2:$K$25),4)))</f>
        <v>#REF!</v>
      </c>
      <c r="X25" s="150" t="e">
        <f t="array" aca="1" ref="X25" ca="1">IF(ROW()-ROW($M$2:$M$25)+1&gt;ROWS($L$2:$L$25)-COUNTBLANK($L$2:$L$25),"",INDIRECT(ADDRESS(SMALL((IF($L$2:$L$25&lt;&gt;"",ROW($L$2:$L$25),ROW()+ROWS($L$2:$L$25))),ROW()-ROW($M$2:$M$25)+1),COLUMN($L$2:$L$25),4)))</f>
        <v>#REF!</v>
      </c>
      <c r="Y25" s="150" t="e">
        <f t="array" aca="1" ref="Y25" ca="1">IF(ROW()-ROW($N$2:$N$25)+1&gt;ROWS($M$2:$M$25)-COUNTBLANK($M$2:$M$25),"",INDIRECT(ADDRESS(SMALL((IF($M$2:$M$25&lt;&gt;"",ROW($M$2:$M$25),ROW()+ROWS($M$2:$M$25))),ROW()-ROW($N$2:$N$25)+1),COLUMN($M$2:$M$25),4)))</f>
        <v>#REF!</v>
      </c>
    </row>
    <row r="26" spans="1:25" x14ac:dyDescent="0.25">
      <c r="P26" s="154"/>
      <c r="X26" s="154"/>
      <c r="Y26" s="154"/>
    </row>
    <row r="27" spans="1:25" x14ac:dyDescent="0.25">
      <c r="P27" s="154"/>
      <c r="X27" s="154"/>
      <c r="Y27" s="154"/>
    </row>
    <row r="28" spans="1:25" x14ac:dyDescent="0.25">
      <c r="P28" s="154"/>
      <c r="X28" s="154"/>
      <c r="Y28" s="154"/>
    </row>
    <row r="29" spans="1:25" x14ac:dyDescent="0.25">
      <c r="P29" s="154"/>
      <c r="X29" s="154"/>
      <c r="Y29" s="154"/>
    </row>
    <row r="30" spans="1:25" x14ac:dyDescent="0.25">
      <c r="P30" s="154"/>
      <c r="X30" s="154"/>
      <c r="Y30" s="154"/>
    </row>
    <row r="31" spans="1:25" x14ac:dyDescent="0.25">
      <c r="P31" s="154"/>
      <c r="X31" s="154"/>
      <c r="Y31" s="154"/>
    </row>
    <row r="32" spans="1:25" x14ac:dyDescent="0.25">
      <c r="P32" s="154"/>
      <c r="X32" s="154"/>
      <c r="Y32" s="154"/>
    </row>
    <row r="33" spans="16:25" x14ac:dyDescent="0.25">
      <c r="P33" s="154"/>
      <c r="X33" s="154"/>
      <c r="Y33" s="154"/>
    </row>
    <row r="34" spans="16:25" x14ac:dyDescent="0.25">
      <c r="P34" s="154"/>
      <c r="X34" s="154"/>
      <c r="Y34" s="154"/>
    </row>
    <row r="35" spans="16:25" x14ac:dyDescent="0.25">
      <c r="P35" s="154"/>
      <c r="X35" s="154"/>
      <c r="Y35" s="154"/>
    </row>
    <row r="36" spans="16:25" x14ac:dyDescent="0.25">
      <c r="P36" s="154"/>
      <c r="X36" s="154"/>
      <c r="Y36" s="154"/>
    </row>
    <row r="37" spans="16:25" x14ac:dyDescent="0.25">
      <c r="P37" s="154"/>
      <c r="X37" s="154"/>
      <c r="Y37" s="154"/>
    </row>
    <row r="38" spans="16:25" x14ac:dyDescent="0.25">
      <c r="P38" s="154"/>
      <c r="X38" s="154"/>
      <c r="Y38" s="154"/>
    </row>
    <row r="39" spans="16:25" x14ac:dyDescent="0.25">
      <c r="P39" s="154"/>
      <c r="X39" s="154"/>
      <c r="Y39" s="154"/>
    </row>
    <row r="40" spans="16:25" x14ac:dyDescent="0.25">
      <c r="P40" s="154"/>
      <c r="X40" s="154"/>
      <c r="Y40" s="154"/>
    </row>
  </sheetData>
  <phoneticPr fontId="33" type="noConversion"/>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7"/>
  <dimension ref="A1:AI100"/>
  <sheetViews>
    <sheetView showGridLines="0" showRuler="0" topLeftCell="A14" zoomScaleNormal="100" workbookViewId="0">
      <selection activeCell="D20" sqref="D20"/>
    </sheetView>
  </sheetViews>
  <sheetFormatPr defaultColWidth="9" defaultRowHeight="14.25" x14ac:dyDescent="0.2"/>
  <cols>
    <col min="1" max="1" width="8" style="1" customWidth="1"/>
    <col min="2" max="2" width="4.28515625" style="1" customWidth="1"/>
    <col min="3" max="3" width="4.5703125" style="1" customWidth="1"/>
    <col min="4" max="11" width="4.42578125" style="1" customWidth="1"/>
    <col min="12" max="12" width="0.42578125" style="1" customWidth="1"/>
    <col min="13" max="17" width="4.42578125" style="1" customWidth="1"/>
    <col min="18" max="18" width="8.85546875" style="1" customWidth="1"/>
    <col min="19" max="19" width="0.42578125" style="1" customWidth="1"/>
    <col min="20" max="20" width="4.85546875" style="1" customWidth="1"/>
    <col min="21" max="30" width="4.7109375" style="1" customWidth="1"/>
    <col min="31" max="31" width="4.7109375" style="10" customWidth="1"/>
    <col min="32" max="32" width="8" style="1" customWidth="1"/>
    <col min="33" max="35" width="4.5703125" style="1" hidden="1" customWidth="1"/>
    <col min="36" max="223" width="11.42578125" style="1" customWidth="1"/>
    <col min="224" max="16384" width="9" style="1"/>
  </cols>
  <sheetData>
    <row r="1" spans="1:31" ht="6" customHeight="1" x14ac:dyDescent="0.2">
      <c r="C1" s="23"/>
      <c r="N1" s="11"/>
      <c r="O1" s="11"/>
      <c r="P1" s="11"/>
      <c r="Q1" s="11"/>
      <c r="R1" s="11"/>
      <c r="S1" s="11"/>
      <c r="T1" s="11"/>
      <c r="U1" s="11"/>
      <c r="V1" s="11"/>
      <c r="W1" s="11"/>
    </row>
    <row r="2" spans="1:31" ht="12.95" customHeight="1" x14ac:dyDescent="0.2">
      <c r="A2" s="9" t="str">
        <f>'Basic data'!A2</f>
        <v>Annex CR Version N1.1 (Audit year 2026 / Indicator year 2025)</v>
      </c>
      <c r="G2" s="32"/>
      <c r="H2" s="32"/>
      <c r="I2" s="32"/>
      <c r="J2" s="32"/>
      <c r="K2" s="32"/>
      <c r="N2" s="11"/>
      <c r="O2" s="11"/>
      <c r="P2" s="11"/>
      <c r="Q2" s="11"/>
      <c r="R2" s="11"/>
      <c r="S2" s="11"/>
      <c r="T2" s="11"/>
      <c r="U2" s="11"/>
      <c r="V2" s="11"/>
      <c r="W2" s="11"/>
    </row>
    <row r="3" spans="1:31" ht="15.75" customHeight="1" x14ac:dyDescent="0.25">
      <c r="A3" s="14" t="s">
        <v>262</v>
      </c>
      <c r="N3" s="11"/>
      <c r="O3" s="11"/>
      <c r="P3" s="11"/>
      <c r="Q3" s="11"/>
      <c r="R3" s="11"/>
      <c r="S3" s="11"/>
      <c r="T3" s="11"/>
      <c r="U3" s="11"/>
      <c r="W3" s="12"/>
      <c r="X3" s="12"/>
      <c r="Y3" s="12"/>
      <c r="Z3" s="12"/>
    </row>
    <row r="4" spans="1:31" ht="9.75" customHeight="1" x14ac:dyDescent="0.25">
      <c r="A4" s="14"/>
      <c r="N4" s="11"/>
      <c r="O4" s="11"/>
      <c r="P4" s="11"/>
      <c r="Q4" s="11"/>
      <c r="R4" s="11"/>
      <c r="S4" s="11"/>
      <c r="T4" s="11"/>
      <c r="U4" s="11"/>
      <c r="W4" s="12"/>
      <c r="X4" s="12"/>
      <c r="Y4" s="12"/>
      <c r="Z4" s="12"/>
    </row>
    <row r="5" spans="1:31" s="17" customFormat="1" ht="15" customHeight="1" x14ac:dyDescent="0.2">
      <c r="A5" s="20" t="s">
        <v>246</v>
      </c>
      <c r="C5" s="735" t="str">
        <f>IF('Basic data'!C8=0,"",'Basic data'!C8)</f>
        <v>-----</v>
      </c>
      <c r="D5" s="736"/>
      <c r="E5" s="736"/>
      <c r="F5" s="736"/>
      <c r="G5" s="736"/>
      <c r="H5" s="736"/>
      <c r="I5" s="736"/>
      <c r="J5" s="736"/>
      <c r="K5" s="736"/>
      <c r="L5" s="736"/>
      <c r="M5" s="736"/>
      <c r="N5" s="736"/>
      <c r="O5" s="736"/>
      <c r="P5" s="736"/>
      <c r="Q5" s="736"/>
      <c r="R5" s="808"/>
      <c r="S5" s="157"/>
      <c r="AE5" s="9"/>
    </row>
    <row r="6" spans="1:31" s="17" customFormat="1" ht="6.95" customHeight="1" x14ac:dyDescent="0.2">
      <c r="A6" s="4"/>
      <c r="C6" s="1"/>
      <c r="D6" s="1"/>
      <c r="E6" s="1"/>
      <c r="G6" s="1"/>
      <c r="J6" s="13"/>
      <c r="K6" s="15"/>
      <c r="L6" s="15"/>
      <c r="M6" s="16"/>
      <c r="N6" s="16"/>
      <c r="O6" s="16"/>
      <c r="AE6" s="9"/>
    </row>
    <row r="7" spans="1:31" s="17" customFormat="1" ht="15" customHeight="1" x14ac:dyDescent="0.25">
      <c r="A7" s="18" t="s">
        <v>193</v>
      </c>
      <c r="C7" s="809" t="str">
        <f>IF('Basic data'!C6=0,"",'Basic data'!C6)</f>
        <v>Not listed</v>
      </c>
      <c r="D7" s="810"/>
      <c r="E7" s="811"/>
      <c r="G7" s="157"/>
      <c r="H7" s="157"/>
      <c r="I7" s="157"/>
      <c r="J7" s="157"/>
      <c r="K7" s="42" t="s">
        <v>191</v>
      </c>
      <c r="L7" s="21"/>
      <c r="N7" s="16"/>
      <c r="O7" s="812" t="str">
        <f>IF('Basic data'!K12=0,"",'Basic data'!K12)</f>
        <v/>
      </c>
      <c r="P7" s="812"/>
      <c r="Q7" s="812"/>
      <c r="R7" s="812"/>
      <c r="S7"/>
      <c r="AE7" s="9"/>
    </row>
    <row r="8" spans="1:31" s="17" customFormat="1" ht="4.5" customHeight="1" x14ac:dyDescent="0.2">
      <c r="B8" s="18"/>
      <c r="C8" s="19"/>
      <c r="D8" s="1"/>
      <c r="F8" s="1"/>
      <c r="G8" s="1"/>
      <c r="H8" s="1"/>
      <c r="I8" s="1"/>
      <c r="J8" s="1"/>
      <c r="L8" s="21"/>
      <c r="N8" s="16"/>
      <c r="O8" s="16"/>
      <c r="P8" s="1"/>
      <c r="Q8" s="1"/>
      <c r="R8" s="1"/>
      <c r="AE8" s="9"/>
    </row>
    <row r="9" spans="1:31" s="17" customFormat="1" ht="4.5" customHeight="1" x14ac:dyDescent="0.2">
      <c r="B9" s="18"/>
      <c r="C9" s="19"/>
      <c r="D9" s="1"/>
      <c r="F9" s="1"/>
      <c r="G9" s="1"/>
      <c r="H9" s="1"/>
      <c r="I9" s="1"/>
      <c r="J9" s="1"/>
      <c r="L9" s="21"/>
      <c r="N9" s="16"/>
      <c r="O9" s="16"/>
      <c r="P9" s="1"/>
      <c r="Q9" s="1"/>
      <c r="R9" s="1"/>
      <c r="AE9" s="9"/>
    </row>
    <row r="10" spans="1:31" ht="3" customHeight="1" x14ac:dyDescent="0.2">
      <c r="M10" s="17"/>
    </row>
    <row r="11" spans="1:31" ht="16.5" customHeight="1" x14ac:dyDescent="0.2">
      <c r="A11" s="156" t="s">
        <v>209</v>
      </c>
    </row>
    <row r="12" spans="1:31" ht="11.25" customHeight="1" x14ac:dyDescent="0.2">
      <c r="A12" s="813" t="str">
        <f>IF(OR(A13="",A13="Matrix kann eingereicht werden"),"In Ordnung",IF(A13="die inkorrekten und unvollständigen Einträge beheben","Nicht in Ordnung"))</f>
        <v>In Ordnung</v>
      </c>
      <c r="B12" s="814"/>
      <c r="C12" s="814"/>
      <c r="D12" s="814"/>
      <c r="E12" s="814"/>
      <c r="F12" s="815"/>
      <c r="G12" s="833" t="s">
        <v>192</v>
      </c>
      <c r="H12" s="834"/>
      <c r="I12" s="834"/>
      <c r="J12" s="834"/>
      <c r="K12" s="834"/>
      <c r="L12" s="835"/>
      <c r="M12" s="781" t="s">
        <v>124</v>
      </c>
      <c r="N12" s="782"/>
      <c r="O12" s="782"/>
      <c r="P12" s="782"/>
      <c r="Q12" s="782"/>
      <c r="R12" s="783"/>
      <c r="S12" s="836" t="s">
        <v>202</v>
      </c>
      <c r="T12" s="837"/>
      <c r="U12" s="837"/>
      <c r="V12" s="837"/>
      <c r="W12" s="837"/>
      <c r="X12" s="837"/>
      <c r="Y12" s="838"/>
      <c r="Z12" s="836" t="s">
        <v>309</v>
      </c>
      <c r="AA12" s="837"/>
      <c r="AB12" s="837"/>
      <c r="AC12" s="837"/>
      <c r="AD12" s="837"/>
      <c r="AE12" s="838"/>
    </row>
    <row r="13" spans="1:31" ht="22.5" customHeight="1" x14ac:dyDescent="0.2">
      <c r="A13" s="816" t="str">
        <f>Berechnung2!$B$5</f>
        <v/>
      </c>
      <c r="B13" s="817"/>
      <c r="C13" s="817"/>
      <c r="D13" s="817"/>
      <c r="E13" s="817"/>
      <c r="F13" s="818"/>
      <c r="G13" s="784">
        <f>Berechnung2!$C$5</f>
        <v>0</v>
      </c>
      <c r="H13" s="785"/>
      <c r="I13" s="785"/>
      <c r="J13" s="785"/>
      <c r="K13" s="785"/>
      <c r="L13" s="786"/>
      <c r="M13" s="828">
        <f>Berechnung2!$D$5</f>
        <v>0</v>
      </c>
      <c r="N13" s="829"/>
      <c r="O13" s="829"/>
      <c r="P13" s="829"/>
      <c r="Q13" s="829"/>
      <c r="R13" s="830"/>
      <c r="S13" s="819">
        <f>Berechnung2!$E$5</f>
        <v>0</v>
      </c>
      <c r="T13" s="820"/>
      <c r="U13" s="820"/>
      <c r="V13" s="820"/>
      <c r="W13" s="820"/>
      <c r="X13" s="820"/>
      <c r="Y13" s="821"/>
      <c r="Z13" s="819">
        <f>Berechnung2!$F$5</f>
        <v>0</v>
      </c>
      <c r="AA13" s="820"/>
      <c r="AB13" s="820"/>
      <c r="AC13" s="820"/>
      <c r="AD13" s="820"/>
      <c r="AE13" s="821"/>
    </row>
    <row r="14" spans="1:31" s="17" customFormat="1" ht="9.75" customHeight="1" thickBot="1" x14ac:dyDescent="0.25">
      <c r="B14" s="4"/>
      <c r="C14" s="8"/>
      <c r="D14" s="8"/>
      <c r="E14" s="8"/>
      <c r="F14" s="8"/>
      <c r="G14" s="8"/>
      <c r="H14" s="8"/>
      <c r="I14" s="15"/>
      <c r="J14" s="22"/>
      <c r="K14" s="15"/>
      <c r="AE14" s="9"/>
    </row>
    <row r="15" spans="1:31" ht="25.5" customHeight="1" thickBot="1" x14ac:dyDescent="0.25">
      <c r="A15" s="213"/>
      <c r="B15" s="802" t="s">
        <v>308</v>
      </c>
      <c r="C15" s="803"/>
      <c r="D15" s="803"/>
      <c r="E15" s="803"/>
      <c r="F15" s="803"/>
      <c r="G15" s="803"/>
      <c r="H15" s="803"/>
      <c r="I15" s="803"/>
      <c r="J15" s="803"/>
      <c r="K15" s="804"/>
      <c r="L15" s="799"/>
      <c r="M15" s="796" t="s">
        <v>198</v>
      </c>
      <c r="N15" s="797"/>
      <c r="O15" s="797"/>
      <c r="P15" s="797"/>
      <c r="Q15" s="797"/>
      <c r="R15" s="797"/>
      <c r="S15" s="797"/>
      <c r="T15" s="797"/>
      <c r="U15" s="797"/>
      <c r="V15" s="797"/>
      <c r="W15" s="797"/>
      <c r="X15" s="797"/>
      <c r="Y15" s="797"/>
      <c r="Z15" s="797"/>
      <c r="AA15" s="797"/>
      <c r="AB15" s="797"/>
      <c r="AC15" s="797"/>
      <c r="AD15" s="797"/>
      <c r="AE15" s="798"/>
    </row>
    <row r="16" spans="1:31" ht="12" customHeight="1" thickBot="1" x14ac:dyDescent="0.25">
      <c r="A16" s="214" t="s">
        <v>243</v>
      </c>
      <c r="B16" s="215" t="s">
        <v>103</v>
      </c>
      <c r="C16" s="216" t="s">
        <v>125</v>
      </c>
      <c r="D16" s="209" t="s">
        <v>126</v>
      </c>
      <c r="E16" s="209" t="s">
        <v>127</v>
      </c>
      <c r="F16" s="209" t="s">
        <v>128</v>
      </c>
      <c r="G16" s="209" t="s">
        <v>129</v>
      </c>
      <c r="H16" s="209" t="s">
        <v>130</v>
      </c>
      <c r="I16" s="209" t="s">
        <v>131</v>
      </c>
      <c r="J16" s="209" t="s">
        <v>195</v>
      </c>
      <c r="K16" s="228" t="s">
        <v>35</v>
      </c>
      <c r="L16" s="800"/>
      <c r="M16" s="208" t="s">
        <v>39</v>
      </c>
      <c r="N16" s="209" t="s">
        <v>132</v>
      </c>
      <c r="O16" s="209" t="s">
        <v>133</v>
      </c>
      <c r="P16" s="209" t="s">
        <v>134</v>
      </c>
      <c r="Q16" s="209" t="s">
        <v>135</v>
      </c>
      <c r="R16" s="210" t="s">
        <v>169</v>
      </c>
      <c r="S16" s="805"/>
      <c r="T16" s="208" t="s">
        <v>136</v>
      </c>
      <c r="U16" s="209" t="s">
        <v>137</v>
      </c>
      <c r="V16" s="209" t="s">
        <v>138</v>
      </c>
      <c r="W16" s="209" t="s">
        <v>139</v>
      </c>
      <c r="X16" s="209" t="s">
        <v>140</v>
      </c>
      <c r="Y16" s="209" t="s">
        <v>141</v>
      </c>
      <c r="Z16" s="209" t="s">
        <v>142</v>
      </c>
      <c r="AA16" s="209" t="s">
        <v>196</v>
      </c>
      <c r="AB16" s="209" t="s">
        <v>218</v>
      </c>
      <c r="AC16" s="209" t="s">
        <v>41</v>
      </c>
      <c r="AD16" s="209" t="s">
        <v>197</v>
      </c>
      <c r="AE16" s="210" t="s">
        <v>219</v>
      </c>
    </row>
    <row r="17" spans="1:35" ht="23.25" customHeight="1" x14ac:dyDescent="0.2">
      <c r="A17" s="859" t="s">
        <v>156</v>
      </c>
      <c r="B17" s="787" t="s">
        <v>143</v>
      </c>
      <c r="C17" s="839" t="s">
        <v>341</v>
      </c>
      <c r="D17" s="789" t="s">
        <v>42</v>
      </c>
      <c r="E17" s="789" t="s">
        <v>43</v>
      </c>
      <c r="F17" s="789" t="s">
        <v>44</v>
      </c>
      <c r="G17" s="789" t="s">
        <v>45</v>
      </c>
      <c r="H17" s="789" t="s">
        <v>46</v>
      </c>
      <c r="I17" s="789" t="s">
        <v>36</v>
      </c>
      <c r="J17" s="789" t="s">
        <v>37</v>
      </c>
      <c r="K17" s="793" t="s">
        <v>38</v>
      </c>
      <c r="L17" s="800"/>
      <c r="M17" s="791" t="s">
        <v>47</v>
      </c>
      <c r="N17" s="789" t="s">
        <v>342</v>
      </c>
      <c r="O17" s="789" t="s">
        <v>343</v>
      </c>
      <c r="P17" s="789" t="s">
        <v>344</v>
      </c>
      <c r="Q17" s="789" t="s">
        <v>40</v>
      </c>
      <c r="R17" s="831" t="s">
        <v>2</v>
      </c>
      <c r="S17" s="806"/>
      <c r="T17" s="787" t="s">
        <v>49</v>
      </c>
      <c r="U17" s="822" t="s">
        <v>305</v>
      </c>
      <c r="V17" s="822"/>
      <c r="W17" s="822"/>
      <c r="X17" s="822"/>
      <c r="Y17" s="822"/>
      <c r="Z17" s="824" t="s">
        <v>295</v>
      </c>
      <c r="AA17" s="824"/>
      <c r="AB17" s="824"/>
      <c r="AC17" s="824"/>
      <c r="AD17" s="824"/>
      <c r="AE17" s="881" t="s">
        <v>300</v>
      </c>
    </row>
    <row r="18" spans="1:35" ht="96" customHeight="1" x14ac:dyDescent="0.2">
      <c r="A18" s="860"/>
      <c r="B18" s="788"/>
      <c r="C18" s="840"/>
      <c r="D18" s="790"/>
      <c r="E18" s="790"/>
      <c r="F18" s="790"/>
      <c r="G18" s="790"/>
      <c r="H18" s="790"/>
      <c r="I18" s="795"/>
      <c r="J18" s="790"/>
      <c r="K18" s="794"/>
      <c r="L18" s="800"/>
      <c r="M18" s="792"/>
      <c r="N18" s="790"/>
      <c r="O18" s="790"/>
      <c r="P18" s="790"/>
      <c r="Q18" s="790"/>
      <c r="R18" s="832"/>
      <c r="S18" s="806"/>
      <c r="T18" s="788"/>
      <c r="U18" s="826" t="s">
        <v>306</v>
      </c>
      <c r="V18" s="211" t="s">
        <v>298</v>
      </c>
      <c r="W18" s="211" t="s">
        <v>299</v>
      </c>
      <c r="X18" s="211" t="s">
        <v>296</v>
      </c>
      <c r="Y18" s="211" t="s">
        <v>297</v>
      </c>
      <c r="Z18" s="827" t="s">
        <v>307</v>
      </c>
      <c r="AA18" s="212" t="s">
        <v>298</v>
      </c>
      <c r="AB18" s="212" t="s">
        <v>299</v>
      </c>
      <c r="AC18" s="212" t="s">
        <v>296</v>
      </c>
      <c r="AD18" s="212" t="s">
        <v>304</v>
      </c>
      <c r="AE18" s="882"/>
      <c r="AH18" s="162"/>
    </row>
    <row r="19" spans="1:35" ht="24.75" customHeight="1" x14ac:dyDescent="0.2">
      <c r="A19" s="860"/>
      <c r="B19" s="788"/>
      <c r="C19" s="789"/>
      <c r="D19" s="790"/>
      <c r="E19" s="790"/>
      <c r="F19" s="790"/>
      <c r="G19" s="790"/>
      <c r="H19" s="790"/>
      <c r="I19" s="795"/>
      <c r="J19" s="790"/>
      <c r="K19" s="794"/>
      <c r="L19" s="800"/>
      <c r="M19" s="792"/>
      <c r="N19" s="790"/>
      <c r="O19" s="790"/>
      <c r="P19" s="790"/>
      <c r="Q19" s="790"/>
      <c r="R19" s="832"/>
      <c r="S19" s="806"/>
      <c r="T19" s="788"/>
      <c r="U19" s="826"/>
      <c r="V19" s="823" t="s">
        <v>48</v>
      </c>
      <c r="W19" s="823"/>
      <c r="X19" s="823"/>
      <c r="Y19" s="823"/>
      <c r="Z19" s="827"/>
      <c r="AA19" s="825" t="s">
        <v>48</v>
      </c>
      <c r="AB19" s="825"/>
      <c r="AC19" s="825"/>
      <c r="AD19" s="825"/>
      <c r="AE19" s="882"/>
      <c r="AG19" s="190" t="s">
        <v>137</v>
      </c>
      <c r="AH19" s="190" t="s">
        <v>142</v>
      </c>
      <c r="AI19" s="190" t="s">
        <v>219</v>
      </c>
    </row>
    <row r="20" spans="1:35" ht="15.95" customHeight="1" x14ac:dyDescent="0.2">
      <c r="A20" s="195" t="str">
        <f>IF(Datenquelle!$F$3&gt;11,IF(Datenquelle!$F$3=12,"EZ",IF(Datenquelle!$F$3&gt;12,"relevant","?")),"nicht relevant")</f>
        <v>nicht relevant</v>
      </c>
      <c r="B20" s="197">
        <v>2008</v>
      </c>
      <c r="C20" s="217">
        <f>SUM(D20:K20)</f>
        <v>0</v>
      </c>
      <c r="D20" s="159"/>
      <c r="E20" s="159"/>
      <c r="F20" s="159"/>
      <c r="G20" s="159"/>
      <c r="H20" s="159"/>
      <c r="I20" s="159"/>
      <c r="J20" s="159"/>
      <c r="K20" s="229"/>
      <c r="L20" s="800"/>
      <c r="M20" s="199"/>
      <c r="N20" s="158">
        <f t="shared" ref="N20" si="0">C20-M20</f>
        <v>0</v>
      </c>
      <c r="O20" s="159"/>
      <c r="P20" s="159"/>
      <c r="Q20" s="158">
        <f t="shared" ref="Q20" si="1">IF(N20="","",IF(OR(O20="",P20=""),0,N20-O20-P20))</f>
        <v>0</v>
      </c>
      <c r="R20" s="200" t="str">
        <f t="shared" ref="R20" si="2">IF(OR(N20=0,N20=""),"",IF(AND(N20&gt;0,Q20&gt;=0,O20&lt;&gt;"",P20&lt;&gt;""),SUM(O20:P20) /N20,""))</f>
        <v/>
      </c>
      <c r="S20" s="806"/>
      <c r="T20" s="204">
        <f t="shared" ref="T20" si="3">IF(COUNTA(U20:AE20)&lt;11,0,(SUM(O20+P20-U20-Z20-AE20)))</f>
        <v>0</v>
      </c>
      <c r="U20" s="163"/>
      <c r="V20" s="159"/>
      <c r="W20" s="159"/>
      <c r="X20" s="159"/>
      <c r="Y20" s="159"/>
      <c r="Z20" s="159"/>
      <c r="AA20" s="159"/>
      <c r="AB20" s="159"/>
      <c r="AC20" s="159"/>
      <c r="AD20" s="159"/>
      <c r="AE20" s="193"/>
      <c r="AG20" s="191"/>
      <c r="AH20" s="191"/>
      <c r="AI20" s="191"/>
    </row>
    <row r="21" spans="1:35" ht="15.95" customHeight="1" x14ac:dyDescent="0.2">
      <c r="A21" s="195" t="str">
        <f>IF(Datenquelle!$F$3&gt;10,IF(Datenquelle!$F$3=11,"EZ",IF(Datenquelle!$F$3&gt;11,"relevant","?")),"nicht relevant")</f>
        <v>nicht relevant</v>
      </c>
      <c r="B21" s="197">
        <v>2009</v>
      </c>
      <c r="C21" s="217">
        <f>SUM(D21:K21)</f>
        <v>0</v>
      </c>
      <c r="D21" s="159"/>
      <c r="E21" s="159"/>
      <c r="F21" s="159"/>
      <c r="G21" s="159"/>
      <c r="H21" s="159"/>
      <c r="I21" s="159"/>
      <c r="J21" s="159"/>
      <c r="K21" s="229"/>
      <c r="L21" s="800"/>
      <c r="M21" s="199"/>
      <c r="N21" s="158">
        <f t="shared" ref="N21:N29" si="4">C21-M21</f>
        <v>0</v>
      </c>
      <c r="O21" s="159"/>
      <c r="P21" s="159"/>
      <c r="Q21" s="158">
        <f t="shared" ref="Q21:Q29" si="5">IF(N21="","",IF(OR(O21="",P21=""),0,N21-O21-P21))</f>
        <v>0</v>
      </c>
      <c r="R21" s="200" t="str">
        <f t="shared" ref="R21:R29" si="6">IF(OR(N21=0,N21=""),"",IF(AND(N21&gt;0,Q21&gt;=0,O21&lt;&gt;"",P21&lt;&gt;""),SUM(O21:P21) /N21,""))</f>
        <v/>
      </c>
      <c r="S21" s="806"/>
      <c r="T21" s="204">
        <f t="shared" ref="T21:T29" si="7">IF(COUNTA(U21:AE21)&lt;11,0,(SUM(O21+P21-U21-Z21-AE21)))</f>
        <v>0</v>
      </c>
      <c r="U21" s="163"/>
      <c r="V21" s="159"/>
      <c r="W21" s="159"/>
      <c r="X21" s="159"/>
      <c r="Y21" s="159"/>
      <c r="Z21" s="159"/>
      <c r="AA21" s="159"/>
      <c r="AB21" s="159"/>
      <c r="AC21" s="159"/>
      <c r="AD21" s="159"/>
      <c r="AE21" s="193"/>
      <c r="AG21" s="191">
        <f>IF(OR(O21="",P21=""),0,O21+P21-T21-Z21-AE21)</f>
        <v>0</v>
      </c>
      <c r="AH21" s="191">
        <f>IF(OR(O21="",P21=""),0,O21+P21-T21-U21-AE21)</f>
        <v>0</v>
      </c>
      <c r="AI21" s="191">
        <f>IF(OR(O21="",P21=""),0,O21+P21-T21-Z21-U21)</f>
        <v>0</v>
      </c>
    </row>
    <row r="22" spans="1:35" ht="15.95" customHeight="1" x14ac:dyDescent="0.2">
      <c r="A22" s="195" t="str">
        <f>IF(Datenquelle!$F$3&gt;9,IF(Datenquelle!$F$3=10,"EZ",IF(Datenquelle!$F$3&gt;10,"relevant","?")),"nicht relevant")</f>
        <v>nicht relevant</v>
      </c>
      <c r="B22" s="197">
        <v>2010</v>
      </c>
      <c r="C22" s="217">
        <f t="shared" ref="C22:C31" si="8">SUM(D22:K22)</f>
        <v>0</v>
      </c>
      <c r="D22" s="159"/>
      <c r="E22" s="159"/>
      <c r="F22" s="159"/>
      <c r="G22" s="159"/>
      <c r="H22" s="159"/>
      <c r="I22" s="159"/>
      <c r="J22" s="159"/>
      <c r="K22" s="229"/>
      <c r="L22" s="800"/>
      <c r="M22" s="199"/>
      <c r="N22" s="158">
        <f t="shared" si="4"/>
        <v>0</v>
      </c>
      <c r="O22" s="159"/>
      <c r="P22" s="159"/>
      <c r="Q22" s="158">
        <f t="shared" si="5"/>
        <v>0</v>
      </c>
      <c r="R22" s="200" t="str">
        <f t="shared" si="6"/>
        <v/>
      </c>
      <c r="S22" s="806"/>
      <c r="T22" s="204">
        <f t="shared" si="7"/>
        <v>0</v>
      </c>
      <c r="U22" s="163"/>
      <c r="V22" s="159"/>
      <c r="W22" s="159"/>
      <c r="X22" s="159"/>
      <c r="Y22" s="159"/>
      <c r="Z22" s="159"/>
      <c r="AA22" s="159"/>
      <c r="AB22" s="159"/>
      <c r="AC22" s="159"/>
      <c r="AD22" s="159"/>
      <c r="AE22" s="193"/>
      <c r="AG22" s="191">
        <f t="shared" ref="AG22:AG30" si="9">IF(OR(O22="",P22=""),0,O22+P22-T22-Z22-AE22)</f>
        <v>0</v>
      </c>
      <c r="AH22" s="191">
        <f t="shared" ref="AH22:AH30" si="10">IF(OR(O22="",P22=""),0,O22+P22-T22-U22-AE22)</f>
        <v>0</v>
      </c>
      <c r="AI22" s="191">
        <f t="shared" ref="AI22:AI30" si="11">IF(OR(O22="",P22=""),0,O22+P22-T22-Z22-U22)</f>
        <v>0</v>
      </c>
    </row>
    <row r="23" spans="1:35" ht="15.95" customHeight="1" x14ac:dyDescent="0.2">
      <c r="A23" s="195" t="str">
        <f>IF(Datenquelle!$F$3&gt;8,IF(Datenquelle!$F$3=9,"EZ",IF(Datenquelle!$F$3&gt;9,"relevant","?")),"nicht relevant")</f>
        <v>nicht relevant</v>
      </c>
      <c r="B23" s="197">
        <v>2011</v>
      </c>
      <c r="C23" s="217">
        <f t="shared" si="8"/>
        <v>0</v>
      </c>
      <c r="D23" s="159"/>
      <c r="E23" s="159"/>
      <c r="F23" s="159"/>
      <c r="G23" s="159"/>
      <c r="H23" s="159"/>
      <c r="I23" s="159"/>
      <c r="J23" s="159"/>
      <c r="K23" s="229"/>
      <c r="L23" s="800"/>
      <c r="M23" s="199"/>
      <c r="N23" s="158">
        <f t="shared" si="4"/>
        <v>0</v>
      </c>
      <c r="O23" s="159"/>
      <c r="P23" s="159"/>
      <c r="Q23" s="158">
        <f t="shared" si="5"/>
        <v>0</v>
      </c>
      <c r="R23" s="200" t="str">
        <f t="shared" si="6"/>
        <v/>
      </c>
      <c r="S23" s="806"/>
      <c r="T23" s="204">
        <f t="shared" si="7"/>
        <v>0</v>
      </c>
      <c r="U23" s="163"/>
      <c r="V23" s="159"/>
      <c r="W23" s="159"/>
      <c r="X23" s="159"/>
      <c r="Y23" s="159"/>
      <c r="Z23" s="159"/>
      <c r="AA23" s="159"/>
      <c r="AB23" s="159"/>
      <c r="AC23" s="159"/>
      <c r="AD23" s="159"/>
      <c r="AE23" s="193"/>
      <c r="AG23" s="191">
        <f t="shared" si="9"/>
        <v>0</v>
      </c>
      <c r="AH23" s="191">
        <f t="shared" si="10"/>
        <v>0</v>
      </c>
      <c r="AI23" s="191">
        <f t="shared" si="11"/>
        <v>0</v>
      </c>
    </row>
    <row r="24" spans="1:35" ht="15.95" customHeight="1" x14ac:dyDescent="0.2">
      <c r="A24" s="195" t="str">
        <f>IF(Datenquelle!$F$3&gt;7,IF(Datenquelle!$F$3=8,"EZ",IF(Datenquelle!$F$3&gt;8,"relevant","?")),"nicht relevant")</f>
        <v>nicht relevant</v>
      </c>
      <c r="B24" s="197">
        <v>2012</v>
      </c>
      <c r="C24" s="217">
        <f t="shared" si="8"/>
        <v>0</v>
      </c>
      <c r="D24" s="159"/>
      <c r="E24" s="159"/>
      <c r="F24" s="159"/>
      <c r="G24" s="159"/>
      <c r="H24" s="159"/>
      <c r="I24" s="159"/>
      <c r="J24" s="159"/>
      <c r="K24" s="229"/>
      <c r="L24" s="800"/>
      <c r="M24" s="199"/>
      <c r="N24" s="158">
        <f t="shared" si="4"/>
        <v>0</v>
      </c>
      <c r="O24" s="159"/>
      <c r="P24" s="159"/>
      <c r="Q24" s="158">
        <f t="shared" si="5"/>
        <v>0</v>
      </c>
      <c r="R24" s="200" t="str">
        <f t="shared" si="6"/>
        <v/>
      </c>
      <c r="S24" s="806"/>
      <c r="T24" s="204">
        <f t="shared" si="7"/>
        <v>0</v>
      </c>
      <c r="U24" s="163"/>
      <c r="V24" s="159"/>
      <c r="W24" s="159"/>
      <c r="X24" s="159"/>
      <c r="Y24" s="159"/>
      <c r="Z24" s="159"/>
      <c r="AA24" s="159"/>
      <c r="AB24" s="159"/>
      <c r="AC24" s="159"/>
      <c r="AD24" s="159"/>
      <c r="AE24" s="193"/>
      <c r="AG24" s="191">
        <f t="shared" si="9"/>
        <v>0</v>
      </c>
      <c r="AH24" s="191">
        <f t="shared" si="10"/>
        <v>0</v>
      </c>
      <c r="AI24" s="191">
        <f t="shared" si="11"/>
        <v>0</v>
      </c>
    </row>
    <row r="25" spans="1:35" ht="15.95" customHeight="1" x14ac:dyDescent="0.2">
      <c r="A25" s="195" t="str">
        <f>IF(Datenquelle!$F$3&gt;6,IF(Datenquelle!$F$3=7,"EZ",IF(Datenquelle!$F$3&gt;7,"relevant","?")),"nicht relevant")</f>
        <v>nicht relevant</v>
      </c>
      <c r="B25" s="197">
        <v>2013</v>
      </c>
      <c r="C25" s="217">
        <f t="shared" si="8"/>
        <v>0</v>
      </c>
      <c r="D25" s="159"/>
      <c r="E25" s="159"/>
      <c r="F25" s="159"/>
      <c r="G25" s="159"/>
      <c r="H25" s="159"/>
      <c r="I25" s="159"/>
      <c r="J25" s="159"/>
      <c r="K25" s="229"/>
      <c r="L25" s="800"/>
      <c r="M25" s="199"/>
      <c r="N25" s="158">
        <f t="shared" si="4"/>
        <v>0</v>
      </c>
      <c r="O25" s="159"/>
      <c r="P25" s="159"/>
      <c r="Q25" s="158">
        <f t="shared" si="5"/>
        <v>0</v>
      </c>
      <c r="R25" s="200" t="str">
        <f t="shared" si="6"/>
        <v/>
      </c>
      <c r="S25" s="806"/>
      <c r="T25" s="204">
        <f t="shared" si="7"/>
        <v>0</v>
      </c>
      <c r="U25" s="163"/>
      <c r="V25" s="159"/>
      <c r="W25" s="159"/>
      <c r="X25" s="159"/>
      <c r="Y25" s="159"/>
      <c r="Z25" s="159"/>
      <c r="AA25" s="159"/>
      <c r="AB25" s="159"/>
      <c r="AC25" s="159"/>
      <c r="AD25" s="159"/>
      <c r="AE25" s="193"/>
      <c r="AG25" s="191">
        <f t="shared" si="9"/>
        <v>0</v>
      </c>
      <c r="AH25" s="191">
        <f t="shared" si="10"/>
        <v>0</v>
      </c>
      <c r="AI25" s="191">
        <f t="shared" si="11"/>
        <v>0</v>
      </c>
    </row>
    <row r="26" spans="1:35" ht="15.95" customHeight="1" x14ac:dyDescent="0.2">
      <c r="A26" s="195" t="str">
        <f>IF(Datenquelle!$F$3&gt;5,IF(Datenquelle!$F$3=6,"EZ",IF(Datenquelle!$F$3&gt;6,"relevant","?")),"nicht relevant")</f>
        <v>nicht relevant</v>
      </c>
      <c r="B26" s="197">
        <v>2014</v>
      </c>
      <c r="C26" s="217">
        <f t="shared" si="8"/>
        <v>0</v>
      </c>
      <c r="D26" s="159"/>
      <c r="E26" s="159"/>
      <c r="F26" s="159"/>
      <c r="G26" s="159"/>
      <c r="H26" s="159"/>
      <c r="I26" s="159"/>
      <c r="J26" s="159"/>
      <c r="K26" s="229"/>
      <c r="L26" s="800"/>
      <c r="M26" s="199"/>
      <c r="N26" s="158">
        <f t="shared" si="4"/>
        <v>0</v>
      </c>
      <c r="O26" s="159"/>
      <c r="P26" s="159"/>
      <c r="Q26" s="158">
        <f t="shared" si="5"/>
        <v>0</v>
      </c>
      <c r="R26" s="200" t="str">
        <f t="shared" si="6"/>
        <v/>
      </c>
      <c r="S26" s="806"/>
      <c r="T26" s="204">
        <f t="shared" si="7"/>
        <v>0</v>
      </c>
      <c r="U26" s="163"/>
      <c r="V26" s="159"/>
      <c r="W26" s="159"/>
      <c r="X26" s="159"/>
      <c r="Y26" s="159"/>
      <c r="Z26" s="159"/>
      <c r="AA26" s="159"/>
      <c r="AB26" s="159"/>
      <c r="AC26" s="159"/>
      <c r="AD26" s="159"/>
      <c r="AE26" s="193"/>
      <c r="AG26" s="191">
        <f t="shared" si="9"/>
        <v>0</v>
      </c>
      <c r="AH26" s="191">
        <f t="shared" si="10"/>
        <v>0</v>
      </c>
      <c r="AI26" s="191">
        <f t="shared" si="11"/>
        <v>0</v>
      </c>
    </row>
    <row r="27" spans="1:35" s="8" customFormat="1" ht="15.95" customHeight="1" x14ac:dyDescent="0.25">
      <c r="A27" s="195" t="str">
        <f>IF(Datenquelle!$F$3&gt;4,IF(Datenquelle!$F$3=5,"EZ",IF(Datenquelle!$F$3&gt;5,"relevant","?")),"nicht relevant")</f>
        <v>nicht relevant</v>
      </c>
      <c r="B27" s="197">
        <v>2015</v>
      </c>
      <c r="C27" s="217">
        <f t="shared" si="8"/>
        <v>0</v>
      </c>
      <c r="D27" s="159"/>
      <c r="E27" s="159"/>
      <c r="F27" s="159"/>
      <c r="G27" s="159"/>
      <c r="H27" s="159"/>
      <c r="I27" s="159"/>
      <c r="J27" s="159"/>
      <c r="K27" s="229"/>
      <c r="L27" s="800"/>
      <c r="M27" s="199"/>
      <c r="N27" s="158">
        <f t="shared" si="4"/>
        <v>0</v>
      </c>
      <c r="O27" s="159"/>
      <c r="P27" s="159"/>
      <c r="Q27" s="158">
        <f t="shared" si="5"/>
        <v>0</v>
      </c>
      <c r="R27" s="200" t="str">
        <f t="shared" si="6"/>
        <v/>
      </c>
      <c r="S27" s="806"/>
      <c r="T27" s="204">
        <f t="shared" si="7"/>
        <v>0</v>
      </c>
      <c r="U27" s="163"/>
      <c r="V27" s="159"/>
      <c r="W27" s="159"/>
      <c r="X27" s="159"/>
      <c r="Y27" s="159"/>
      <c r="Z27" s="159"/>
      <c r="AA27" s="159"/>
      <c r="AB27" s="159"/>
      <c r="AC27" s="159"/>
      <c r="AD27" s="159"/>
      <c r="AE27" s="193"/>
      <c r="AG27" s="191">
        <f t="shared" si="9"/>
        <v>0</v>
      </c>
      <c r="AH27" s="191">
        <f t="shared" si="10"/>
        <v>0</v>
      </c>
      <c r="AI27" s="191">
        <f t="shared" si="11"/>
        <v>0</v>
      </c>
    </row>
    <row r="28" spans="1:35" s="8" customFormat="1" ht="15.95" customHeight="1" x14ac:dyDescent="0.25">
      <c r="A28" s="195" t="str">
        <f>IF(Datenquelle!$F$3&gt;3,IF(Datenquelle!$F$3=4,"EZ",IF(Datenquelle!$F$3&gt;4,"relevant","?")),"nicht relevant")</f>
        <v>nicht relevant</v>
      </c>
      <c r="B28" s="197">
        <v>2016</v>
      </c>
      <c r="C28" s="217">
        <f t="shared" si="8"/>
        <v>0</v>
      </c>
      <c r="D28" s="159"/>
      <c r="E28" s="159"/>
      <c r="F28" s="159"/>
      <c r="G28" s="159"/>
      <c r="H28" s="159"/>
      <c r="I28" s="159"/>
      <c r="J28" s="159"/>
      <c r="K28" s="229"/>
      <c r="L28" s="800"/>
      <c r="M28" s="199"/>
      <c r="N28" s="158">
        <f t="shared" si="4"/>
        <v>0</v>
      </c>
      <c r="O28" s="159"/>
      <c r="P28" s="159"/>
      <c r="Q28" s="158">
        <f t="shared" si="5"/>
        <v>0</v>
      </c>
      <c r="R28" s="200" t="str">
        <f t="shared" si="6"/>
        <v/>
      </c>
      <c r="S28" s="806"/>
      <c r="T28" s="204">
        <f t="shared" si="7"/>
        <v>0</v>
      </c>
      <c r="U28" s="163"/>
      <c r="V28" s="159"/>
      <c r="W28" s="159"/>
      <c r="X28" s="159"/>
      <c r="Y28" s="159"/>
      <c r="Z28" s="159"/>
      <c r="AA28" s="159"/>
      <c r="AB28" s="159"/>
      <c r="AC28" s="159"/>
      <c r="AD28" s="159"/>
      <c r="AE28" s="193"/>
      <c r="AG28" s="191">
        <f t="shared" si="9"/>
        <v>0</v>
      </c>
      <c r="AH28" s="191">
        <f t="shared" si="10"/>
        <v>0</v>
      </c>
      <c r="AI28" s="191">
        <f t="shared" si="11"/>
        <v>0</v>
      </c>
    </row>
    <row r="29" spans="1:35" s="8" customFormat="1" ht="15.95" customHeight="1" thickBot="1" x14ac:dyDescent="0.3">
      <c r="A29" s="195" t="str">
        <f>IF(Datenquelle!$F$3&gt;2,IF(Datenquelle!$F$3=3,"EZ",IF(Datenquelle!$F$3&gt;3,"relevant","?")),"nicht relevant")</f>
        <v>nicht relevant</v>
      </c>
      <c r="B29" s="197">
        <v>2017</v>
      </c>
      <c r="C29" s="217">
        <f t="shared" si="8"/>
        <v>0</v>
      </c>
      <c r="D29" s="159"/>
      <c r="E29" s="159"/>
      <c r="F29" s="159"/>
      <c r="G29" s="159"/>
      <c r="H29" s="159"/>
      <c r="I29" s="159"/>
      <c r="J29" s="159"/>
      <c r="K29" s="229"/>
      <c r="L29" s="800"/>
      <c r="M29" s="201"/>
      <c r="N29" s="194">
        <f t="shared" si="4"/>
        <v>0</v>
      </c>
      <c r="O29" s="202"/>
      <c r="P29" s="202"/>
      <c r="Q29" s="194">
        <f t="shared" si="5"/>
        <v>0</v>
      </c>
      <c r="R29" s="203" t="str">
        <f t="shared" si="6"/>
        <v/>
      </c>
      <c r="S29" s="806"/>
      <c r="T29" s="205">
        <f t="shared" si="7"/>
        <v>0</v>
      </c>
      <c r="U29" s="206"/>
      <c r="V29" s="202"/>
      <c r="W29" s="202"/>
      <c r="X29" s="202"/>
      <c r="Y29" s="202"/>
      <c r="Z29" s="202"/>
      <c r="AA29" s="202"/>
      <c r="AB29" s="202"/>
      <c r="AC29" s="202"/>
      <c r="AD29" s="202"/>
      <c r="AE29" s="207"/>
      <c r="AG29" s="191">
        <f t="shared" si="9"/>
        <v>0</v>
      </c>
      <c r="AH29" s="191">
        <f t="shared" si="10"/>
        <v>0</v>
      </c>
      <c r="AI29" s="191">
        <f t="shared" si="11"/>
        <v>0</v>
      </c>
    </row>
    <row r="30" spans="1:35" s="8" customFormat="1" ht="15.95" customHeight="1" thickBot="1" x14ac:dyDescent="0.3">
      <c r="A30" s="195" t="str">
        <f>IF(Datenquelle!$F$3&gt;1,IF(Datenquelle!$F$3=2,"EZ",IF(Datenquelle!$F$3&gt;2,"relevant","?")),"nicht relevant")</f>
        <v>nicht relevant</v>
      </c>
      <c r="B30" s="197" t="s">
        <v>368</v>
      </c>
      <c r="C30" s="217">
        <f t="shared" si="8"/>
        <v>0</v>
      </c>
      <c r="D30" s="159"/>
      <c r="E30" s="159"/>
      <c r="F30" s="159"/>
      <c r="G30" s="159"/>
      <c r="H30" s="159"/>
      <c r="I30" s="159"/>
      <c r="J30" s="159"/>
      <c r="K30" s="229"/>
      <c r="L30" s="800"/>
      <c r="M30" s="861"/>
      <c r="N30" s="862"/>
      <c r="O30" s="862"/>
      <c r="P30" s="862"/>
      <c r="Q30" s="862"/>
      <c r="R30" s="863"/>
      <c r="S30" s="806"/>
      <c r="T30" s="861"/>
      <c r="U30" s="862"/>
      <c r="V30" s="862"/>
      <c r="W30" s="862"/>
      <c r="X30" s="862"/>
      <c r="Y30" s="862"/>
      <c r="Z30" s="862"/>
      <c r="AA30" s="862"/>
      <c r="AB30" s="862"/>
      <c r="AC30" s="862"/>
      <c r="AD30" s="862"/>
      <c r="AE30" s="863"/>
      <c r="AG30" s="191">
        <f t="shared" si="9"/>
        <v>0</v>
      </c>
      <c r="AH30" s="191">
        <f t="shared" si="10"/>
        <v>0</v>
      </c>
      <c r="AI30" s="191">
        <f t="shared" si="11"/>
        <v>0</v>
      </c>
    </row>
    <row r="31" spans="1:35" s="8" customFormat="1" ht="15.95" customHeight="1" thickBot="1" x14ac:dyDescent="0.3">
      <c r="A31" s="196" t="str">
        <f>IF(Datenquelle!$F$3&gt;0,IF(Datenquelle!$F$3=1,"EZ",IF(Datenquelle!$F$3&gt;1,"relevant","?")),"nicht relevant")</f>
        <v>nicht relevant</v>
      </c>
      <c r="B31" s="198" t="s">
        <v>382</v>
      </c>
      <c r="C31" s="218">
        <f t="shared" si="8"/>
        <v>0</v>
      </c>
      <c r="D31" s="194" t="str">
        <f>IF('Basic data'!D30="","",'Basic data'!D30)</f>
        <v/>
      </c>
      <c r="E31" s="194" t="str">
        <f>IF('Basic data'!E30="","",'Basic data'!E30)</f>
        <v/>
      </c>
      <c r="F31" s="194" t="str">
        <f>IF('Basic data'!F30="","",'Basic data'!F30)</f>
        <v/>
      </c>
      <c r="G31" s="194" t="str">
        <f>IF('Basic data'!G30="","",'Basic data'!G30)</f>
        <v/>
      </c>
      <c r="H31" s="194" t="str">
        <f>IF('Basic data'!H30="","",'Basic data'!H30)</f>
        <v/>
      </c>
      <c r="I31" s="194" t="str">
        <f>IF('Basic data'!I30="","",'Basic data'!I30)</f>
        <v/>
      </c>
      <c r="J31" s="194" t="str">
        <f>IF('Basic data'!J30="","",'Basic data'!J30)</f>
        <v/>
      </c>
      <c r="K31" s="230" t="str">
        <f>IF('Basic data'!K30="","",'Basic data'!K30)</f>
        <v/>
      </c>
      <c r="L31" s="801"/>
      <c r="M31" s="864"/>
      <c r="N31" s="865"/>
      <c r="O31" s="865"/>
      <c r="P31" s="865"/>
      <c r="Q31" s="865"/>
      <c r="R31" s="866"/>
      <c r="S31" s="807"/>
      <c r="T31" s="864"/>
      <c r="U31" s="865"/>
      <c r="V31" s="865"/>
      <c r="W31" s="865"/>
      <c r="X31" s="865"/>
      <c r="Y31" s="865"/>
      <c r="Z31" s="865"/>
      <c r="AA31" s="865"/>
      <c r="AB31" s="865"/>
      <c r="AC31" s="865"/>
      <c r="AD31" s="865"/>
      <c r="AE31" s="866"/>
      <c r="AG31" s="39"/>
    </row>
    <row r="32" spans="1:35" ht="5.25" customHeight="1" x14ac:dyDescent="0.25">
      <c r="A32"/>
      <c r="B32"/>
      <c r="C32"/>
      <c r="D32"/>
      <c r="E32"/>
      <c r="F32"/>
      <c r="G32"/>
      <c r="H32"/>
      <c r="I32"/>
      <c r="J32"/>
      <c r="K32"/>
      <c r="L32"/>
      <c r="M32"/>
      <c r="N32"/>
      <c r="O32"/>
      <c r="P32"/>
      <c r="Q32"/>
      <c r="R32"/>
      <c r="S32"/>
      <c r="T32"/>
      <c r="U32"/>
      <c r="V32"/>
      <c r="W32"/>
      <c r="X32"/>
      <c r="Y32"/>
      <c r="Z32"/>
      <c r="AA32"/>
      <c r="AB32"/>
      <c r="AC32"/>
      <c r="AD32"/>
      <c r="AE32"/>
    </row>
    <row r="33" spans="1:31" ht="15.75" customHeight="1" x14ac:dyDescent="0.25">
      <c r="A33"/>
      <c r="B33"/>
      <c r="C33"/>
      <c r="D33"/>
      <c r="E33"/>
      <c r="F33"/>
      <c r="G33"/>
      <c r="H33"/>
      <c r="J33" s="46" t="s">
        <v>390</v>
      </c>
      <c r="L33"/>
      <c r="M33"/>
      <c r="N33"/>
      <c r="O33"/>
      <c r="P33"/>
      <c r="Q33"/>
      <c r="R33" s="161" t="str">
        <f>IF(A29="EZ","-----",IF(A29= "nicht relevant","-----",IF(COUNTBLANK(R27:R29)=3,"",SUMIF(A27:A29,"relevant",R27:R29) /COUNTIF(A27:A29,"relevant"))))</f>
        <v>-----</v>
      </c>
      <c r="S33"/>
      <c r="T33"/>
      <c r="U33"/>
      <c r="V33"/>
      <c r="W33"/>
      <c r="X33"/>
      <c r="Y33"/>
      <c r="Z33"/>
      <c r="AA33"/>
      <c r="AB33"/>
      <c r="AC33"/>
      <c r="AD33"/>
      <c r="AE33"/>
    </row>
    <row r="34" spans="1:31" s="5" customFormat="1" ht="21.75" customHeight="1" x14ac:dyDescent="0.2">
      <c r="A34" s="847" t="s">
        <v>51</v>
      </c>
      <c r="B34" s="847"/>
      <c r="C34" s="847"/>
      <c r="D34" s="847"/>
      <c r="E34" s="847"/>
      <c r="F34" s="847"/>
      <c r="G34" s="847"/>
      <c r="H34" s="847"/>
      <c r="I34" s="847"/>
      <c r="J34" s="847"/>
      <c r="K34" s="847"/>
      <c r="L34" s="847"/>
      <c r="M34" s="847"/>
      <c r="N34" s="847"/>
      <c r="O34" s="847"/>
      <c r="P34" s="847"/>
      <c r="Q34" s="847"/>
      <c r="R34" s="847"/>
      <c r="S34" s="847"/>
      <c r="T34" s="847"/>
      <c r="U34" s="847"/>
      <c r="V34" s="847"/>
      <c r="W34" s="847"/>
      <c r="X34" s="847"/>
      <c r="Y34" s="847"/>
      <c r="Z34" s="847"/>
      <c r="AA34" s="847"/>
      <c r="AB34" s="847"/>
      <c r="AC34" s="847"/>
      <c r="AD34" s="847"/>
      <c r="AE34" s="847"/>
    </row>
    <row r="35" spans="1:31" s="5" customFormat="1" ht="36" customHeight="1" x14ac:dyDescent="0.25">
      <c r="A35" s="848" t="s">
        <v>383</v>
      </c>
      <c r="B35" s="849"/>
      <c r="C35" s="849"/>
      <c r="D35" s="849"/>
      <c r="E35" s="849"/>
      <c r="F35" s="849"/>
      <c r="G35" s="849"/>
      <c r="H35" s="849"/>
      <c r="I35" s="849"/>
      <c r="J35" s="849"/>
      <c r="K35" s="849"/>
      <c r="L35" s="849"/>
      <c r="M35" s="849"/>
      <c r="N35" s="849"/>
      <c r="O35" s="849"/>
      <c r="P35" s="849"/>
      <c r="Q35" s="849"/>
      <c r="R35" s="849"/>
      <c r="S35" s="849"/>
      <c r="T35" s="849"/>
      <c r="U35" s="849"/>
      <c r="V35" s="849"/>
      <c r="W35" s="849"/>
      <c r="X35" s="849"/>
      <c r="Y35" s="849"/>
      <c r="Z35" s="849"/>
      <c r="AA35" s="849"/>
      <c r="AB35" s="849"/>
      <c r="AC35" s="849"/>
      <c r="AD35" s="849"/>
      <c r="AE35" s="849"/>
    </row>
    <row r="36" spans="1:31" s="5" customFormat="1" ht="14.1" customHeight="1" x14ac:dyDescent="0.25">
      <c r="A36" s="847" t="s">
        <v>58</v>
      </c>
      <c r="B36" s="850"/>
      <c r="C36" s="850"/>
      <c r="D36" s="850"/>
      <c r="E36" s="850"/>
      <c r="F36" s="850"/>
      <c r="G36" s="850"/>
      <c r="H36" s="850"/>
      <c r="I36" s="850"/>
      <c r="J36" s="850"/>
      <c r="K36" s="850"/>
      <c r="L36" s="850"/>
      <c r="M36" s="850"/>
      <c r="N36" s="850"/>
      <c r="O36" s="850"/>
      <c r="P36" s="850"/>
      <c r="Q36" s="850"/>
      <c r="R36" s="850"/>
      <c r="S36" s="850"/>
      <c r="T36" s="850"/>
      <c r="U36" s="850"/>
      <c r="V36" s="850"/>
      <c r="W36" s="850"/>
      <c r="X36" s="850"/>
      <c r="Y36" s="850"/>
      <c r="Z36" s="850"/>
      <c r="AA36" s="850"/>
      <c r="AB36" s="850"/>
      <c r="AC36" s="850"/>
      <c r="AD36" s="850"/>
      <c r="AE36" s="850"/>
    </row>
    <row r="37" spans="1:31" s="5" customFormat="1" ht="14.1" customHeight="1" x14ac:dyDescent="0.25">
      <c r="A37" s="847" t="s">
        <v>59</v>
      </c>
      <c r="B37" s="850"/>
      <c r="C37" s="850"/>
      <c r="D37" s="850"/>
      <c r="E37" s="850"/>
      <c r="F37" s="850"/>
      <c r="G37" s="850"/>
      <c r="H37" s="850"/>
      <c r="I37" s="850"/>
      <c r="J37" s="850"/>
      <c r="K37" s="850"/>
      <c r="L37" s="850"/>
      <c r="M37" s="850"/>
      <c r="N37" s="850"/>
      <c r="O37" s="850"/>
      <c r="P37" s="850"/>
      <c r="Q37" s="850"/>
      <c r="R37" s="850"/>
      <c r="S37" s="850"/>
      <c r="T37" s="850"/>
      <c r="U37" s="850"/>
      <c r="V37" s="850"/>
      <c r="W37" s="850"/>
      <c r="X37" s="850"/>
      <c r="Y37" s="850"/>
      <c r="Z37" s="850"/>
      <c r="AA37" s="850"/>
      <c r="AB37" s="850"/>
      <c r="AC37" s="850"/>
      <c r="AD37" s="850"/>
      <c r="AE37" s="850"/>
    </row>
    <row r="38" spans="1:31" s="5" customFormat="1" ht="14.1" customHeight="1" x14ac:dyDescent="0.25">
      <c r="A38" s="847" t="s">
        <v>301</v>
      </c>
      <c r="B38" s="850"/>
      <c r="C38" s="850"/>
      <c r="D38" s="850"/>
      <c r="E38" s="850"/>
      <c r="F38" s="850"/>
      <c r="G38" s="850"/>
      <c r="H38" s="850"/>
      <c r="I38" s="850"/>
      <c r="J38" s="850"/>
      <c r="K38" s="850"/>
      <c r="L38" s="850"/>
      <c r="M38" s="850"/>
      <c r="N38" s="850"/>
      <c r="O38" s="850"/>
      <c r="P38" s="850"/>
      <c r="Q38" s="850"/>
      <c r="R38" s="850"/>
      <c r="S38" s="850"/>
      <c r="T38" s="850"/>
      <c r="U38" s="850"/>
      <c r="V38" s="850"/>
      <c r="W38" s="850"/>
      <c r="X38" s="850"/>
      <c r="Y38" s="850"/>
      <c r="Z38" s="850"/>
      <c r="AA38" s="850"/>
      <c r="AB38" s="850"/>
      <c r="AC38" s="850"/>
      <c r="AD38" s="850"/>
      <c r="AE38" s="850"/>
    </row>
    <row r="39" spans="1:31" s="5" customFormat="1" ht="35.25" customHeight="1" x14ac:dyDescent="0.25">
      <c r="A39" s="848" t="s">
        <v>302</v>
      </c>
      <c r="B39" s="850"/>
      <c r="C39" s="850"/>
      <c r="D39" s="850"/>
      <c r="E39" s="850"/>
      <c r="F39" s="850"/>
      <c r="G39" s="850"/>
      <c r="H39" s="850"/>
      <c r="I39" s="850"/>
      <c r="J39" s="850"/>
      <c r="K39" s="850"/>
      <c r="L39" s="850"/>
      <c r="M39" s="850"/>
      <c r="N39" s="850"/>
      <c r="O39" s="850"/>
      <c r="P39" s="850"/>
      <c r="Q39" s="850"/>
      <c r="R39" s="850"/>
      <c r="S39" s="850"/>
      <c r="T39" s="850"/>
      <c r="U39" s="850"/>
      <c r="V39" s="850"/>
      <c r="W39" s="850"/>
      <c r="X39" s="850"/>
      <c r="Y39" s="850"/>
      <c r="Z39" s="850"/>
      <c r="AA39" s="850"/>
      <c r="AB39" s="850"/>
      <c r="AC39" s="850"/>
      <c r="AD39" s="850"/>
      <c r="AE39" s="850"/>
    </row>
    <row r="40" spans="1:31" s="5" customFormat="1" ht="23.25" customHeight="1" x14ac:dyDescent="0.25">
      <c r="A40" s="848" t="s">
        <v>303</v>
      </c>
      <c r="B40" s="850"/>
      <c r="C40" s="850"/>
      <c r="D40" s="850"/>
      <c r="E40" s="850"/>
      <c r="F40" s="850"/>
      <c r="G40" s="850"/>
      <c r="H40" s="850"/>
      <c r="I40" s="850"/>
      <c r="J40" s="850"/>
      <c r="K40" s="850"/>
      <c r="L40" s="850"/>
      <c r="M40" s="850"/>
      <c r="N40" s="850"/>
      <c r="O40" s="850"/>
      <c r="P40" s="850"/>
      <c r="Q40" s="850"/>
      <c r="R40" s="850"/>
      <c r="S40" s="850"/>
      <c r="T40" s="850"/>
      <c r="U40" s="850"/>
      <c r="V40" s="850"/>
      <c r="W40" s="850"/>
      <c r="X40" s="850"/>
      <c r="Y40" s="850"/>
      <c r="Z40" s="850"/>
      <c r="AA40" s="850"/>
      <c r="AB40" s="850"/>
      <c r="AC40" s="850"/>
      <c r="AD40" s="850"/>
      <c r="AE40" s="850"/>
    </row>
    <row r="41" spans="1:31" s="5" customFormat="1" ht="112.5" customHeight="1" x14ac:dyDescent="0.25">
      <c r="A41" s="848" t="s">
        <v>60</v>
      </c>
      <c r="B41" s="850"/>
      <c r="C41" s="850"/>
      <c r="D41" s="850"/>
      <c r="E41" s="850"/>
      <c r="F41" s="850"/>
      <c r="G41" s="850"/>
      <c r="H41" s="850"/>
      <c r="I41" s="850"/>
      <c r="J41" s="850"/>
      <c r="K41" s="850"/>
      <c r="L41" s="850"/>
      <c r="M41" s="850"/>
      <c r="N41" s="850"/>
      <c r="O41" s="850"/>
      <c r="P41" s="850"/>
      <c r="Q41" s="850"/>
      <c r="R41" s="850"/>
      <c r="S41" s="850"/>
      <c r="T41" s="850"/>
      <c r="U41" s="850"/>
      <c r="V41" s="850"/>
      <c r="W41" s="850"/>
      <c r="X41" s="850"/>
      <c r="Y41" s="850"/>
      <c r="Z41" s="850"/>
      <c r="AA41" s="850"/>
      <c r="AB41" s="850"/>
      <c r="AC41" s="850"/>
      <c r="AD41" s="850"/>
      <c r="AE41" s="850"/>
    </row>
    <row r="42" spans="1:31" s="5" customFormat="1" ht="24.75" customHeight="1" x14ac:dyDescent="0.25">
      <c r="A42" s="848" t="s">
        <v>348</v>
      </c>
      <c r="B42" s="849"/>
      <c r="C42" s="849"/>
      <c r="D42" s="849"/>
      <c r="E42" s="849"/>
      <c r="F42" s="849"/>
      <c r="G42" s="849"/>
      <c r="H42" s="849"/>
      <c r="I42" s="849"/>
      <c r="J42" s="849"/>
      <c r="K42" s="849"/>
      <c r="L42" s="849"/>
      <c r="M42" s="849"/>
      <c r="N42" s="849"/>
      <c r="O42" s="849"/>
      <c r="P42" s="849"/>
      <c r="Q42" s="849"/>
      <c r="R42" s="849"/>
      <c r="S42" s="849"/>
      <c r="T42" s="849"/>
      <c r="U42" s="849"/>
      <c r="V42" s="849"/>
      <c r="W42" s="849"/>
      <c r="X42" s="849"/>
      <c r="Y42" s="849"/>
      <c r="Z42" s="849"/>
      <c r="AA42" s="849"/>
      <c r="AB42" s="849"/>
      <c r="AC42" s="849"/>
      <c r="AD42" s="849"/>
      <c r="AE42" s="849"/>
    </row>
    <row r="43" spans="1:31" s="5" customFormat="1" ht="14.1" customHeight="1" x14ac:dyDescent="0.2">
      <c r="A43" s="43" t="s">
        <v>189</v>
      </c>
      <c r="AE43" s="46"/>
    </row>
    <row r="44" spans="1:31" s="5" customFormat="1" ht="14.1" customHeight="1" x14ac:dyDescent="0.2">
      <c r="A44" s="26" t="s">
        <v>236</v>
      </c>
      <c r="AE44" s="46"/>
    </row>
    <row r="45" spans="1:31" s="26" customFormat="1" ht="14.1" customHeight="1" x14ac:dyDescent="0.25">
      <c r="A45" s="26" t="s">
        <v>253</v>
      </c>
    </row>
    <row r="46" spans="1:31" s="5" customFormat="1" ht="14.1" customHeight="1" x14ac:dyDescent="0.2">
      <c r="A46" s="54" t="s">
        <v>247</v>
      </c>
      <c r="B46" s="26" t="s">
        <v>384</v>
      </c>
      <c r="AE46" s="46"/>
    </row>
    <row r="47" spans="1:31" s="5" customFormat="1" ht="14.1" customHeight="1" x14ac:dyDescent="0.2">
      <c r="A47" s="54" t="s">
        <v>248</v>
      </c>
      <c r="B47" s="26" t="s">
        <v>279</v>
      </c>
      <c r="AE47" s="46"/>
    </row>
    <row r="48" spans="1:31" s="5" customFormat="1" ht="14.1" customHeight="1" x14ac:dyDescent="0.2">
      <c r="A48" s="54" t="s">
        <v>249</v>
      </c>
      <c r="B48" s="26" t="s">
        <v>102</v>
      </c>
      <c r="AE48" s="46"/>
    </row>
    <row r="49" spans="1:31" s="5" customFormat="1" ht="14.1" customHeight="1" x14ac:dyDescent="0.2">
      <c r="A49" s="56" t="s">
        <v>250</v>
      </c>
      <c r="B49" s="26" t="s">
        <v>108</v>
      </c>
      <c r="AE49" s="46"/>
    </row>
    <row r="50" spans="1:31" s="5" customFormat="1" ht="14.1" customHeight="1" x14ac:dyDescent="0.2">
      <c r="A50" s="54" t="s">
        <v>251</v>
      </c>
      <c r="B50" s="26" t="s">
        <v>293</v>
      </c>
      <c r="AE50" s="46"/>
    </row>
    <row r="51" spans="1:31" s="5" customFormat="1" ht="21.75" customHeight="1" x14ac:dyDescent="0.2">
      <c r="A51" s="64" t="s">
        <v>238</v>
      </c>
      <c r="I51" s="55"/>
    </row>
    <row r="52" spans="1:31" s="5" customFormat="1" ht="14.1" customHeight="1" x14ac:dyDescent="0.2">
      <c r="A52" s="26" t="s">
        <v>239</v>
      </c>
      <c r="I52" s="55"/>
    </row>
    <row r="53" spans="1:31" s="5" customFormat="1" ht="14.1" customHeight="1" x14ac:dyDescent="0.2">
      <c r="A53" s="26" t="s">
        <v>240</v>
      </c>
      <c r="I53" s="55"/>
    </row>
    <row r="54" spans="1:31" s="5" customFormat="1" ht="14.1" customHeight="1" x14ac:dyDescent="0.2">
      <c r="A54" s="26" t="s">
        <v>291</v>
      </c>
      <c r="I54" s="55"/>
    </row>
    <row r="55" spans="1:31" s="2" customFormat="1" ht="15.75" customHeight="1" x14ac:dyDescent="0.2">
      <c r="A55" s="6"/>
      <c r="I55" s="21"/>
    </row>
    <row r="56" spans="1:31" s="5" customFormat="1" ht="14.1" customHeight="1" x14ac:dyDescent="0.2">
      <c r="A56" s="57" t="s">
        <v>185</v>
      </c>
      <c r="I56" s="55"/>
    </row>
    <row r="57" spans="1:31" s="5" customFormat="1" ht="21" customHeight="1" x14ac:dyDescent="0.25">
      <c r="A57" s="894" t="s">
        <v>3</v>
      </c>
      <c r="B57" s="843"/>
      <c r="C57" s="883" t="s">
        <v>109</v>
      </c>
      <c r="D57" s="884"/>
      <c r="E57" s="884"/>
      <c r="F57" s="843"/>
      <c r="G57" s="885" t="s">
        <v>158</v>
      </c>
      <c r="H57" s="886"/>
      <c r="I57" s="887"/>
      <c r="J57" s="844" t="s">
        <v>244</v>
      </c>
      <c r="K57" s="845"/>
      <c r="L57" s="845"/>
      <c r="M57" s="845"/>
      <c r="N57" s="845"/>
      <c r="O57" s="845"/>
      <c r="P57" s="845"/>
      <c r="Q57" s="845"/>
      <c r="R57" s="845"/>
      <c r="S57" s="845"/>
      <c r="T57" s="845"/>
      <c r="U57" s="845"/>
      <c r="V57" s="845"/>
      <c r="W57" s="845"/>
      <c r="X57" s="845"/>
      <c r="Y57" s="845"/>
      <c r="Z57" s="845"/>
      <c r="AA57" s="845"/>
      <c r="AB57" s="845"/>
      <c r="AC57" s="845"/>
      <c r="AD57" s="845"/>
      <c r="AE57" s="846"/>
    </row>
    <row r="58" spans="1:31" s="5" customFormat="1" ht="14.1" customHeight="1" x14ac:dyDescent="0.25">
      <c r="A58" s="841" t="s">
        <v>217</v>
      </c>
      <c r="B58" s="843"/>
      <c r="C58" s="841" t="s">
        <v>99</v>
      </c>
      <c r="D58" s="842"/>
      <c r="E58" s="842"/>
      <c r="F58" s="843"/>
      <c r="G58" s="891"/>
      <c r="H58" s="892"/>
      <c r="I58" s="893"/>
      <c r="J58" s="851" t="s">
        <v>115</v>
      </c>
      <c r="K58" s="857"/>
      <c r="L58" s="857"/>
      <c r="M58" s="857"/>
      <c r="N58" s="857"/>
      <c r="O58" s="857"/>
      <c r="P58" s="857"/>
      <c r="Q58" s="857"/>
      <c r="R58" s="857"/>
      <c r="S58" s="857"/>
      <c r="T58" s="857"/>
      <c r="U58" s="857"/>
      <c r="V58" s="857"/>
      <c r="W58" s="857"/>
      <c r="X58" s="857"/>
      <c r="Y58" s="857"/>
      <c r="Z58" s="857"/>
      <c r="AA58" s="857"/>
      <c r="AB58" s="857"/>
      <c r="AC58" s="857"/>
      <c r="AD58" s="857"/>
      <c r="AE58" s="858"/>
    </row>
    <row r="59" spans="1:31" s="5" customFormat="1" ht="14.1" customHeight="1" x14ac:dyDescent="0.25">
      <c r="A59" s="841" t="s">
        <v>217</v>
      </c>
      <c r="B59" s="843"/>
      <c r="C59" s="841" t="s">
        <v>245</v>
      </c>
      <c r="D59" s="842"/>
      <c r="E59" s="842"/>
      <c r="F59" s="843"/>
      <c r="G59" s="888"/>
      <c r="H59" s="889"/>
      <c r="I59" s="890"/>
      <c r="J59" s="60" t="s">
        <v>288</v>
      </c>
      <c r="K59" s="61"/>
      <c r="L59" s="61"/>
      <c r="M59" s="61"/>
      <c r="N59" s="61"/>
      <c r="O59" s="61"/>
      <c r="P59" s="61"/>
      <c r="Q59" s="61"/>
      <c r="R59" s="61"/>
      <c r="S59" s="58"/>
      <c r="T59" s="58"/>
      <c r="U59" s="58"/>
      <c r="V59" s="58"/>
      <c r="W59" s="58"/>
      <c r="X59" s="58"/>
      <c r="Y59" s="58"/>
      <c r="Z59" s="58"/>
      <c r="AA59" s="58"/>
      <c r="AB59" s="58"/>
      <c r="AC59" s="58"/>
      <c r="AD59" s="58"/>
      <c r="AE59" s="59"/>
    </row>
    <row r="60" spans="1:31" s="5" customFormat="1" ht="22.5" customHeight="1" x14ac:dyDescent="0.25">
      <c r="A60" s="841" t="s">
        <v>243</v>
      </c>
      <c r="B60" s="843"/>
      <c r="C60" s="841" t="s">
        <v>110</v>
      </c>
      <c r="D60" s="842"/>
      <c r="E60" s="842"/>
      <c r="F60" s="843"/>
      <c r="G60" s="870" t="s">
        <v>309</v>
      </c>
      <c r="H60" s="871"/>
      <c r="I60" s="871"/>
      <c r="J60" s="851" t="s">
        <v>287</v>
      </c>
      <c r="K60" s="852"/>
      <c r="L60" s="852"/>
      <c r="M60" s="852"/>
      <c r="N60" s="852"/>
      <c r="O60" s="852"/>
      <c r="P60" s="852"/>
      <c r="Q60" s="852"/>
      <c r="R60" s="852"/>
      <c r="S60" s="852"/>
      <c r="T60" s="852"/>
      <c r="U60" s="852"/>
      <c r="V60" s="852"/>
      <c r="W60" s="852"/>
      <c r="X60" s="852"/>
      <c r="Y60" s="852"/>
      <c r="Z60" s="852"/>
      <c r="AA60" s="852"/>
      <c r="AB60" s="852"/>
      <c r="AC60" s="852"/>
      <c r="AD60" s="852"/>
      <c r="AE60" s="853"/>
    </row>
    <row r="61" spans="1:31" s="5" customFormat="1" ht="14.25" customHeight="1" x14ac:dyDescent="0.2">
      <c r="A61" s="876" t="s">
        <v>39</v>
      </c>
      <c r="B61" s="877"/>
      <c r="C61" s="876" t="s">
        <v>57</v>
      </c>
      <c r="D61" s="880"/>
      <c r="E61" s="880"/>
      <c r="F61" s="877"/>
      <c r="G61" s="867" t="s">
        <v>202</v>
      </c>
      <c r="H61" s="868"/>
      <c r="I61" s="869"/>
      <c r="J61" s="854" t="s">
        <v>56</v>
      </c>
      <c r="K61" s="855"/>
      <c r="L61" s="855"/>
      <c r="M61" s="855"/>
      <c r="N61" s="855"/>
      <c r="O61" s="855"/>
      <c r="P61" s="855"/>
      <c r="Q61" s="855"/>
      <c r="R61" s="855"/>
      <c r="S61" s="855"/>
      <c r="T61" s="855"/>
      <c r="U61" s="855"/>
      <c r="V61" s="855"/>
      <c r="W61" s="855"/>
      <c r="X61" s="855"/>
      <c r="Y61" s="855"/>
      <c r="Z61" s="855"/>
      <c r="AA61" s="855"/>
      <c r="AB61" s="855"/>
      <c r="AC61" s="855"/>
      <c r="AD61" s="855"/>
      <c r="AE61" s="856"/>
    </row>
    <row r="62" spans="1:31" s="5" customFormat="1" ht="14.25" customHeight="1" x14ac:dyDescent="0.25">
      <c r="A62" s="841" t="s">
        <v>132</v>
      </c>
      <c r="B62" s="843"/>
      <c r="C62" s="841" t="s">
        <v>64</v>
      </c>
      <c r="D62" s="842"/>
      <c r="E62" s="842"/>
      <c r="F62" s="843"/>
      <c r="G62" s="867" t="s">
        <v>202</v>
      </c>
      <c r="H62" s="868"/>
      <c r="I62" s="869"/>
      <c r="J62" s="851" t="s">
        <v>62</v>
      </c>
      <c r="K62" s="857"/>
      <c r="L62" s="857"/>
      <c r="M62" s="857"/>
      <c r="N62" s="857"/>
      <c r="O62" s="857"/>
      <c r="P62" s="857"/>
      <c r="Q62" s="857"/>
      <c r="R62" s="857"/>
      <c r="S62" s="857"/>
      <c r="T62" s="857"/>
      <c r="U62" s="857"/>
      <c r="V62" s="857"/>
      <c r="W62" s="857"/>
      <c r="X62" s="857"/>
      <c r="Y62" s="857"/>
      <c r="Z62" s="857"/>
      <c r="AA62" s="857"/>
      <c r="AB62" s="857"/>
      <c r="AC62" s="857"/>
      <c r="AD62" s="857"/>
      <c r="AE62" s="858"/>
    </row>
    <row r="63" spans="1:31" s="5" customFormat="1" ht="14.25" customHeight="1" x14ac:dyDescent="0.25">
      <c r="A63" s="841" t="s">
        <v>135</v>
      </c>
      <c r="B63" s="843"/>
      <c r="C63" s="841" t="s">
        <v>63</v>
      </c>
      <c r="D63" s="842"/>
      <c r="E63" s="842"/>
      <c r="F63" s="843"/>
      <c r="G63" s="867" t="s">
        <v>202</v>
      </c>
      <c r="H63" s="868"/>
      <c r="I63" s="869"/>
      <c r="J63" s="851" t="s">
        <v>61</v>
      </c>
      <c r="K63" s="857"/>
      <c r="L63" s="857"/>
      <c r="M63" s="857"/>
      <c r="N63" s="857"/>
      <c r="O63" s="857"/>
      <c r="P63" s="857"/>
      <c r="Q63" s="857"/>
      <c r="R63" s="857"/>
      <c r="S63" s="857"/>
      <c r="T63" s="857"/>
      <c r="U63" s="857"/>
      <c r="V63" s="857"/>
      <c r="W63" s="857"/>
      <c r="X63" s="857"/>
      <c r="Y63" s="857"/>
      <c r="Z63" s="857"/>
      <c r="AA63" s="857"/>
      <c r="AB63" s="857"/>
      <c r="AC63" s="857"/>
      <c r="AD63" s="857"/>
      <c r="AE63" s="858"/>
    </row>
    <row r="64" spans="1:31" s="5" customFormat="1" ht="14.1" customHeight="1" x14ac:dyDescent="0.25">
      <c r="A64" s="841" t="s">
        <v>136</v>
      </c>
      <c r="B64" s="843"/>
      <c r="C64" s="841" t="s">
        <v>111</v>
      </c>
      <c r="D64" s="842"/>
      <c r="E64" s="842"/>
      <c r="F64" s="843"/>
      <c r="G64" s="872" t="s">
        <v>202</v>
      </c>
      <c r="H64" s="873"/>
      <c r="I64" s="873"/>
      <c r="J64" s="851" t="s">
        <v>50</v>
      </c>
      <c r="K64" s="857"/>
      <c r="L64" s="857"/>
      <c r="M64" s="857"/>
      <c r="N64" s="857"/>
      <c r="O64" s="857"/>
      <c r="P64" s="857"/>
      <c r="Q64" s="857"/>
      <c r="R64" s="857"/>
      <c r="S64" s="857"/>
      <c r="T64" s="857"/>
      <c r="U64" s="857"/>
      <c r="V64" s="857"/>
      <c r="W64" s="857"/>
      <c r="X64" s="857"/>
      <c r="Y64" s="857"/>
      <c r="Z64" s="857"/>
      <c r="AA64" s="857"/>
      <c r="AB64" s="857"/>
      <c r="AC64" s="857"/>
      <c r="AD64" s="857"/>
      <c r="AE64" s="858"/>
    </row>
    <row r="65" spans="1:31" s="5" customFormat="1" ht="14.1" customHeight="1" x14ac:dyDescent="0.25">
      <c r="A65" s="841" t="s">
        <v>52</v>
      </c>
      <c r="B65" s="843"/>
      <c r="C65" s="841" t="s">
        <v>352</v>
      </c>
      <c r="D65" s="842"/>
      <c r="E65" s="842"/>
      <c r="F65" s="843"/>
      <c r="G65" s="872" t="s">
        <v>202</v>
      </c>
      <c r="H65" s="873"/>
      <c r="I65" s="873"/>
      <c r="J65" s="851" t="s">
        <v>53</v>
      </c>
      <c r="K65" s="857"/>
      <c r="L65" s="857"/>
      <c r="M65" s="857"/>
      <c r="N65" s="857"/>
      <c r="O65" s="857"/>
      <c r="P65" s="857"/>
      <c r="Q65" s="857"/>
      <c r="R65" s="857"/>
      <c r="S65" s="857"/>
      <c r="T65" s="857"/>
      <c r="U65" s="857"/>
      <c r="V65" s="857"/>
      <c r="W65" s="857"/>
      <c r="X65" s="857"/>
      <c r="Y65" s="857"/>
      <c r="Z65" s="857"/>
      <c r="AA65" s="857"/>
      <c r="AB65" s="857"/>
      <c r="AC65" s="857"/>
      <c r="AD65" s="857"/>
      <c r="AE65" s="858"/>
    </row>
    <row r="66" spans="1:31" s="5" customFormat="1" ht="14.1" customHeight="1" x14ac:dyDescent="0.25">
      <c r="A66" s="841" t="s">
        <v>54</v>
      </c>
      <c r="B66" s="843"/>
      <c r="C66" s="841" t="s">
        <v>353</v>
      </c>
      <c r="D66" s="842"/>
      <c r="E66" s="842"/>
      <c r="F66" s="843"/>
      <c r="G66" s="867" t="s">
        <v>202</v>
      </c>
      <c r="H66" s="868"/>
      <c r="I66" s="869"/>
      <c r="J66" s="851" t="s">
        <v>55</v>
      </c>
      <c r="K66" s="852"/>
      <c r="L66" s="852"/>
      <c r="M66" s="852"/>
      <c r="N66" s="852"/>
      <c r="O66" s="852"/>
      <c r="P66" s="852"/>
      <c r="Q66" s="852"/>
      <c r="R66" s="852"/>
      <c r="S66" s="852"/>
      <c r="T66" s="852"/>
      <c r="U66" s="852"/>
      <c r="V66" s="852"/>
      <c r="W66" s="852"/>
      <c r="X66" s="852"/>
      <c r="Y66" s="852"/>
      <c r="Z66" s="852"/>
      <c r="AA66" s="852"/>
      <c r="AB66" s="852"/>
      <c r="AC66" s="852"/>
      <c r="AD66" s="852"/>
      <c r="AE66" s="853"/>
    </row>
    <row r="67" spans="1:31" s="5" customFormat="1" ht="21.75" customHeight="1" x14ac:dyDescent="0.25">
      <c r="A67" s="841" t="s">
        <v>385</v>
      </c>
      <c r="B67" s="843"/>
      <c r="C67" s="841" t="s">
        <v>386</v>
      </c>
      <c r="D67" s="842"/>
      <c r="E67" s="842"/>
      <c r="F67" s="843"/>
      <c r="G67" s="878" t="s">
        <v>311</v>
      </c>
      <c r="H67" s="879"/>
      <c r="I67" s="879"/>
      <c r="J67" s="851" t="s">
        <v>393</v>
      </c>
      <c r="K67" s="857"/>
      <c r="L67" s="857"/>
      <c r="M67" s="857"/>
      <c r="N67" s="857"/>
      <c r="O67" s="857"/>
      <c r="P67" s="857"/>
      <c r="Q67" s="857"/>
      <c r="R67" s="857"/>
      <c r="S67" s="857"/>
      <c r="T67" s="857"/>
      <c r="U67" s="857"/>
      <c r="V67" s="857"/>
      <c r="W67" s="857"/>
      <c r="X67" s="857"/>
      <c r="Y67" s="857"/>
      <c r="Z67" s="857"/>
      <c r="AA67" s="857"/>
      <c r="AB67" s="857"/>
      <c r="AC67" s="857"/>
      <c r="AD67" s="857"/>
      <c r="AE67" s="858"/>
    </row>
    <row r="68" spans="1:31" s="5" customFormat="1" ht="14.1" customHeight="1" x14ac:dyDescent="0.25">
      <c r="A68" s="841" t="s">
        <v>125</v>
      </c>
      <c r="B68" s="843"/>
      <c r="C68" s="841" t="s">
        <v>112</v>
      </c>
      <c r="D68" s="842"/>
      <c r="E68" s="842"/>
      <c r="F68" s="843"/>
      <c r="G68" s="874" t="s">
        <v>192</v>
      </c>
      <c r="H68" s="875"/>
      <c r="I68" s="875"/>
      <c r="J68" s="851" t="s">
        <v>294</v>
      </c>
      <c r="K68" s="857"/>
      <c r="L68" s="857"/>
      <c r="M68" s="857"/>
      <c r="N68" s="857"/>
      <c r="O68" s="857"/>
      <c r="P68" s="857"/>
      <c r="Q68" s="857"/>
      <c r="R68" s="857"/>
      <c r="S68" s="857"/>
      <c r="T68" s="857"/>
      <c r="U68" s="857"/>
      <c r="V68" s="857"/>
      <c r="W68" s="857"/>
      <c r="X68" s="857"/>
      <c r="Y68" s="857"/>
      <c r="Z68" s="857"/>
      <c r="AA68" s="857"/>
      <c r="AB68" s="857"/>
      <c r="AC68" s="857"/>
      <c r="AD68" s="857"/>
      <c r="AE68" s="858"/>
    </row>
    <row r="69" spans="1:31" s="5" customFormat="1" ht="14.1" customHeight="1" x14ac:dyDescent="0.25">
      <c r="A69" s="841" t="s">
        <v>387</v>
      </c>
      <c r="B69" s="843"/>
      <c r="C69" s="841" t="s">
        <v>113</v>
      </c>
      <c r="D69" s="842"/>
      <c r="E69" s="842"/>
      <c r="F69" s="843"/>
      <c r="G69" s="874" t="s">
        <v>192</v>
      </c>
      <c r="H69" s="875"/>
      <c r="I69" s="875"/>
      <c r="J69" s="62" t="s">
        <v>284</v>
      </c>
      <c r="K69" s="62"/>
      <c r="L69" s="62"/>
      <c r="M69" s="62"/>
      <c r="N69" s="62"/>
      <c r="O69" s="62"/>
      <c r="P69" s="62"/>
      <c r="Q69" s="62"/>
      <c r="R69" s="62"/>
      <c r="S69" s="47"/>
      <c r="T69" s="47"/>
      <c r="U69" s="47"/>
      <c r="V69" s="47"/>
      <c r="W69" s="47"/>
      <c r="X69" s="47"/>
      <c r="Y69" s="47"/>
      <c r="Z69" s="47"/>
      <c r="AA69" s="47"/>
      <c r="AB69" s="47"/>
      <c r="AC69" s="47"/>
      <c r="AD69" s="47"/>
      <c r="AE69" s="63"/>
    </row>
    <row r="70" spans="1:31" s="5" customFormat="1" ht="14.1" customHeight="1" x14ac:dyDescent="0.25">
      <c r="A70" s="841" t="s">
        <v>385</v>
      </c>
      <c r="B70" s="843"/>
      <c r="C70" s="841" t="s">
        <v>388</v>
      </c>
      <c r="D70" s="842"/>
      <c r="E70" s="842"/>
      <c r="F70" s="843"/>
      <c r="G70" s="874" t="s">
        <v>192</v>
      </c>
      <c r="H70" s="875"/>
      <c r="I70" s="875"/>
      <c r="J70" s="851" t="s">
        <v>394</v>
      </c>
      <c r="K70" s="852"/>
      <c r="L70" s="852"/>
      <c r="M70" s="852"/>
      <c r="N70" s="852"/>
      <c r="O70" s="852"/>
      <c r="P70" s="852"/>
      <c r="Q70" s="852"/>
      <c r="R70" s="852"/>
      <c r="S70" s="852"/>
      <c r="T70" s="852"/>
      <c r="U70" s="852"/>
      <c r="V70" s="852"/>
      <c r="W70" s="852"/>
      <c r="X70" s="852"/>
      <c r="Y70" s="852"/>
      <c r="Z70" s="852"/>
      <c r="AA70" s="852"/>
      <c r="AB70" s="852"/>
      <c r="AC70" s="852"/>
      <c r="AD70" s="852"/>
      <c r="AE70" s="853"/>
    </row>
    <row r="72" spans="1:31" ht="17.25" customHeight="1" x14ac:dyDescent="0.2"/>
    <row r="74" spans="1:31" ht="10.5" customHeight="1" x14ac:dyDescent="0.2"/>
    <row r="75" spans="1:31" ht="8.25" hidden="1" customHeight="1" x14ac:dyDescent="0.2"/>
    <row r="76" spans="1:31" ht="14.25" hidden="1" customHeight="1" x14ac:dyDescent="0.2">
      <c r="A76" s="33" t="str">
        <f>Berechnung2!B32</f>
        <v>Matrix</v>
      </c>
      <c r="C76" s="33"/>
      <c r="D76" s="33"/>
      <c r="E76" s="34"/>
      <c r="F76" s="34"/>
      <c r="G76" s="34"/>
      <c r="H76" s="34"/>
      <c r="I76" s="34"/>
      <c r="J76" s="34"/>
      <c r="K76" s="34"/>
      <c r="L76" s="34"/>
      <c r="M76" s="34"/>
      <c r="N76" s="33"/>
      <c r="O76" s="33"/>
      <c r="P76" s="33"/>
      <c r="Q76" s="33"/>
      <c r="R76" s="33"/>
      <c r="S76" s="33"/>
      <c r="T76" s="33"/>
      <c r="AE76" s="1"/>
    </row>
    <row r="77" spans="1:31" ht="14.25" hidden="1" customHeight="1" x14ac:dyDescent="0.2">
      <c r="A77" s="33" t="str">
        <f>IF(Berechnung2!B33="","",Berechnung2!B33)</f>
        <v>ART</v>
      </c>
      <c r="B77" s="33" t="str">
        <f>IF(Berechnung2!C33="","",Berechnung2!C33)</f>
        <v/>
      </c>
      <c r="C77" s="33" t="str">
        <f>IF(Berechnung2!D33="","",Berechnung2!D33)</f>
        <v/>
      </c>
      <c r="E77" s="33" t="str">
        <f>IF(Berechnung2!E33="","",Berechnung2!E33)</f>
        <v/>
      </c>
      <c r="F77" s="33" t="str">
        <f>IF(Berechnung2!F33="","",Berechnung2!F33)</f>
        <v>Werte</v>
      </c>
      <c r="G77" s="33" t="str">
        <f>IF(Berechnung2!G33="","",Berechnung2!G33)</f>
        <v/>
      </c>
      <c r="H77" s="33" t="str">
        <f>IF(Berechnung2!H33="","",Berechnung2!H33)</f>
        <v/>
      </c>
      <c r="I77" s="33" t="str">
        <f>IF(Berechnung2!I33="","",Berechnung2!I33)</f>
        <v/>
      </c>
      <c r="J77" s="33" t="str">
        <f>IF(Berechnung2!J33="","",Berechnung2!J33)</f>
        <v/>
      </c>
      <c r="K77" s="33" t="str">
        <f>IF(Berechnung2!K33="","",Berechnung2!K33)</f>
        <v/>
      </c>
      <c r="M77" s="33" t="str">
        <f>IF(Berechnung2!L33="","",Berechnung2!L33)</f>
        <v>Texte Matrix Datenquali</v>
      </c>
      <c r="N77" s="33"/>
      <c r="O77" s="33"/>
      <c r="P77" s="33"/>
      <c r="Q77" s="33"/>
      <c r="R77" s="33"/>
      <c r="S77" s="33"/>
      <c r="T77" s="33"/>
      <c r="AE77" s="1"/>
    </row>
    <row r="78" spans="1:31" ht="14.25" hidden="1" customHeight="1" x14ac:dyDescent="0.2">
      <c r="A78" s="33" t="str">
        <f>IF(Berechnung2!B34="","",Berechnung2!B34)</f>
        <v>Ganze Zahlen</v>
      </c>
      <c r="B78" s="33" t="str">
        <f>IF(Berechnung2!C34="","",Berechnung2!C34)</f>
        <v/>
      </c>
      <c r="C78" s="33" t="str">
        <f>IF(Berechnung2!D34="","",Berechnung2!D34)</f>
        <v/>
      </c>
      <c r="E78" s="33" t="str">
        <f>IF(Berechnung2!E34="","",Berechnung2!E34)</f>
        <v>-----</v>
      </c>
      <c r="F78" s="33" t="str">
        <f>IF(Berechnung2!F34="","",Berechnung2!F34)</f>
        <v>-----</v>
      </c>
      <c r="G78" s="33" t="str">
        <f>IF(Berechnung2!G34="","",Berechnung2!G34)</f>
        <v>-----</v>
      </c>
      <c r="H78" s="33" t="str">
        <f>IF(Berechnung2!H34="","",Berechnung2!H34)</f>
        <v>-----</v>
      </c>
      <c r="I78" s="33" t="str">
        <f>IF(Berechnung2!I34="","",Berechnung2!I34)</f>
        <v>-----</v>
      </c>
      <c r="J78" s="33" t="str">
        <f>IF(Berechnung2!J34="","",Berechnung2!J34)</f>
        <v>-----</v>
      </c>
      <c r="K78" s="33" t="str">
        <f>IF(Berechnung2!K34="","",Berechnung2!K34)</f>
        <v>-----</v>
      </c>
      <c r="M78" s="33" t="str">
        <f>IF(Berechnung2!L34="","",Berechnung2!L34)</f>
        <v/>
      </c>
      <c r="N78" s="34"/>
      <c r="O78" s="34"/>
      <c r="P78" s="34"/>
      <c r="Q78" s="34"/>
      <c r="R78" s="34"/>
      <c r="S78" s="34"/>
      <c r="T78" s="34"/>
      <c r="U78" s="34"/>
      <c r="V78" s="34"/>
      <c r="W78" s="34"/>
      <c r="AE78" s="1"/>
    </row>
    <row r="79" spans="1:31" ht="14.25" hidden="1" customHeight="1" x14ac:dyDescent="0.2">
      <c r="A79" s="33" t="str">
        <f>IF(Berechnung2!B35="","",Berechnung2!B35)</f>
        <v>Relevante Nachsorgejahre nicht/unvollständig bearbeitet</v>
      </c>
      <c r="B79" s="33" t="str">
        <f>IF(Berechnung2!C35="","",Berechnung2!C35)</f>
        <v/>
      </c>
      <c r="C79" s="33" t="str">
        <f>IF(Berechnung2!D35="","",Berechnung2!D35)</f>
        <v>unvollständig</v>
      </c>
      <c r="E79" s="33" t="str">
        <f>IF(Berechnung2!E35="","",Berechnung2!E35)</f>
        <v>-----</v>
      </c>
      <c r="F79" s="33" t="str">
        <f>IF(Berechnung2!F35="","",Berechnung2!F35)</f>
        <v>-----</v>
      </c>
      <c r="G79" s="33" t="str">
        <f>IF(Berechnung2!G35="","",Berechnung2!G35)</f>
        <v>-----</v>
      </c>
      <c r="H79" s="33" t="str">
        <f>IF(Berechnung2!H35="","",Berechnung2!H35)</f>
        <v>-----</v>
      </c>
      <c r="I79" s="33" t="str">
        <f>IF(Berechnung2!I35="","",Berechnung2!I35)</f>
        <v>-----</v>
      </c>
      <c r="J79" s="33" t="str">
        <f>IF(Berechnung2!J35="","",Berechnung2!J35)</f>
        <v>-----</v>
      </c>
      <c r="K79" s="33" t="str">
        <f>IF(Berechnung2!K35="","",Berechnung2!K35)</f>
        <v>-----</v>
      </c>
      <c r="M79" s="33" t="str">
        <f>IF(Berechnung2!L35="","",Berechnung2!L35)</f>
        <v>relevante Nachsorgejahre nicht/unvollständig bearbeitet</v>
      </c>
      <c r="N79" s="34"/>
      <c r="O79" s="33"/>
      <c r="P79" s="33"/>
      <c r="Q79" s="33"/>
      <c r="R79" s="33"/>
      <c r="S79" s="33"/>
      <c r="T79" s="33"/>
      <c r="AE79" s="1"/>
    </row>
    <row r="80" spans="1:31" ht="14.25" hidden="1" customHeight="1" x14ac:dyDescent="0.2">
      <c r="A80" s="33" t="str">
        <f>IF(Berechnung2!B36="","",Berechnung2!B36)</f>
        <v>zu viele Patientinnen im "davon posttherapeutisch nicht tumorfrei"</v>
      </c>
      <c r="B80" s="33" t="str">
        <f>IF(Berechnung2!C36="","",Berechnung2!C36)</f>
        <v/>
      </c>
      <c r="C80" s="33" t="str">
        <f>IF(Berechnung2!D36="","",Berechnung2!D36)</f>
        <v>inkorrekt</v>
      </c>
      <c r="E80" s="33" t="str">
        <f>IF(Berechnung2!E36="","",Berechnung2!E36)</f>
        <v/>
      </c>
      <c r="F80" s="33" t="str">
        <f>IF(Berechnung2!F36="","",Berechnung2!F36)</f>
        <v/>
      </c>
      <c r="G80" s="33" t="str">
        <f>IF(Berechnung2!G36="","",Berechnung2!G36)</f>
        <v/>
      </c>
      <c r="H80" s="33" t="str">
        <f>IF(Berechnung2!H36="","",Berechnung2!H36)</f>
        <v/>
      </c>
      <c r="I80" s="33" t="str">
        <f>IF(Berechnung2!I36="","",Berechnung2!I36)</f>
        <v/>
      </c>
      <c r="J80" s="33" t="str">
        <f>IF(Berechnung2!J36="","",Berechnung2!J36)</f>
        <v/>
      </c>
      <c r="K80" s="33" t="str">
        <f>IF(Berechnung2!K36="","",Berechnung2!K36)</f>
        <v/>
      </c>
      <c r="M80" s="33" t="str">
        <f>IF(Berechnung2!L36="","",Berechnung2!L36)</f>
        <v xml:space="preserve">Werte in Spalte M müssen kleiner gleich sein als Spalte C </v>
      </c>
      <c r="N80" s="34"/>
      <c r="O80" s="33"/>
      <c r="P80" s="33"/>
      <c r="Q80" s="33"/>
      <c r="R80" s="33"/>
      <c r="S80" s="33"/>
      <c r="T80" s="33"/>
      <c r="AE80" s="1"/>
    </row>
    <row r="81" spans="1:31" ht="14.25" hidden="1" customHeight="1" x14ac:dyDescent="0.2">
      <c r="A81" s="33" t="str">
        <f>IF(Berechnung2!B37="","",Berechnung2!B37)</f>
        <v>wenn sich Minuswerte berechnen - "Grundgesamtheit Follow-Up"</v>
      </c>
      <c r="B81" s="33" t="str">
        <f>IF(Berechnung2!C37="","",Berechnung2!C37)</f>
        <v/>
      </c>
      <c r="C81" s="33" t="str">
        <f>IF(Berechnung2!D37="","",Berechnung2!D37)</f>
        <v>inkorrekt</v>
      </c>
      <c r="E81" s="33" t="str">
        <f>IF(Berechnung2!E37="","",Berechnung2!E37)</f>
        <v>&lt;</v>
      </c>
      <c r="F81" s="33" t="str">
        <f>IF(Berechnung2!F37="","",Berechnung2!F37)</f>
        <v>-----</v>
      </c>
      <c r="G81" s="33">
        <f>IF(Berechnung2!G37="","",Berechnung2!G37)</f>
        <v>0</v>
      </c>
      <c r="H81" s="33" t="str">
        <f>IF(Berechnung2!H37="","",Berechnung2!H37)</f>
        <v>-----</v>
      </c>
      <c r="I81" s="33" t="str">
        <f>IF(Berechnung2!I37="","",Berechnung2!I37)</f>
        <v>-----</v>
      </c>
      <c r="J81" s="33" t="str">
        <f>IF(Berechnung2!J37="","",Berechnung2!J37)</f>
        <v>-----</v>
      </c>
      <c r="K81" s="33" t="str">
        <f>IF(Berechnung2!K37="","",Berechnung2!K37)</f>
        <v>-----</v>
      </c>
      <c r="M81" s="33" t="str">
        <f>IF(Berechnung2!L37="","",Berechnung2!L37)</f>
        <v>Zahlen in Spalte N dürfen keine negativen Werte annehmen</v>
      </c>
      <c r="N81" s="34"/>
      <c r="O81" s="33"/>
      <c r="P81" s="33"/>
      <c r="Q81" s="33"/>
      <c r="R81" s="33"/>
      <c r="S81" s="33"/>
      <c r="T81" s="33"/>
      <c r="AE81" s="1"/>
    </row>
    <row r="82" spans="1:31" ht="14.25" hidden="1" customHeight="1" x14ac:dyDescent="0.2">
      <c r="A82" s="33" t="str">
        <f>IF(Berechnung2!B38="","",Berechnung2!B38)</f>
        <v>wenn sich Minuswerte berechnen - "keine Rückmeldung"</v>
      </c>
      <c r="B82" s="33" t="str">
        <f>IF(Berechnung2!C38="","",Berechnung2!C38)</f>
        <v/>
      </c>
      <c r="C82" s="33" t="str">
        <f>IF(Berechnung2!D38="","",Berechnung2!D38)</f>
        <v>inkorrekt</v>
      </c>
      <c r="E82" s="33" t="str">
        <f>IF(Berechnung2!E38="","",Berechnung2!E38)</f>
        <v>&lt;</v>
      </c>
      <c r="F82" s="33" t="str">
        <f>IF(Berechnung2!F38="","",Berechnung2!F38)</f>
        <v>-----</v>
      </c>
      <c r="G82" s="33">
        <f>IF(Berechnung2!G38="","",Berechnung2!G38)</f>
        <v>0</v>
      </c>
      <c r="H82" s="33" t="str">
        <f>IF(Berechnung2!H38="","",Berechnung2!H38)</f>
        <v>-----</v>
      </c>
      <c r="I82" s="33" t="str">
        <f>IF(Berechnung2!I38="","",Berechnung2!I38)</f>
        <v>-----</v>
      </c>
      <c r="J82" s="33" t="str">
        <f>IF(Berechnung2!J38="","",Berechnung2!J38)</f>
        <v>-----</v>
      </c>
      <c r="K82" s="33" t="str">
        <f>IF(Berechnung2!K38="","",Berechnung2!K38)</f>
        <v>-----</v>
      </c>
      <c r="M82" s="33" t="str">
        <f>IF(Berechnung2!L38="","",Berechnung2!L38)</f>
        <v>Zahlen in Spalte Q dürfen keine negativen Werte annehmen</v>
      </c>
      <c r="N82" s="34"/>
      <c r="O82" s="33"/>
      <c r="P82" s="33"/>
      <c r="Q82" s="33"/>
      <c r="R82" s="33"/>
      <c r="S82" s="33"/>
      <c r="T82" s="33"/>
      <c r="AE82" s="1"/>
    </row>
    <row r="83" spans="1:31" ht="14.25" hidden="1" customHeight="1" x14ac:dyDescent="0.2">
      <c r="A83" s="33" t="str">
        <f>IF(Berechnung2!B39="","",Berechnung2!B39)</f>
        <v xml:space="preserve">wenn sich Minuswerte berechnen - "kein Ereignis pro Fall eingetreten" </v>
      </c>
      <c r="B83" s="33" t="str">
        <f>IF(Berechnung2!C39="","",Berechnung2!C39)</f>
        <v/>
      </c>
      <c r="C83" s="33" t="str">
        <f>IF(Berechnung2!D39="","",Berechnung2!D39)</f>
        <v>inkorrekt</v>
      </c>
      <c r="E83" s="33" t="str">
        <f>IF(Berechnung2!E39="","",Berechnung2!E39)</f>
        <v>&lt;</v>
      </c>
      <c r="F83" s="33" t="str">
        <f>IF(Berechnung2!F39="","",Berechnung2!F39)</f>
        <v>-----</v>
      </c>
      <c r="G83" s="33">
        <f>IF(Berechnung2!G39="","",Berechnung2!G39)</f>
        <v>0</v>
      </c>
      <c r="H83" s="33" t="str">
        <f>IF(Berechnung2!H39="","",Berechnung2!H39)</f>
        <v>-----</v>
      </c>
      <c r="I83" s="33" t="str">
        <f>IF(Berechnung2!I39="","",Berechnung2!I39)</f>
        <v>-----</v>
      </c>
      <c r="J83" s="33" t="str">
        <f>IF(Berechnung2!J39="","",Berechnung2!J39)</f>
        <v>-----</v>
      </c>
      <c r="K83" s="33" t="str">
        <f>IF(Berechnung2!K39="","",Berechnung2!K39)</f>
        <v>-----</v>
      </c>
      <c r="M83" s="33" t="str">
        <f>IF(Berechnung2!L39="","",Berechnung2!L39)</f>
        <v>Zahlen in Spalte T dürfen keine negativen Werte annehmen</v>
      </c>
      <c r="N83" s="34"/>
      <c r="O83" s="33"/>
      <c r="P83" s="33"/>
      <c r="Q83" s="33"/>
      <c r="R83" s="33"/>
      <c r="S83" s="33"/>
      <c r="T83" s="33"/>
      <c r="AE83" s="1"/>
    </row>
    <row r="84" spans="1:31" ht="14.25" hidden="1" customHeight="1" x14ac:dyDescent="0.2">
      <c r="A84" s="33" t="str">
        <f>IF(Berechnung2!B40="","",Berechnung2!B40)</f>
        <v>Fehler bei Ereignisse - lebend</v>
      </c>
      <c r="B84" s="33" t="str">
        <f>IF(Berechnung2!C40="","",Berechnung2!C40)</f>
        <v/>
      </c>
      <c r="C84" s="33" t="str">
        <f>IF(Berechnung2!D40="","",Berechnung2!D40)</f>
        <v>inkorrekt</v>
      </c>
      <c r="E84" s="33" t="str">
        <f>IF(Berechnung2!E40="","",Berechnung2!E40)</f>
        <v>-----</v>
      </c>
      <c r="F84" s="33" t="str">
        <f>IF(Berechnung2!F40="","",Berechnung2!F40)</f>
        <v>-----</v>
      </c>
      <c r="G84" s="33" t="str">
        <f>IF(Berechnung2!G40="","",Berechnung2!G40)</f>
        <v>-----</v>
      </c>
      <c r="H84" s="33" t="str">
        <f>IF(Berechnung2!H40="","",Berechnung2!H40)</f>
        <v>-----</v>
      </c>
      <c r="I84" s="33" t="str">
        <f>IF(Berechnung2!I40="","",Berechnung2!I40)</f>
        <v>-----</v>
      </c>
      <c r="J84" s="33" t="str">
        <f>IF(Berechnung2!J40="","",Berechnung2!J40)</f>
        <v>-----</v>
      </c>
      <c r="K84" s="33" t="str">
        <f>IF(Berechnung2!K40="","",Berechnung2!K40)</f>
        <v>-----</v>
      </c>
      <c r="M84" s="33" t="str">
        <f>IF(Berechnung2!L40="","",Berechnung2!L40)</f>
        <v>Werte in Spalte V, W, X, Y dürfen den Wert Spalte U nicht übersteigen</v>
      </c>
      <c r="N84" s="34"/>
      <c r="O84" s="33"/>
      <c r="P84" s="33"/>
      <c r="Q84" s="33"/>
      <c r="R84" s="33"/>
      <c r="S84" s="33"/>
      <c r="T84" s="33"/>
      <c r="AE84" s="1"/>
    </row>
    <row r="85" spans="1:31" ht="14.25" hidden="1" customHeight="1" x14ac:dyDescent="0.2">
      <c r="A85" s="33" t="str">
        <f>IF(Berechnung2!B41="","",Berechnung2!B41)</f>
        <v>Fehler bei Ereignisse - verstorben</v>
      </c>
      <c r="B85" s="33" t="str">
        <f>IF(Berechnung2!C41="","",Berechnung2!C41)</f>
        <v/>
      </c>
      <c r="C85" s="33" t="str">
        <f>IF(Berechnung2!D41="","",Berechnung2!D41)</f>
        <v>inkorrekt</v>
      </c>
      <c r="E85" s="33" t="str">
        <f>IF(Berechnung2!E41="","",Berechnung2!E41)</f>
        <v>-----</v>
      </c>
      <c r="F85" s="33" t="str">
        <f>IF(Berechnung2!F41="","",Berechnung2!F41)</f>
        <v>-----</v>
      </c>
      <c r="G85" s="33" t="str">
        <f>IF(Berechnung2!G41="","",Berechnung2!G41)</f>
        <v>-----</v>
      </c>
      <c r="H85" s="33" t="str">
        <f>IF(Berechnung2!H41="","",Berechnung2!H41)</f>
        <v>-----</v>
      </c>
      <c r="I85" s="33" t="str">
        <f>IF(Berechnung2!I41="","",Berechnung2!I41)</f>
        <v>-----</v>
      </c>
      <c r="J85" s="33" t="str">
        <f>IF(Berechnung2!J41="","",Berechnung2!J41)</f>
        <v>-----</v>
      </c>
      <c r="K85" s="33" t="str">
        <f>IF(Berechnung2!K41="","",Berechnung2!K41)</f>
        <v>-----</v>
      </c>
      <c r="M85" s="33" t="str">
        <f>IF(Berechnung2!L41="","",Berechnung2!L41)</f>
        <v>Werte in Spalte AA, AB, AC, AD dürfen den Wert Spalte Z nicht übersteigen</v>
      </c>
      <c r="N85" s="34"/>
      <c r="O85" s="33"/>
      <c r="P85" s="33"/>
      <c r="Q85" s="33"/>
      <c r="R85" s="33"/>
      <c r="S85" s="33"/>
      <c r="T85" s="33"/>
      <c r="AE85" s="1"/>
    </row>
    <row r="86" spans="1:31" ht="14.25" hidden="1" customHeight="1" x14ac:dyDescent="0.2">
      <c r="A86" s="33" t="str">
        <f>IF(Berechnung2!B42="","",Berechnung2!B42)</f>
        <v>geringe Follow-Up Quote der Jahre 2015-2017</v>
      </c>
      <c r="B86" s="33" t="str">
        <f>IF(Berechnung2!C42="","",Berechnung2!C42)</f>
        <v/>
      </c>
      <c r="C86" s="33" t="str">
        <f>IF(Berechnung2!D42="","",Berechnung2!D42)</f>
        <v>sollvorgabe</v>
      </c>
      <c r="E86" s="33" t="str">
        <f>IF(Berechnung2!E42="","",Berechnung2!E42)</f>
        <v>&lt;</v>
      </c>
      <c r="F86" s="188">
        <f>IF(Berechnung2!F42="","",Berechnung2!F42)</f>
        <v>0</v>
      </c>
      <c r="G86" s="188">
        <f>IF(Berechnung2!G42="","",Berechnung2!G42)</f>
        <v>0</v>
      </c>
      <c r="H86" s="188" t="str">
        <f>IF(Berechnung2!H42="","",Berechnung2!H42)</f>
        <v/>
      </c>
      <c r="I86" s="188">
        <f>IF(Berechnung2!I42="","",Berechnung2!I42)</f>
        <v>0.69999</v>
      </c>
      <c r="J86" s="188">
        <f>IF(Berechnung2!J42="","",Berechnung2!J42)</f>
        <v>0.69999</v>
      </c>
      <c r="K86" s="33" t="str">
        <f>IF(Berechnung2!K42="","",Berechnung2!K42)</f>
        <v/>
      </c>
      <c r="M86" s="33" t="str">
        <f>IF(Berechnung2!L42="","",Berechnung2!L42)</f>
        <v>durchschnittliche Follow-Up Quote &lt; 70%</v>
      </c>
      <c r="N86" s="34"/>
      <c r="O86" s="33"/>
      <c r="P86" s="33"/>
      <c r="Q86" s="33"/>
      <c r="R86" s="33"/>
      <c r="S86" s="33"/>
      <c r="T86" s="33"/>
      <c r="AE86" s="1"/>
    </row>
    <row r="87" spans="1:31" ht="14.25" hidden="1" customHeight="1" x14ac:dyDescent="0.2">
      <c r="A87" s="33" t="str">
        <f>IF(Berechnung2!B43="","",Berechnung2!B43)</f>
        <v>zu geringe Anzahl der Primärfälle</v>
      </c>
      <c r="B87" s="33" t="str">
        <f>IF(Berechnung2!C43="","",Berechnung2!C43)</f>
        <v/>
      </c>
      <c r="C87" s="33" t="str">
        <f>IF(Berechnung2!D43="","",Berechnung2!D43)</f>
        <v>plausi</v>
      </c>
      <c r="E87" s="33" t="str">
        <f>IF(Berechnung2!E43="","",Berechnung2!E43)</f>
        <v>&lt;</v>
      </c>
      <c r="F87" s="188" t="str">
        <f>IF(Berechnung2!F43="","",Berechnung2!F43)</f>
        <v/>
      </c>
      <c r="G87" s="33">
        <f>IF(Berechnung2!G43="","",Berechnung2!G43)</f>
        <v>50</v>
      </c>
      <c r="H87" s="188" t="str">
        <f>IF(Berechnung2!H43="","",Berechnung2!H43)</f>
        <v/>
      </c>
      <c r="I87" s="188" t="str">
        <f>IF(Berechnung2!I43="","",Berechnung2!I43)</f>
        <v/>
      </c>
      <c r="J87" s="188" t="str">
        <f>IF(Berechnung2!J43="","",Berechnung2!J43)</f>
        <v/>
      </c>
      <c r="K87" s="33" t="str">
        <f>IF(Berechnung2!K43="","",Berechnung2!K43)</f>
        <v/>
      </c>
      <c r="M87" s="33" t="str">
        <f>IF(Berechnung2!L43="","",Berechnung2!L43)</f>
        <v>zu wenig Primärfälle angegeben</v>
      </c>
      <c r="N87" s="34"/>
      <c r="O87" s="33"/>
      <c r="P87" s="33"/>
      <c r="Q87" s="33"/>
      <c r="R87" s="33"/>
      <c r="S87" s="33"/>
      <c r="T87" s="33"/>
      <c r="AE87" s="1"/>
    </row>
    <row r="88" spans="1:31" ht="14.25" hidden="1" customHeight="1" x14ac:dyDescent="0.2">
      <c r="A88" s="33" t="str">
        <f>IF(Berechnung2!B44="","",Berechnung2!B44)</f>
        <v>zu hohe Follow-Up Quote der Jahre 2015-2017</v>
      </c>
      <c r="B88" s="33" t="str">
        <f>IF(Berechnung2!C44="","",Berechnung2!C44)</f>
        <v/>
      </c>
      <c r="C88" s="33" t="str">
        <f>IF(Berechnung2!D44="","",Berechnung2!D44)</f>
        <v>plausi</v>
      </c>
      <c r="E88" s="33" t="str">
        <f>IF(Berechnung2!E44="","",Berechnung2!E44)</f>
        <v>&gt;</v>
      </c>
      <c r="F88" s="188" t="str">
        <f>IF(Berechnung2!F44="","",Berechnung2!F44)</f>
        <v/>
      </c>
      <c r="G88" s="188">
        <f>IF(Berechnung2!G44="","",Berechnung2!G44)</f>
        <v>0</v>
      </c>
      <c r="H88" s="33">
        <f>IF(Berechnung2!H44="","",Berechnung2!H44)</f>
        <v>0.95001000000000002</v>
      </c>
      <c r="I88" s="188">
        <f>IF(Berechnung2!I44="","",Berechnung2!I44)</f>
        <v>1</v>
      </c>
      <c r="J88" s="188">
        <f>IF(Berechnung2!J44="","",Berechnung2!J44)</f>
        <v>0.95001000000000002</v>
      </c>
      <c r="K88" s="33" t="str">
        <f>IF(Berechnung2!K44="","",Berechnung2!K44)</f>
        <v/>
      </c>
      <c r="M88" s="33" t="str">
        <f>IF(Berechnung2!L44="","",Berechnung2!L44)</f>
        <v>durchschnittliche Follow-Up Quote &gt; 95%</v>
      </c>
      <c r="N88" s="34"/>
      <c r="O88" s="33"/>
      <c r="P88" s="33"/>
      <c r="Q88" s="33"/>
      <c r="R88" s="33"/>
      <c r="S88" s="33"/>
      <c r="T88" s="33"/>
      <c r="AE88" s="1"/>
    </row>
    <row r="89" spans="1:31" ht="14.25" hidden="1" customHeight="1" x14ac:dyDescent="0.2">
      <c r="A89" s="33" t="str">
        <f>IF(Berechnung2!B45="","",Berechnung2!B45)</f>
        <v>geringe Follow-Up Quote Nachsorgejahre</v>
      </c>
      <c r="B89" s="33" t="str">
        <f>IF(Berechnung2!C45="","",Berechnung2!C45)</f>
        <v/>
      </c>
      <c r="C89" s="33" t="str">
        <f>IF(Berechnung2!D45="","",Berechnung2!D45)</f>
        <v>plausi</v>
      </c>
      <c r="E89" s="33" t="str">
        <f>IF(Berechnung2!E45="","",Berechnung2!E45)</f>
        <v>&lt;</v>
      </c>
      <c r="F89" s="188">
        <f>IF(Berechnung2!F45="","",Berechnung2!F45)</f>
        <v>0</v>
      </c>
      <c r="G89" s="188">
        <f>IF(Berechnung2!G45="","",Berechnung2!G45)</f>
        <v>0</v>
      </c>
      <c r="H89" s="33" t="str">
        <f>IF(Berechnung2!H45="","",Berechnung2!H45)</f>
        <v/>
      </c>
      <c r="I89" s="188">
        <f>IF(Berechnung2!I45="","",Berechnung2!I45)</f>
        <v>0.59999000000000002</v>
      </c>
      <c r="J89" s="188">
        <f>IF(Berechnung2!J45="","",Berechnung2!J45)</f>
        <v>0.59999000000000002</v>
      </c>
      <c r="K89" s="33" t="str">
        <f>IF(Berechnung2!K45="","",Berechnung2!K45)</f>
        <v/>
      </c>
      <c r="M89" s="33" t="str">
        <f>IF(Berechnung2!L45="","",Berechnung2!L45)</f>
        <v>geringe Follow-Up Quote der Nachsorgejahre</v>
      </c>
      <c r="N89" s="34"/>
      <c r="O89" s="33"/>
      <c r="P89" s="33"/>
      <c r="Q89" s="33"/>
      <c r="R89" s="33"/>
      <c r="S89" s="33"/>
      <c r="T89" s="33"/>
      <c r="AE89" s="1"/>
    </row>
    <row r="90" spans="1:31" ht="14.25" customHeight="1" x14ac:dyDescent="0.2">
      <c r="A90" s="33"/>
      <c r="C90" s="33"/>
      <c r="D90" s="33"/>
      <c r="E90" s="33"/>
      <c r="F90" s="33"/>
      <c r="G90" s="33"/>
      <c r="H90" s="33"/>
      <c r="I90" s="33"/>
      <c r="J90" s="33"/>
      <c r="K90" s="33"/>
      <c r="L90" s="33"/>
      <c r="M90" s="33"/>
      <c r="N90" s="33"/>
      <c r="O90" s="33"/>
      <c r="P90" s="33"/>
      <c r="Q90" s="33"/>
      <c r="R90" s="33"/>
      <c r="S90" s="33"/>
      <c r="T90" s="33"/>
      <c r="AE90" s="1"/>
    </row>
    <row r="91" spans="1:31" ht="14.25" customHeight="1" x14ac:dyDescent="0.2">
      <c r="A91" s="33"/>
      <c r="C91" s="33"/>
      <c r="D91" s="33"/>
      <c r="E91" s="33"/>
      <c r="F91" s="33"/>
      <c r="G91" s="33"/>
      <c r="H91" s="33"/>
      <c r="I91" s="33"/>
      <c r="J91" s="33"/>
      <c r="K91" s="33"/>
      <c r="L91" s="33"/>
      <c r="M91" s="33"/>
      <c r="N91" s="33"/>
      <c r="O91" s="33"/>
      <c r="P91" s="33"/>
      <c r="Q91" s="33"/>
      <c r="R91" s="33"/>
      <c r="S91" s="33"/>
      <c r="T91" s="33"/>
      <c r="AE91" s="1"/>
    </row>
    <row r="92" spans="1:31" ht="14.25" customHeight="1" x14ac:dyDescent="0.2">
      <c r="A92" s="33"/>
      <c r="C92" s="33"/>
      <c r="D92" s="33"/>
      <c r="E92" s="33"/>
      <c r="F92" s="33"/>
      <c r="G92" s="33"/>
      <c r="H92" s="33"/>
      <c r="I92" s="33"/>
      <c r="J92" s="33"/>
      <c r="K92" s="33"/>
      <c r="L92" s="33"/>
      <c r="M92" s="33"/>
      <c r="N92" s="33"/>
      <c r="O92" s="33"/>
      <c r="P92" s="33"/>
      <c r="Q92" s="33"/>
      <c r="R92" s="33"/>
      <c r="S92" s="33"/>
      <c r="T92" s="33"/>
      <c r="AE92" s="1"/>
    </row>
    <row r="93" spans="1:31" ht="14.25" customHeight="1" x14ac:dyDescent="0.2">
      <c r="A93" s="33"/>
      <c r="C93" s="33"/>
      <c r="D93" s="33"/>
      <c r="E93" s="33"/>
      <c r="F93" s="33"/>
      <c r="G93" s="33"/>
      <c r="H93" s="33"/>
      <c r="I93" s="33"/>
      <c r="J93" s="33"/>
      <c r="K93" s="33"/>
      <c r="L93" s="33"/>
      <c r="M93" s="33"/>
      <c r="N93" s="33"/>
      <c r="O93" s="33"/>
      <c r="P93" s="33"/>
      <c r="Q93" s="33"/>
      <c r="R93" s="33"/>
      <c r="S93" s="33"/>
      <c r="T93" s="33"/>
      <c r="AE93" s="1"/>
    </row>
    <row r="94" spans="1:31" ht="14.25" customHeight="1" x14ac:dyDescent="0.2">
      <c r="A94" s="33"/>
      <c r="C94" s="33"/>
      <c r="D94" s="33"/>
      <c r="E94" s="33"/>
      <c r="F94" s="33"/>
      <c r="G94" s="33"/>
      <c r="H94" s="33"/>
      <c r="I94" s="33"/>
      <c r="J94" s="33"/>
      <c r="K94" s="33"/>
      <c r="L94" s="33"/>
      <c r="M94" s="33"/>
      <c r="N94" s="33"/>
      <c r="O94" s="33"/>
      <c r="P94" s="33"/>
      <c r="Q94" s="33"/>
      <c r="R94" s="33"/>
      <c r="S94" s="33"/>
      <c r="T94" s="33"/>
      <c r="AE94" s="1"/>
    </row>
    <row r="95" spans="1:31" ht="14.25" customHeight="1" x14ac:dyDescent="0.2">
      <c r="A95" s="33"/>
      <c r="C95" s="33"/>
      <c r="D95" s="33"/>
      <c r="E95" s="33"/>
      <c r="F95" s="33"/>
      <c r="G95" s="33"/>
      <c r="H95" s="33"/>
      <c r="I95" s="33"/>
      <c r="J95" s="33"/>
      <c r="K95" s="33"/>
      <c r="L95" s="33"/>
      <c r="M95" s="33"/>
      <c r="N95" s="33"/>
      <c r="O95" s="33"/>
      <c r="P95" s="33"/>
      <c r="Q95" s="33"/>
      <c r="R95" s="33"/>
      <c r="S95" s="33"/>
      <c r="T95" s="33"/>
      <c r="AE95" s="1"/>
    </row>
    <row r="96" spans="1:31" ht="14.25" customHeight="1" x14ac:dyDescent="0.2">
      <c r="A96" s="33"/>
      <c r="C96" s="33"/>
      <c r="D96" s="33"/>
      <c r="E96" s="33"/>
      <c r="F96" s="33"/>
      <c r="G96" s="33"/>
      <c r="H96" s="33"/>
      <c r="I96" s="33"/>
      <c r="J96" s="33"/>
      <c r="K96" s="33"/>
      <c r="L96" s="33"/>
      <c r="M96" s="33"/>
      <c r="N96" s="33"/>
      <c r="O96" s="33"/>
      <c r="P96" s="33"/>
      <c r="Q96" s="33"/>
      <c r="R96" s="33"/>
      <c r="S96" s="33"/>
      <c r="T96" s="33"/>
      <c r="AE96" s="1"/>
    </row>
    <row r="97" spans="1:31" ht="14.25" customHeight="1" x14ac:dyDescent="0.2">
      <c r="A97" s="33"/>
      <c r="C97" s="33"/>
      <c r="D97" s="33"/>
      <c r="E97" s="33"/>
      <c r="F97" s="33"/>
      <c r="G97" s="33"/>
      <c r="H97" s="33"/>
      <c r="I97" s="33"/>
      <c r="J97" s="33"/>
      <c r="K97" s="33"/>
      <c r="L97" s="33"/>
      <c r="M97" s="33"/>
      <c r="N97" s="33"/>
      <c r="O97" s="33"/>
      <c r="P97" s="33"/>
      <c r="Q97" s="33"/>
      <c r="R97" s="33"/>
      <c r="S97" s="33"/>
      <c r="T97" s="33"/>
      <c r="AE97" s="1"/>
    </row>
    <row r="98" spans="1:31" ht="14.25" customHeight="1" x14ac:dyDescent="0.2">
      <c r="A98" s="33"/>
      <c r="C98" s="33"/>
      <c r="D98" s="33"/>
      <c r="E98" s="33"/>
      <c r="F98" s="33"/>
      <c r="G98" s="33"/>
      <c r="H98" s="33"/>
      <c r="I98" s="33"/>
      <c r="J98" s="33"/>
      <c r="K98" s="33"/>
      <c r="L98" s="33"/>
      <c r="M98" s="33"/>
      <c r="N98" s="33"/>
      <c r="O98" s="33"/>
      <c r="P98" s="33"/>
      <c r="Q98" s="33"/>
      <c r="R98" s="33"/>
      <c r="S98" s="33"/>
      <c r="T98" s="33"/>
      <c r="AE98" s="1"/>
    </row>
    <row r="99" spans="1:31" ht="14.25" customHeight="1" x14ac:dyDescent="0.2">
      <c r="A99" s="33"/>
      <c r="C99" s="33"/>
      <c r="D99" s="33"/>
      <c r="E99" s="33"/>
      <c r="F99" s="33"/>
      <c r="G99" s="33"/>
      <c r="H99" s="33"/>
      <c r="I99" s="33"/>
      <c r="J99" s="33"/>
      <c r="K99" s="33"/>
      <c r="L99" s="33"/>
      <c r="M99" s="33"/>
      <c r="N99" s="33"/>
      <c r="O99" s="33"/>
      <c r="P99" s="33"/>
      <c r="Q99" s="33"/>
      <c r="R99" s="33"/>
      <c r="S99" s="33"/>
      <c r="T99" s="33"/>
      <c r="AE99" s="1"/>
    </row>
    <row r="100" spans="1:31" ht="14.25" customHeight="1" x14ac:dyDescent="0.2">
      <c r="A100" s="33"/>
      <c r="C100" s="33"/>
      <c r="D100" s="33"/>
      <c r="E100" s="33"/>
      <c r="F100" s="33"/>
      <c r="G100" s="33"/>
      <c r="H100" s="33"/>
      <c r="I100" s="33"/>
      <c r="J100" s="33"/>
      <c r="K100" s="33"/>
      <c r="L100" s="33"/>
      <c r="M100" s="33"/>
      <c r="N100" s="33"/>
      <c r="O100" s="33"/>
      <c r="P100" s="33"/>
      <c r="Q100" s="33"/>
      <c r="R100" s="33"/>
      <c r="S100" s="33"/>
      <c r="T100" s="33"/>
      <c r="AE100" s="1"/>
    </row>
  </sheetData>
  <sheetProtection selectLockedCells="1"/>
  <dataConsolidate link="1"/>
  <mergeCells count="109">
    <mergeCell ref="J70:AE70"/>
    <mergeCell ref="J68:AE68"/>
    <mergeCell ref="J67:AE67"/>
    <mergeCell ref="J66:AE66"/>
    <mergeCell ref="J65:AE65"/>
    <mergeCell ref="AE17:AE19"/>
    <mergeCell ref="A39:AE39"/>
    <mergeCell ref="C57:F57"/>
    <mergeCell ref="A68:B68"/>
    <mergeCell ref="C68:F68"/>
    <mergeCell ref="A65:B65"/>
    <mergeCell ref="G61:I61"/>
    <mergeCell ref="A40:AE40"/>
    <mergeCell ref="C59:F59"/>
    <mergeCell ref="A59:B59"/>
    <mergeCell ref="A60:B60"/>
    <mergeCell ref="G57:I57"/>
    <mergeCell ref="G59:I59"/>
    <mergeCell ref="G58:I58"/>
    <mergeCell ref="C58:F58"/>
    <mergeCell ref="A57:B57"/>
    <mergeCell ref="A58:B58"/>
    <mergeCell ref="J58:AE58"/>
    <mergeCell ref="A67:B67"/>
    <mergeCell ref="G66:I66"/>
    <mergeCell ref="A63:B63"/>
    <mergeCell ref="A69:B69"/>
    <mergeCell ref="G60:I60"/>
    <mergeCell ref="C62:F62"/>
    <mergeCell ref="A70:B70"/>
    <mergeCell ref="C66:F66"/>
    <mergeCell ref="A66:B66"/>
    <mergeCell ref="G62:I62"/>
    <mergeCell ref="G63:I63"/>
    <mergeCell ref="G64:I64"/>
    <mergeCell ref="C63:F63"/>
    <mergeCell ref="G70:I70"/>
    <mergeCell ref="C69:F69"/>
    <mergeCell ref="C70:F70"/>
    <mergeCell ref="G68:I68"/>
    <mergeCell ref="G69:I69"/>
    <mergeCell ref="A62:B62"/>
    <mergeCell ref="A61:B61"/>
    <mergeCell ref="A64:B64"/>
    <mergeCell ref="G67:I67"/>
    <mergeCell ref="C67:F67"/>
    <mergeCell ref="G65:I65"/>
    <mergeCell ref="C61:F61"/>
    <mergeCell ref="C64:F64"/>
    <mergeCell ref="C65:F65"/>
    <mergeCell ref="G17:G19"/>
    <mergeCell ref="J57:AE57"/>
    <mergeCell ref="A34:AE34"/>
    <mergeCell ref="A35:AE35"/>
    <mergeCell ref="A36:AE36"/>
    <mergeCell ref="A37:AE37"/>
    <mergeCell ref="A41:AE41"/>
    <mergeCell ref="A42:AE42"/>
    <mergeCell ref="A38:AE38"/>
    <mergeCell ref="J60:AE60"/>
    <mergeCell ref="J61:AE61"/>
    <mergeCell ref="J64:AE64"/>
    <mergeCell ref="A17:A19"/>
    <mergeCell ref="H17:H19"/>
    <mergeCell ref="J63:AE63"/>
    <mergeCell ref="C60:F60"/>
    <mergeCell ref="M30:R30"/>
    <mergeCell ref="T30:AE30"/>
    <mergeCell ref="J62:AE62"/>
    <mergeCell ref="T31:AE31"/>
    <mergeCell ref="M31:R31"/>
    <mergeCell ref="D17:D19"/>
    <mergeCell ref="C5:R5"/>
    <mergeCell ref="C7:E7"/>
    <mergeCell ref="O7:R7"/>
    <mergeCell ref="P17:P19"/>
    <mergeCell ref="Q17:Q19"/>
    <mergeCell ref="A12:F12"/>
    <mergeCell ref="A13:F13"/>
    <mergeCell ref="S13:Y13"/>
    <mergeCell ref="Z13:AE13"/>
    <mergeCell ref="E17:E19"/>
    <mergeCell ref="F17:F19"/>
    <mergeCell ref="U17:Y17"/>
    <mergeCell ref="V19:Y19"/>
    <mergeCell ref="Z17:AD17"/>
    <mergeCell ref="AA19:AD19"/>
    <mergeCell ref="U18:U19"/>
    <mergeCell ref="Z18:Z19"/>
    <mergeCell ref="M13:R13"/>
    <mergeCell ref="O17:O19"/>
    <mergeCell ref="R17:R19"/>
    <mergeCell ref="G12:L12"/>
    <mergeCell ref="S12:Y12"/>
    <mergeCell ref="Z12:AE12"/>
    <mergeCell ref="C17:C19"/>
    <mergeCell ref="M12:R12"/>
    <mergeCell ref="G13:L13"/>
    <mergeCell ref="T17:T19"/>
    <mergeCell ref="B17:B19"/>
    <mergeCell ref="N17:N19"/>
    <mergeCell ref="M17:M19"/>
    <mergeCell ref="K17:K19"/>
    <mergeCell ref="I17:I19"/>
    <mergeCell ref="J17:J19"/>
    <mergeCell ref="M15:AE15"/>
    <mergeCell ref="L15:L31"/>
    <mergeCell ref="B15:K15"/>
    <mergeCell ref="S16:S31"/>
  </mergeCells>
  <phoneticPr fontId="33" type="noConversion"/>
  <conditionalFormatting sqref="A12">
    <cfRule type="expression" dxfId="92" priority="4206" stopIfTrue="1">
      <formula>$A$12="Nicht in Ordnung"</formula>
    </cfRule>
  </conditionalFormatting>
  <conditionalFormatting sqref="A13">
    <cfRule type="expression" dxfId="91" priority="4204" stopIfTrue="1">
      <formula>$A$13="die inkorrekten und unvollständigen Einträge beheben"</formula>
    </cfRule>
  </conditionalFormatting>
  <conditionalFormatting sqref="C20:C31">
    <cfRule type="expression" dxfId="90" priority="4307" stopIfTrue="1">
      <formula>OR($A20="nicht relevant",$A20="EZ")</formula>
    </cfRule>
    <cfRule type="cellIs" dxfId="89" priority="4308" stopIfTrue="1" operator="lessThan">
      <formula>$G$87</formula>
    </cfRule>
  </conditionalFormatting>
  <conditionalFormatting sqref="D20:D21">
    <cfRule type="expression" dxfId="88" priority="623" stopIfTrue="1">
      <formula>OR(A20="nicht relevant",A20="EZ")</formula>
    </cfRule>
    <cfRule type="expression" dxfId="87" priority="624" stopIfTrue="1">
      <formula>LEN(TRIM(D20))=0</formula>
    </cfRule>
  </conditionalFormatting>
  <conditionalFormatting sqref="D22">
    <cfRule type="expression" dxfId="86" priority="646" stopIfTrue="1">
      <formula>LEN(TRIM($D22))=0</formula>
    </cfRule>
  </conditionalFormatting>
  <conditionalFormatting sqref="D23:D30">
    <cfRule type="expression" dxfId="85" priority="588" stopIfTrue="1">
      <formula>LEN(TRIM($D23))=0</formula>
    </cfRule>
  </conditionalFormatting>
  <conditionalFormatting sqref="D23:G30">
    <cfRule type="expression" dxfId="84" priority="539" stopIfTrue="1">
      <formula>OR($A23="nicht relevant",$A23="EZ")</formula>
    </cfRule>
  </conditionalFormatting>
  <conditionalFormatting sqref="D22:K22">
    <cfRule type="expression" dxfId="83" priority="625" stopIfTrue="1">
      <formula>OR($A22="nicht relevant",$A22="EZ")</formula>
    </cfRule>
  </conditionalFormatting>
  <conditionalFormatting sqref="D31:K31">
    <cfRule type="expression" dxfId="82" priority="9" stopIfTrue="1">
      <formula>OR($A$31="nicht relevant",$A$31="EZ")</formula>
    </cfRule>
  </conditionalFormatting>
  <conditionalFormatting sqref="E20:E21">
    <cfRule type="expression" dxfId="81" priority="4261" stopIfTrue="1">
      <formula>LEN(TRIM(E20))=0</formula>
    </cfRule>
    <cfRule type="expression" dxfId="80" priority="4260" stopIfTrue="1">
      <formula>OR(A20="nicht relevant",A20="EZ")</formula>
    </cfRule>
  </conditionalFormatting>
  <conditionalFormatting sqref="E22">
    <cfRule type="expression" dxfId="79" priority="636" stopIfTrue="1">
      <formula>LEN(TRIM($E22))=0</formula>
    </cfRule>
  </conditionalFormatting>
  <conditionalFormatting sqref="E23:E30">
    <cfRule type="expression" dxfId="78" priority="572" stopIfTrue="1">
      <formula>LEN(TRIM($E23))=0</formula>
    </cfRule>
  </conditionalFormatting>
  <conditionalFormatting sqref="F20:F21">
    <cfRule type="expression" dxfId="77" priority="4263" stopIfTrue="1">
      <formula>LEN(TRIM(F20))=0</formula>
    </cfRule>
    <cfRule type="expression" dxfId="76" priority="4262" stopIfTrue="1">
      <formula>OR(A20="nicht relevant",A20="EZ")</formula>
    </cfRule>
  </conditionalFormatting>
  <conditionalFormatting sqref="F22">
    <cfRule type="expression" dxfId="75" priority="638" stopIfTrue="1">
      <formula>LEN(TRIM($F22))=0</formula>
    </cfRule>
  </conditionalFormatting>
  <conditionalFormatting sqref="F23:F30">
    <cfRule type="expression" dxfId="74" priority="556" stopIfTrue="1">
      <formula>LEN(TRIM($F23))=0</formula>
    </cfRule>
  </conditionalFormatting>
  <conditionalFormatting sqref="G20:G21">
    <cfRule type="expression" dxfId="73" priority="4265" stopIfTrue="1">
      <formula>LEN(TRIM(G20))=0</formula>
    </cfRule>
    <cfRule type="expression" dxfId="72" priority="4264" stopIfTrue="1">
      <formula>OR(A20="nicht relevant",A20="EZ")</formula>
    </cfRule>
  </conditionalFormatting>
  <conditionalFormatting sqref="G22">
    <cfRule type="expression" dxfId="71" priority="634" stopIfTrue="1">
      <formula>LEN(TRIM($G22))=0</formula>
    </cfRule>
  </conditionalFormatting>
  <conditionalFormatting sqref="G23:G30">
    <cfRule type="expression" dxfId="70" priority="540" stopIfTrue="1">
      <formula>LEN(TRIM($G23))=0</formula>
    </cfRule>
  </conditionalFormatting>
  <conditionalFormatting sqref="H20:H21">
    <cfRule type="expression" dxfId="69" priority="4266" stopIfTrue="1">
      <formula>OR(A20="nicht relevant",A20="EZ")</formula>
    </cfRule>
    <cfRule type="expression" dxfId="68" priority="4267" stopIfTrue="1">
      <formula>LEN(TRIM(H20))=0</formula>
    </cfRule>
  </conditionalFormatting>
  <conditionalFormatting sqref="H22">
    <cfRule type="expression" dxfId="67" priority="632" stopIfTrue="1">
      <formula>LEN(TRIM($H22))=0</formula>
    </cfRule>
  </conditionalFormatting>
  <conditionalFormatting sqref="H23:H25">
    <cfRule type="expression" dxfId="66" priority="534" stopIfTrue="1">
      <formula>LEN(TRIM($H23))=0</formula>
    </cfRule>
    <cfRule type="expression" dxfId="65" priority="533" stopIfTrue="1">
      <formula>OR($A23="nicht relevant",$A23="EZ")</formula>
    </cfRule>
  </conditionalFormatting>
  <conditionalFormatting sqref="H26">
    <cfRule type="expression" dxfId="64" priority="531" stopIfTrue="1">
      <formula>OR($A26="nicht relevant",$A26="EZ")</formula>
    </cfRule>
    <cfRule type="expression" dxfId="63" priority="532" stopIfTrue="1">
      <formula>LEN(TRIM($H26))=0</formula>
    </cfRule>
  </conditionalFormatting>
  <conditionalFormatting sqref="H27:H30">
    <cfRule type="expression" dxfId="62" priority="523" stopIfTrue="1">
      <formula>OR($A27="nicht relevant",$A27="EZ")</formula>
    </cfRule>
    <cfRule type="expression" dxfId="61" priority="524" stopIfTrue="1">
      <formula>LEN(TRIM($H27))=0</formula>
    </cfRule>
  </conditionalFormatting>
  <conditionalFormatting sqref="I20:I21">
    <cfRule type="expression" dxfId="60" priority="4268" stopIfTrue="1">
      <formula>OR(A20="nicht relevant",A20="EZ")</formula>
    </cfRule>
    <cfRule type="expression" dxfId="59" priority="4269" stopIfTrue="1">
      <formula>LEN(TRIM(I20))=0</formula>
    </cfRule>
  </conditionalFormatting>
  <conditionalFormatting sqref="I22">
    <cfRule type="expression" dxfId="58" priority="630" stopIfTrue="1">
      <formula>LEN(TRIM($I22))=0</formula>
    </cfRule>
  </conditionalFormatting>
  <conditionalFormatting sqref="I23:I24">
    <cfRule type="expression" dxfId="57" priority="520" stopIfTrue="1">
      <formula>LEN(TRIM($I23))=0</formula>
    </cfRule>
  </conditionalFormatting>
  <conditionalFormatting sqref="I24">
    <cfRule type="expression" dxfId="56" priority="519" stopIfTrue="1">
      <formula>OR($A24="nicht relevant",$A24="EZ")</formula>
    </cfRule>
  </conditionalFormatting>
  <conditionalFormatting sqref="I25:I30">
    <cfRule type="expression" dxfId="55" priority="507" stopIfTrue="1">
      <formula>OR($A25="nicht relevant",$A25="EZ")</formula>
    </cfRule>
    <cfRule type="expression" dxfId="54" priority="508" stopIfTrue="1">
      <formula>LEN(TRIM($I25))=0</formula>
    </cfRule>
  </conditionalFormatting>
  <conditionalFormatting sqref="I23:K23">
    <cfRule type="expression" dxfId="53" priority="489" stopIfTrue="1">
      <formula>OR($A23="nicht relevant",$A23="EZ")</formula>
    </cfRule>
  </conditionalFormatting>
  <conditionalFormatting sqref="J20:J21">
    <cfRule type="expression" dxfId="52" priority="4270" stopIfTrue="1">
      <formula>OR(A20="nicht relevant",A20="EZ")</formula>
    </cfRule>
    <cfRule type="expression" dxfId="51" priority="4271" stopIfTrue="1">
      <formula>LEN(TRIM(J20))=0</formula>
    </cfRule>
  </conditionalFormatting>
  <conditionalFormatting sqref="J22">
    <cfRule type="expression" dxfId="50" priority="628" stopIfTrue="1">
      <formula>LEN(TRIM($J22))=0</formula>
    </cfRule>
  </conditionalFormatting>
  <conditionalFormatting sqref="J23:J30">
    <cfRule type="expression" dxfId="49" priority="492" stopIfTrue="1">
      <formula>LEN(TRIM($J23))=0</formula>
    </cfRule>
  </conditionalFormatting>
  <conditionalFormatting sqref="J24:K30">
    <cfRule type="expression" dxfId="48" priority="475" stopIfTrue="1">
      <formula>OR($A24="nicht relevant",$A24="EZ")</formula>
    </cfRule>
  </conditionalFormatting>
  <conditionalFormatting sqref="K20:K21">
    <cfRule type="expression" dxfId="47" priority="4272" stopIfTrue="1">
      <formula>OR(A20="nicht relevant",A20="EZ")</formula>
    </cfRule>
    <cfRule type="expression" dxfId="46" priority="4273" stopIfTrue="1">
      <formula>LEN(TRIM(K20))=0</formula>
    </cfRule>
  </conditionalFormatting>
  <conditionalFormatting sqref="K22">
    <cfRule type="expression" dxfId="45" priority="626" stopIfTrue="1">
      <formula>LEN(TRIM($K22))=0</formula>
    </cfRule>
  </conditionalFormatting>
  <conditionalFormatting sqref="K23">
    <cfRule type="expression" dxfId="44" priority="490" stopIfTrue="1">
      <formula>LEN(TRIM($K23))=0</formula>
    </cfRule>
  </conditionalFormatting>
  <conditionalFormatting sqref="K24:K30">
    <cfRule type="expression" dxfId="43" priority="476" stopIfTrue="1">
      <formula>LEN(TRIM($K24))=0</formula>
    </cfRule>
  </conditionalFormatting>
  <conditionalFormatting sqref="M20:M29">
    <cfRule type="expression" dxfId="42" priority="14" stopIfTrue="1">
      <formula>LEN(TRIM($M20))=0</formula>
    </cfRule>
    <cfRule type="cellIs" dxfId="41" priority="15" stopIfTrue="1" operator="greaterThan">
      <formula>$C20</formula>
    </cfRule>
  </conditionalFormatting>
  <conditionalFormatting sqref="M20:R29">
    <cfRule type="expression" dxfId="40" priority="13" stopIfTrue="1">
      <formula>OR($A20="nicht relevant",$A20="EZ")</formula>
    </cfRule>
  </conditionalFormatting>
  <conditionalFormatting sqref="N20:N29">
    <cfRule type="cellIs" dxfId="39" priority="431" stopIfTrue="1" operator="lessThan">
      <formula>0</formula>
    </cfRule>
  </conditionalFormatting>
  <conditionalFormatting sqref="O20:O29">
    <cfRule type="expression" dxfId="38" priority="413" stopIfTrue="1">
      <formula>LEN(TRIM($O20))=0</formula>
    </cfRule>
  </conditionalFormatting>
  <conditionalFormatting sqref="P20:P29">
    <cfRule type="expression" dxfId="37" priority="395" stopIfTrue="1">
      <formula>LEN(TRIM($P20))=0</formula>
    </cfRule>
  </conditionalFormatting>
  <conditionalFormatting sqref="Q20:Q29">
    <cfRule type="cellIs" dxfId="36" priority="376" stopIfTrue="1" operator="lessThan">
      <formula>0</formula>
    </cfRule>
  </conditionalFormatting>
  <conditionalFormatting sqref="R20:R29">
    <cfRule type="expression" dxfId="35" priority="4303" stopIfTrue="1">
      <formula>LEN(TRIM($R20))=0</formula>
    </cfRule>
  </conditionalFormatting>
  <conditionalFormatting sqref="R27:R29">
    <cfRule type="cellIs" dxfId="34" priority="4304" stopIfTrue="1" operator="between">
      <formula>$G$89</formula>
      <formula>$I$89</formula>
    </cfRule>
  </conditionalFormatting>
  <conditionalFormatting sqref="R33">
    <cfRule type="cellIs" priority="4242" stopIfTrue="1" operator="equal">
      <formula>"---"</formula>
    </cfRule>
    <cfRule type="cellIs" dxfId="33" priority="4245" stopIfTrue="1" operator="between">
      <formula>$G$86</formula>
      <formula>$I$86</formula>
    </cfRule>
    <cfRule type="cellIs" dxfId="32" priority="4246" stopIfTrue="1" operator="between">
      <formula>$H$88</formula>
      <formula>$I$88</formula>
    </cfRule>
  </conditionalFormatting>
  <conditionalFormatting sqref="T20:T29">
    <cfRule type="cellIs" dxfId="31" priority="347" stopIfTrue="1" operator="lessThan">
      <formula>0</formula>
    </cfRule>
    <cfRule type="expression" dxfId="30" priority="346" stopIfTrue="1">
      <formula>OR($A20="nicht relevant",$A20="EZ")</formula>
    </cfRule>
  </conditionalFormatting>
  <conditionalFormatting sqref="U20:U29">
    <cfRule type="expression" dxfId="29" priority="300" stopIfTrue="1">
      <formula>LEN(TRIM($U20))=0</formula>
    </cfRule>
  </conditionalFormatting>
  <conditionalFormatting sqref="U20:AE29">
    <cfRule type="expression" dxfId="28" priority="39" stopIfTrue="1">
      <formula>OR($A20="nicht relevant",$A20="EZ")</formula>
    </cfRule>
  </conditionalFormatting>
  <conditionalFormatting sqref="V20:V29">
    <cfRule type="expression" dxfId="27" priority="273" stopIfTrue="1">
      <formula>LEN(TRIM($V20))=0</formula>
    </cfRule>
  </conditionalFormatting>
  <conditionalFormatting sqref="V22:V29">
    <cfRule type="cellIs" dxfId="26" priority="274" stopIfTrue="1" operator="greaterThan">
      <formula>$U22</formula>
    </cfRule>
  </conditionalFormatting>
  <conditionalFormatting sqref="V20:Y21">
    <cfRule type="cellIs" dxfId="25" priority="4283" stopIfTrue="1" operator="greaterThan">
      <formula>$U20</formula>
    </cfRule>
  </conditionalFormatting>
  <conditionalFormatting sqref="W20:W29">
    <cfRule type="expression" dxfId="24" priority="245" stopIfTrue="1">
      <formula>LEN(TRIM($W20))=0</formula>
    </cfRule>
  </conditionalFormatting>
  <conditionalFormatting sqref="W22:W29">
    <cfRule type="cellIs" dxfId="23" priority="246" stopIfTrue="1" operator="greaterThan">
      <formula>$U22</formula>
    </cfRule>
  </conditionalFormatting>
  <conditionalFormatting sqref="X20:X29">
    <cfRule type="expression" dxfId="22" priority="216" stopIfTrue="1">
      <formula>LEN(TRIM($X20))=0</formula>
    </cfRule>
  </conditionalFormatting>
  <conditionalFormatting sqref="X22:X29">
    <cfRule type="cellIs" dxfId="21" priority="217" stopIfTrue="1" operator="greaterThan">
      <formula>$U22</formula>
    </cfRule>
  </conditionalFormatting>
  <conditionalFormatting sqref="Y20:Y29">
    <cfRule type="expression" dxfId="20" priority="189" stopIfTrue="1">
      <formula>LEN(TRIM($Y20))=0</formula>
    </cfRule>
  </conditionalFormatting>
  <conditionalFormatting sqref="Y22:Y29">
    <cfRule type="cellIs" dxfId="19" priority="190" stopIfTrue="1" operator="greaterThan">
      <formula>$U22</formula>
    </cfRule>
  </conditionalFormatting>
  <conditionalFormatting sqref="Z20:Z29">
    <cfRule type="expression" dxfId="18" priority="170" stopIfTrue="1">
      <formula>LEN(TRIM($Z20))=0</formula>
    </cfRule>
  </conditionalFormatting>
  <conditionalFormatting sqref="AA20:AA29">
    <cfRule type="expression" dxfId="17" priority="143" stopIfTrue="1">
      <formula>LEN(TRIM($AA20))=0</formula>
    </cfRule>
  </conditionalFormatting>
  <conditionalFormatting sqref="AA22:AA29">
    <cfRule type="cellIs" dxfId="16" priority="144" stopIfTrue="1" operator="greaterThan">
      <formula>$Z22</formula>
    </cfRule>
  </conditionalFormatting>
  <conditionalFormatting sqref="AA20:AD21">
    <cfRule type="cellIs" dxfId="15" priority="4293" stopIfTrue="1" operator="greaterThan">
      <formula>$Z20</formula>
    </cfRule>
  </conditionalFormatting>
  <conditionalFormatting sqref="AB20:AB29">
    <cfRule type="expression" dxfId="14" priority="113" stopIfTrue="1">
      <formula>LEN(TRIM($AB20))=0</formula>
    </cfRule>
  </conditionalFormatting>
  <conditionalFormatting sqref="AB22:AB29">
    <cfRule type="cellIs" dxfId="13" priority="114" stopIfTrue="1" operator="greaterThan">
      <formula>$Z22</formula>
    </cfRule>
  </conditionalFormatting>
  <conditionalFormatting sqref="AC20:AC29">
    <cfRule type="expression" dxfId="12" priority="86" stopIfTrue="1">
      <formula>LEN(TRIM($AC20))=0</formula>
    </cfRule>
  </conditionalFormatting>
  <conditionalFormatting sqref="AC22:AC29">
    <cfRule type="cellIs" dxfId="11" priority="87" stopIfTrue="1" operator="greaterThan">
      <formula>$Z22</formula>
    </cfRule>
  </conditionalFormatting>
  <conditionalFormatting sqref="AD20:AD29">
    <cfRule type="expression" dxfId="10" priority="59" stopIfTrue="1">
      <formula>LEN(TRIM($AD20))=0</formula>
    </cfRule>
  </conditionalFormatting>
  <conditionalFormatting sqref="AD22:AD29">
    <cfRule type="cellIs" dxfId="9" priority="60" stopIfTrue="1" operator="greaterThan">
      <formula>$Z22</formula>
    </cfRule>
  </conditionalFormatting>
  <conditionalFormatting sqref="AE20:AE29">
    <cfRule type="expression" dxfId="8" priority="40" stopIfTrue="1">
      <formula>LEN(TRIM($AE20))=0</formula>
    </cfRule>
  </conditionalFormatting>
  <dataValidations count="12">
    <dataValidation type="whole" operator="greaterThanOrEqual" allowBlank="1" showInputMessage="1" showErrorMessage="1" errorTitle="Error" error="Minuszahlen..." sqref="C20:C31" xr:uid="{00000000-0002-0000-0A00-000000000000}">
      <formula1>0</formula1>
    </dataValidation>
    <dataValidation type="whole" allowBlank="1" showInputMessage="1" showErrorMessage="1" errorTitle="Eingabefehler" error="Ganze Zahl zwischen 0 und 5000 eingeben." sqref="D20:K30" xr:uid="{00000000-0002-0000-0A00-000001000000}">
      <formula1>0</formula1>
      <formula2>5000</formula2>
    </dataValidation>
    <dataValidation type="whole" showInputMessage="1" showErrorMessage="1" errorTitle="Eingabefehler" error="Summe Spalten T+U+Z+AE darf nicht größer als Summe Spalten O+P (Patientenrückmeldungen) sein." sqref="AE20:AE29" xr:uid="{00000000-0002-0000-0A00-000002000000}">
      <formula1>0</formula1>
      <formula2>AI20</formula2>
    </dataValidation>
    <dataValidation showInputMessage="1" showErrorMessage="1" sqref="N20:N29 R20:R29" xr:uid="{00000000-0002-0000-0A00-000003000000}"/>
    <dataValidation type="whole" allowBlank="1" showInputMessage="1" showErrorMessage="1" errorTitle="Eingabefehler" error="1.) Ganze Zahl zwischen 0 und 5000 eingeben._x000a_2.) Kann nicht größer sein als &quot;Primärfälle bei Männer und Frauen gesamt&quot;" sqref="M20:M30" xr:uid="{00000000-0002-0000-0A00-000004000000}">
      <formula1>0</formula1>
      <formula2>C20</formula2>
    </dataValidation>
    <dataValidation type="whole" showInputMessage="1" showErrorMessage="1" errorTitle="Eingabefehler" error="Anzahl Pat. im Follow-Up zu hoch._x000a__x000a_Wenn die Eingabe nicht erlaubt ist, bitte zu erst Wert löschen und dann wieder eingeben." sqref="P20:P29" xr:uid="{00000000-0002-0000-0A00-000005000000}">
      <formula1>0</formula1>
      <formula2>N20-O20-Q20</formula2>
    </dataValidation>
    <dataValidation type="whole" allowBlank="1" showInputMessage="1" showErrorMessage="1" errorTitle="Eingabefehler" error="Eingabe kann nicht größer sein als Ereignisse Spalte U." sqref="V20:Y29" xr:uid="{00000000-0002-0000-0A00-000006000000}">
      <formula1>0</formula1>
      <formula2>$U20</formula2>
    </dataValidation>
    <dataValidation type="whole" allowBlank="1" showInputMessage="1" showErrorMessage="1" errorTitle="Eingabefehler" error="Eingabe kann nicht größer sein als Ereignisse Spalte Z." sqref="AA20:AD29" xr:uid="{00000000-0002-0000-0A00-000007000000}">
      <formula1>0</formula1>
      <formula2>$Z20</formula2>
    </dataValidation>
    <dataValidation type="whole" allowBlank="1" showInputMessage="1" showErrorMessage="1" sqref="T20:T30" xr:uid="{00000000-0002-0000-0A00-000008000000}">
      <formula1>0</formula1>
      <formula2>50000</formula2>
    </dataValidation>
    <dataValidation type="whole" showInputMessage="1" showErrorMessage="1" errorTitle="Eingabefehler" error="Anzahl Pat. im Follow-Up zu hoch._x000a__x000a_Wenn die Eingabe nicht erlaubt ist, bitte zuerst Wert löschen und dann wieder eingeben." sqref="O20:O29" xr:uid="{00000000-0002-0000-0A00-000009000000}">
      <formula1>0</formula1>
      <formula2>N20-P20-Q20</formula2>
    </dataValidation>
    <dataValidation type="whole" allowBlank="1" showInputMessage="1" showErrorMessage="1" errorTitle="Eingabefehler" error="Summe Spalten T+U+Z+AE darf nicht größer als Summe Spalten O+P (Patientenrückmeldungen) sein." sqref="U20:U29" xr:uid="{00000000-0002-0000-0A00-00000A000000}">
      <formula1>0</formula1>
      <formula2>AG20</formula2>
    </dataValidation>
    <dataValidation type="whole" allowBlank="1" showInputMessage="1" showErrorMessage="1" errorTitle="Eingabefehler" error="Summe Spalten T+U+Z+AE darf nicht größer als Summe Spalten O+P (Patientenrückmeldungen) sein." sqref="Z20:Z29" xr:uid="{00000000-0002-0000-0A00-00000B000000}">
      <formula1>0</formula1>
      <formula2>AH20</formula2>
    </dataValidation>
  </dataValidations>
  <pageMargins left="0.39370078740157483" right="7.874015748031496E-2" top="0.59055118110236227" bottom="0.39370078740157483" header="0.11811023622047245" footer="0.11811023622047245"/>
  <pageSetup paperSize="9" scale="99" orientation="landscape" r:id="rId1"/>
  <headerFooter>
    <oddFooter xml:space="preserve">&amp;L&amp;"Arial,Standard"&amp;7&amp;F&amp;C&amp;"Arial,Standard"&amp;7 © DKG  Alle Rechte vorbehalten&amp;R&amp;"Arial,Standard"&amp;7&amp;P       </oddFooter>
  </headerFooter>
  <rowBreaks count="2" manualBreakCount="2">
    <brk id="33" max="30" man="1"/>
    <brk id="55" max="16383"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1"/>
  <dimension ref="A1:AC18"/>
  <sheetViews>
    <sheetView zoomScaleNormal="100" workbookViewId="0">
      <selection activeCell="F11" sqref="F11"/>
    </sheetView>
  </sheetViews>
  <sheetFormatPr defaultColWidth="11.42578125" defaultRowHeight="11.25" x14ac:dyDescent="0.2"/>
  <cols>
    <col min="1" max="1" width="13.42578125" style="45" customWidth="1"/>
    <col min="2" max="2" width="11.28515625" style="45" customWidth="1"/>
    <col min="3" max="3" width="13.7109375" style="45" customWidth="1"/>
    <col min="4" max="10" width="5.7109375" style="45" customWidth="1"/>
    <col min="11" max="11" width="10.140625" style="45" customWidth="1"/>
    <col min="12" max="12" width="15.7109375" style="45" customWidth="1"/>
    <col min="13" max="13" width="14.5703125" style="45" customWidth="1"/>
    <col min="14" max="14" width="13.42578125" style="45" customWidth="1"/>
    <col min="15" max="15" width="14.5703125" style="45" customWidth="1"/>
    <col min="16" max="16" width="12" style="45" customWidth="1"/>
    <col min="17" max="17" width="10.7109375" style="45" customWidth="1"/>
    <col min="18" max="18" width="17" style="45" customWidth="1"/>
    <col min="19" max="19" width="13.85546875" style="45" customWidth="1"/>
    <col min="20" max="20" width="11" style="45" customWidth="1"/>
    <col min="21" max="21" width="12.28515625" style="45" customWidth="1"/>
    <col min="22" max="22" width="9.140625" style="45" customWidth="1"/>
    <col min="23" max="23" width="13.42578125" style="45" customWidth="1"/>
    <col min="24" max="24" width="14.28515625" style="45" customWidth="1"/>
    <col min="25" max="25" width="12.85546875" style="45" customWidth="1"/>
    <col min="26" max="26" width="12.7109375" style="45" customWidth="1"/>
    <col min="27" max="28" width="16.140625" style="45" customWidth="1"/>
    <col min="29" max="29" width="14.140625" style="45" customWidth="1"/>
    <col min="30" max="256" width="9.140625" style="45" customWidth="1"/>
    <col min="257" max="16384" width="11.42578125" style="45"/>
  </cols>
  <sheetData>
    <row r="1" spans="1:29" s="67" customFormat="1" ht="86.25" customHeight="1" x14ac:dyDescent="0.25">
      <c r="A1" s="94" t="str">
        <f>Matrix!A17</f>
        <v>Relevante Nachsorgejahre</v>
      </c>
      <c r="B1" s="94" t="str">
        <f>Matrix!B17</f>
        <v>Jahr der Erstdiagnose</v>
      </c>
      <c r="C1" s="94" t="str">
        <f>Matrix!C17</f>
        <v xml:space="preserve">Primärfälle bei Männer und
Frauen gesamt  (= SUMME D-K)  </v>
      </c>
      <c r="D1" s="94" t="str">
        <f>LEFT(Matrix!D17,4)</f>
        <v xml:space="preserve">Tis </v>
      </c>
      <c r="E1" s="94" t="str">
        <f>LEFT(Matrix!E17,3)</f>
        <v xml:space="preserve">T1 </v>
      </c>
      <c r="F1" s="94" t="str">
        <f>LEFT(Matrix!F17,3)</f>
        <v xml:space="preserve">T2 </v>
      </c>
      <c r="G1" s="94" t="str">
        <f>LEFT(Matrix!G17,3)</f>
        <v xml:space="preserve">T3 </v>
      </c>
      <c r="H1" s="94" t="str">
        <f>LEFT(Matrix!H17,3)</f>
        <v xml:space="preserve">T4 </v>
      </c>
      <c r="I1" s="94" t="str">
        <f>LEFT(Matrix!I17,2)</f>
        <v>N+</v>
      </c>
      <c r="J1" s="94" t="str">
        <f>LEFT(Matrix!J17,2)</f>
        <v>M1</v>
      </c>
      <c r="K1" s="94" t="str">
        <f>Matrix!K17</f>
        <v>nicht zuzuordnen</v>
      </c>
      <c r="L1" s="94" t="str">
        <f>Matrix!M17</f>
        <v>davon posttherapeutisch 
nicht tumorfrei</v>
      </c>
      <c r="M1" s="94" t="str">
        <f>Matrix!N17</f>
        <v xml:space="preserve">Grundgesamtheit Follow-Up
(=C-M) 
</v>
      </c>
      <c r="N1" s="94" t="str">
        <f>LEFT(Matrix!O17,44)</f>
        <v>Follow-Up-Daten vom Klinischen
Krebsregister</v>
      </c>
      <c r="O1" s="94" t="str">
        <f>LEFT(Matrix!P17,57)</f>
        <v xml:space="preserve">Follow-Up-Daten vom Zentrum
(bzw. Quelle nicht bekannt)  </v>
      </c>
      <c r="P1" s="94" t="str">
        <f>LEFT(Matrix!Q17,57)</f>
        <v>keine Rückmeldung  (=N-O-P)</v>
      </c>
      <c r="Q1" s="94" t="str">
        <f>Matrix!R17</f>
        <v>Follow-Up Quote in %
= (O + P)  / N</v>
      </c>
      <c r="R1" s="94" t="str">
        <f>Matrix!T17</f>
        <v xml:space="preserve">kein Ereignis pro Fall eingetreten 
( =(O + P) - U - Z - AE ) </v>
      </c>
      <c r="S1" s="94" t="str">
        <f>CONCATENATE(LEFT(Matrix!$U$17,6)," - ",LEFT(Matrix!U18,35))</f>
        <v>Lebend - 1 Ereignis in Spalte V, W, 
X und Y</v>
      </c>
      <c r="T1" s="94" t="str">
        <f>CONCATENATE(LEFT(Matrix!$U$17,6)," - ",LEFT(Matrix!V18,12))</f>
        <v>Lebend - Lokalrezidiv</v>
      </c>
      <c r="U1" s="94" t="str">
        <f>CONCATENATE(LEFT(Matrix!$U$17,6)," - ",LEFT(Matrix!W18,20))</f>
        <v xml:space="preserve">Lebend - Lymphknotenrezidiv  </v>
      </c>
      <c r="V1" s="94" t="str">
        <f>CONCATENATE(LEFT(Matrix!$U$17,6)," - ",LEFT(Matrix!X18,15))</f>
        <v xml:space="preserve">Lebend - Fernmetastasen </v>
      </c>
      <c r="W1" s="94" t="str">
        <f>CONCATENATE(LEFT(Matrix!$U$17,6)," - ",LEFT(Matrix!Y18,35))</f>
        <v xml:space="preserve">Lebend - Diagnose Zweitmalignom im Verlauf  </v>
      </c>
      <c r="X1" s="94" t="str">
        <f>CONCATENATE(LEFT(Matrix!$Z$17,37)," - ",LEFT(Matrix!Z18,40))</f>
        <v xml:space="preserve">Verstorben 
mit Ereignis in Follow-Up - 1 Ereignis in Spalte AA, AB, 
AC und AD </v>
      </c>
      <c r="Y1" s="94" t="str">
        <f>CONCATENATE(LEFT(Matrix!$Z$17,37)," - ",LEFT(Matrix!AA18,12))</f>
        <v>Verstorben 
mit Ereignis in Follow-Up - Lokalrezidiv</v>
      </c>
      <c r="Z1" s="94" t="str">
        <f>CONCATENATE(LEFT(Matrix!$Z$17,37)," - ",LEFT(Matrix!AB18,20))</f>
        <v xml:space="preserve">Verstorben 
mit Ereignis in Follow-Up - Lymphknotenrezidiv  </v>
      </c>
      <c r="AA1" s="94" t="str">
        <f>CONCATENATE(LEFT(Matrix!$Z$17,37)," - ",LEFT(Matrix!AC18,15))</f>
        <v xml:space="preserve">Verstorben 
mit Ereignis in Follow-Up - Fernmetastasen </v>
      </c>
      <c r="AB1" s="94" t="str">
        <f>CONCATENATE(LEFT(Matrix!$Z$17,37)," - ",LEFT(Matrix!AD18,34))</f>
        <v xml:space="preserve">Verstorben 
mit Ereignis in Follow-Up - Diagnose Zweitmalignom im Verlauf </v>
      </c>
      <c r="AC1" s="94" t="str">
        <f>LEFT(Matrix!AE17,50)</f>
        <v>Verstorben ohne Ereignis in
 Follow-Up / unbekannt</v>
      </c>
    </row>
    <row r="2" spans="1:29" x14ac:dyDescent="0.2">
      <c r="A2" s="118" t="str">
        <f>Matrix!A20</f>
        <v>nicht relevant</v>
      </c>
      <c r="B2" s="117">
        <f>Matrix!B20</f>
        <v>2008</v>
      </c>
      <c r="C2" s="66">
        <f>IF(Matrix!C20="","",Matrix!C20)</f>
        <v>0</v>
      </c>
      <c r="D2" s="66" t="str">
        <f>IF(Matrix!D20="","",Matrix!D20)</f>
        <v/>
      </c>
      <c r="E2" s="66" t="str">
        <f>IF(Matrix!E20="","",Matrix!E20)</f>
        <v/>
      </c>
      <c r="F2" s="66" t="str">
        <f>IF(Matrix!F20="","",Matrix!F20)</f>
        <v/>
      </c>
      <c r="G2" s="66" t="str">
        <f>IF(Matrix!G20="","",Matrix!G20)</f>
        <v/>
      </c>
      <c r="H2" s="66" t="str">
        <f>IF(Matrix!H20="","",Matrix!H20)</f>
        <v/>
      </c>
      <c r="I2" s="66" t="str">
        <f>IF(Matrix!I20="","",Matrix!I20)</f>
        <v/>
      </c>
      <c r="J2" s="66" t="str">
        <f>IF(Matrix!J20="","",Matrix!J20)</f>
        <v/>
      </c>
      <c r="K2" s="66" t="str">
        <f>IF(Matrix!K20="","",Matrix!K20)</f>
        <v/>
      </c>
      <c r="L2" s="66" t="str">
        <f>IF(Matrix!M20="","",Matrix!M20)</f>
        <v/>
      </c>
      <c r="M2" s="66">
        <f>IF(Matrix!N20="","",Matrix!N20)</f>
        <v>0</v>
      </c>
      <c r="N2" s="66" t="str">
        <f>IF(Matrix!O20="","",Matrix!O20)</f>
        <v/>
      </c>
      <c r="O2" s="66" t="str">
        <f>IF(Matrix!P20="","",Matrix!P20)</f>
        <v/>
      </c>
      <c r="P2" s="66">
        <f>IF(Matrix!Q20="","",Matrix!Q20)</f>
        <v>0</v>
      </c>
      <c r="Q2" s="175" t="str">
        <f>IF(Matrix!R20="","",Matrix!R20*100)</f>
        <v/>
      </c>
      <c r="R2" s="66">
        <f>IF(Matrix!T20="","",Matrix!T20)</f>
        <v>0</v>
      </c>
      <c r="S2" s="66" t="str">
        <f>IF(Matrix!U20="","",Matrix!U20)</f>
        <v/>
      </c>
      <c r="T2" s="66" t="str">
        <f>IF(Matrix!V20="","",Matrix!V20)</f>
        <v/>
      </c>
      <c r="U2" s="66" t="str">
        <f>IF(Matrix!W20="","",Matrix!W20)</f>
        <v/>
      </c>
      <c r="V2" s="66" t="str">
        <f>IF(Matrix!X20="","",Matrix!X20)</f>
        <v/>
      </c>
      <c r="W2" s="66" t="str">
        <f>IF(Matrix!Y20="","",Matrix!Y20)</f>
        <v/>
      </c>
      <c r="X2" s="66" t="str">
        <f>IF(Matrix!Z20="","",Matrix!Z20)</f>
        <v/>
      </c>
      <c r="Y2" s="66" t="str">
        <f>IF(Matrix!AA20="","",Matrix!AA20)</f>
        <v/>
      </c>
      <c r="Z2" s="66" t="str">
        <f>IF(Matrix!AB20="","",Matrix!AB20)</f>
        <v/>
      </c>
      <c r="AA2" s="66" t="str">
        <f>IF(Matrix!AC20="","",Matrix!AC20)</f>
        <v/>
      </c>
      <c r="AB2" s="66" t="str">
        <f>IF(Matrix!AD20="","",Matrix!AD20)</f>
        <v/>
      </c>
      <c r="AC2" s="66" t="str">
        <f>IF(Matrix!AE20="","",Matrix!AE20)</f>
        <v/>
      </c>
    </row>
    <row r="3" spans="1:29" x14ac:dyDescent="0.2">
      <c r="A3" s="118" t="str">
        <f>Matrix!A21</f>
        <v>nicht relevant</v>
      </c>
      <c r="B3" s="117">
        <f>Matrix!B21</f>
        <v>2009</v>
      </c>
      <c r="C3" s="66">
        <f>IF(Matrix!C21="","",Matrix!C21)</f>
        <v>0</v>
      </c>
      <c r="D3" s="66" t="str">
        <f>IF(Matrix!D21="","",Matrix!D21)</f>
        <v/>
      </c>
      <c r="E3" s="66" t="str">
        <f>IF(Matrix!E21="","",Matrix!E21)</f>
        <v/>
      </c>
      <c r="F3" s="66" t="str">
        <f>IF(Matrix!F21="","",Matrix!F21)</f>
        <v/>
      </c>
      <c r="G3" s="66" t="str">
        <f>IF(Matrix!G21="","",Matrix!G21)</f>
        <v/>
      </c>
      <c r="H3" s="66" t="str">
        <f>IF(Matrix!H21="","",Matrix!H21)</f>
        <v/>
      </c>
      <c r="I3" s="66" t="str">
        <f>IF(Matrix!I21="","",Matrix!I21)</f>
        <v/>
      </c>
      <c r="J3" s="66" t="str">
        <f>IF(Matrix!J21="","",Matrix!J21)</f>
        <v/>
      </c>
      <c r="K3" s="66" t="str">
        <f>IF(Matrix!K21="","",Matrix!K21)</f>
        <v/>
      </c>
      <c r="L3" s="66" t="str">
        <f>IF(Matrix!M21="","",Matrix!M21)</f>
        <v/>
      </c>
      <c r="M3" s="66">
        <f>IF(Matrix!N21="","",Matrix!N21)</f>
        <v>0</v>
      </c>
      <c r="N3" s="66" t="str">
        <f>IF(Matrix!O21="","",Matrix!O21)</f>
        <v/>
      </c>
      <c r="O3" s="66" t="str">
        <f>IF(Matrix!P21="","",Matrix!P21)</f>
        <v/>
      </c>
      <c r="P3" s="66">
        <f>IF(Matrix!Q21="","",Matrix!Q21)</f>
        <v>0</v>
      </c>
      <c r="Q3" s="175" t="str">
        <f>IF(Matrix!R21="","",Matrix!R21*100)</f>
        <v/>
      </c>
      <c r="R3" s="66">
        <f>IF(Matrix!T21="","",Matrix!T21)</f>
        <v>0</v>
      </c>
      <c r="S3" s="66" t="str">
        <f>IF(Matrix!U21="","",Matrix!U21)</f>
        <v/>
      </c>
      <c r="T3" s="66" t="str">
        <f>IF(Matrix!V21="","",Matrix!V21)</f>
        <v/>
      </c>
      <c r="U3" s="66" t="str">
        <f>IF(Matrix!W21="","",Matrix!W21)</f>
        <v/>
      </c>
      <c r="V3" s="66" t="str">
        <f>IF(Matrix!X21="","",Matrix!X21)</f>
        <v/>
      </c>
      <c r="W3" s="66" t="str">
        <f>IF(Matrix!Y21="","",Matrix!Y21)</f>
        <v/>
      </c>
      <c r="X3" s="66" t="str">
        <f>IF(Matrix!Z21="","",Matrix!Z21)</f>
        <v/>
      </c>
      <c r="Y3" s="66" t="str">
        <f>IF(Matrix!AA21="","",Matrix!AA21)</f>
        <v/>
      </c>
      <c r="Z3" s="66" t="str">
        <f>IF(Matrix!AB21="","",Matrix!AB21)</f>
        <v/>
      </c>
      <c r="AA3" s="66" t="str">
        <f>IF(Matrix!AC21="","",Matrix!AC21)</f>
        <v/>
      </c>
      <c r="AB3" s="66" t="str">
        <f>IF(Matrix!AD21="","",Matrix!AD21)</f>
        <v/>
      </c>
      <c r="AC3" s="66" t="str">
        <f>IF(Matrix!AE21="","",Matrix!AE21)</f>
        <v/>
      </c>
    </row>
    <row r="4" spans="1:29" x14ac:dyDescent="0.2">
      <c r="A4" s="118" t="str">
        <f>Matrix!A22</f>
        <v>nicht relevant</v>
      </c>
      <c r="B4" s="117">
        <f>Matrix!B22</f>
        <v>2010</v>
      </c>
      <c r="C4" s="66">
        <f>IF(Matrix!C22="","",Matrix!C22)</f>
        <v>0</v>
      </c>
      <c r="D4" s="66" t="str">
        <f>IF(Matrix!D22="","",Matrix!D22)</f>
        <v/>
      </c>
      <c r="E4" s="66" t="str">
        <f>IF(Matrix!E22="","",Matrix!E22)</f>
        <v/>
      </c>
      <c r="F4" s="66" t="str">
        <f>IF(Matrix!F22="","",Matrix!F22)</f>
        <v/>
      </c>
      <c r="G4" s="66" t="str">
        <f>IF(Matrix!G22="","",Matrix!G22)</f>
        <v/>
      </c>
      <c r="H4" s="66" t="str">
        <f>IF(Matrix!H22="","",Matrix!H22)</f>
        <v/>
      </c>
      <c r="I4" s="66" t="str">
        <f>IF(Matrix!I22="","",Matrix!I22)</f>
        <v/>
      </c>
      <c r="J4" s="66" t="str">
        <f>IF(Matrix!J22="","",Matrix!J22)</f>
        <v/>
      </c>
      <c r="K4" s="66" t="str">
        <f>IF(Matrix!K22="","",Matrix!K22)</f>
        <v/>
      </c>
      <c r="L4" s="66" t="str">
        <f>IF(Matrix!M22="","",Matrix!M22)</f>
        <v/>
      </c>
      <c r="M4" s="66">
        <f>IF(Matrix!N22="","",Matrix!N22)</f>
        <v>0</v>
      </c>
      <c r="N4" s="66" t="str">
        <f>IF(Matrix!O22="","",Matrix!O22)</f>
        <v/>
      </c>
      <c r="O4" s="66" t="str">
        <f>IF(Matrix!P22="","",Matrix!P22)</f>
        <v/>
      </c>
      <c r="P4" s="66">
        <f>IF(Matrix!Q22="","",Matrix!Q22)</f>
        <v>0</v>
      </c>
      <c r="Q4" s="175" t="str">
        <f>IF(Matrix!R22="","",Matrix!R22*100)</f>
        <v/>
      </c>
      <c r="R4" s="66">
        <f>IF(Matrix!T22="","",Matrix!T22)</f>
        <v>0</v>
      </c>
      <c r="S4" s="66" t="str">
        <f>IF(Matrix!U22="","",Matrix!U22)</f>
        <v/>
      </c>
      <c r="T4" s="66" t="str">
        <f>IF(Matrix!V22="","",Matrix!V22)</f>
        <v/>
      </c>
      <c r="U4" s="66" t="str">
        <f>IF(Matrix!W22="","",Matrix!W22)</f>
        <v/>
      </c>
      <c r="V4" s="66" t="str">
        <f>IF(Matrix!X22="","",Matrix!X22)</f>
        <v/>
      </c>
      <c r="W4" s="66" t="str">
        <f>IF(Matrix!Y22="","",Matrix!Y22)</f>
        <v/>
      </c>
      <c r="X4" s="66" t="str">
        <f>IF(Matrix!Z22="","",Matrix!Z22)</f>
        <v/>
      </c>
      <c r="Y4" s="66" t="str">
        <f>IF(Matrix!AA22="","",Matrix!AA22)</f>
        <v/>
      </c>
      <c r="Z4" s="66" t="str">
        <f>IF(Matrix!AB22="","",Matrix!AB22)</f>
        <v/>
      </c>
      <c r="AA4" s="66" t="str">
        <f>IF(Matrix!AC22="","",Matrix!AC22)</f>
        <v/>
      </c>
      <c r="AB4" s="66" t="str">
        <f>IF(Matrix!AD22="","",Matrix!AD22)</f>
        <v/>
      </c>
      <c r="AC4" s="66" t="str">
        <f>IF(Matrix!AE22="","",Matrix!AE22)</f>
        <v/>
      </c>
    </row>
    <row r="5" spans="1:29" x14ac:dyDescent="0.2">
      <c r="A5" s="118" t="str">
        <f>Matrix!A23</f>
        <v>nicht relevant</v>
      </c>
      <c r="B5" s="117">
        <f>Matrix!B23</f>
        <v>2011</v>
      </c>
      <c r="C5" s="66">
        <f>IF(Matrix!C23="","",Matrix!C23)</f>
        <v>0</v>
      </c>
      <c r="D5" s="66" t="str">
        <f>IF(Matrix!D23="","",Matrix!D23)</f>
        <v/>
      </c>
      <c r="E5" s="66" t="str">
        <f>IF(Matrix!E23="","",Matrix!E23)</f>
        <v/>
      </c>
      <c r="F5" s="66" t="str">
        <f>IF(Matrix!F23="","",Matrix!F23)</f>
        <v/>
      </c>
      <c r="G5" s="66" t="str">
        <f>IF(Matrix!G23="","",Matrix!G23)</f>
        <v/>
      </c>
      <c r="H5" s="66" t="str">
        <f>IF(Matrix!H23="","",Matrix!H23)</f>
        <v/>
      </c>
      <c r="I5" s="66" t="str">
        <f>IF(Matrix!I23="","",Matrix!I23)</f>
        <v/>
      </c>
      <c r="J5" s="66" t="str">
        <f>IF(Matrix!J23="","",Matrix!J23)</f>
        <v/>
      </c>
      <c r="K5" s="66" t="str">
        <f>IF(Matrix!K23="","",Matrix!K23)</f>
        <v/>
      </c>
      <c r="L5" s="66" t="str">
        <f>IF(Matrix!M23="","",Matrix!M23)</f>
        <v/>
      </c>
      <c r="M5" s="66">
        <f>IF(Matrix!N23="","",Matrix!N23)</f>
        <v>0</v>
      </c>
      <c r="N5" s="66" t="str">
        <f>IF(Matrix!O23="","",Matrix!O23)</f>
        <v/>
      </c>
      <c r="O5" s="66" t="str">
        <f>IF(Matrix!P23="","",Matrix!P23)</f>
        <v/>
      </c>
      <c r="P5" s="66">
        <f>IF(Matrix!Q23="","",Matrix!Q23)</f>
        <v>0</v>
      </c>
      <c r="Q5" s="175" t="str">
        <f>IF(Matrix!R23="","",Matrix!R23*100)</f>
        <v/>
      </c>
      <c r="R5" s="66">
        <f>IF(Matrix!T23="","",Matrix!T23)</f>
        <v>0</v>
      </c>
      <c r="S5" s="66" t="str">
        <f>IF(Matrix!U23="","",Matrix!U23)</f>
        <v/>
      </c>
      <c r="T5" s="66" t="str">
        <f>IF(Matrix!V23="","",Matrix!V23)</f>
        <v/>
      </c>
      <c r="U5" s="66" t="str">
        <f>IF(Matrix!W23="","",Matrix!W23)</f>
        <v/>
      </c>
      <c r="V5" s="66" t="str">
        <f>IF(Matrix!X23="","",Matrix!X23)</f>
        <v/>
      </c>
      <c r="W5" s="66" t="str">
        <f>IF(Matrix!Y23="","",Matrix!Y23)</f>
        <v/>
      </c>
      <c r="X5" s="66" t="str">
        <f>IF(Matrix!Z23="","",Matrix!Z23)</f>
        <v/>
      </c>
      <c r="Y5" s="66" t="str">
        <f>IF(Matrix!AA23="","",Matrix!AA23)</f>
        <v/>
      </c>
      <c r="Z5" s="66" t="str">
        <f>IF(Matrix!AB23="","",Matrix!AB23)</f>
        <v/>
      </c>
      <c r="AA5" s="66" t="str">
        <f>IF(Matrix!AC23="","",Matrix!AC23)</f>
        <v/>
      </c>
      <c r="AB5" s="66" t="str">
        <f>IF(Matrix!AD23="","",Matrix!AD23)</f>
        <v/>
      </c>
      <c r="AC5" s="66" t="str">
        <f>IF(Matrix!AE23="","",Matrix!AE23)</f>
        <v/>
      </c>
    </row>
    <row r="6" spans="1:29" x14ac:dyDescent="0.2">
      <c r="A6" s="118" t="str">
        <f>Matrix!A24</f>
        <v>nicht relevant</v>
      </c>
      <c r="B6" s="117">
        <f>Matrix!B24</f>
        <v>2012</v>
      </c>
      <c r="C6" s="66">
        <f>IF(Matrix!C24="","",Matrix!C24)</f>
        <v>0</v>
      </c>
      <c r="D6" s="66" t="str">
        <f>IF(Matrix!D24="","",Matrix!D24)</f>
        <v/>
      </c>
      <c r="E6" s="66" t="str">
        <f>IF(Matrix!E24="","",Matrix!E24)</f>
        <v/>
      </c>
      <c r="F6" s="66" t="str">
        <f>IF(Matrix!F24="","",Matrix!F24)</f>
        <v/>
      </c>
      <c r="G6" s="66" t="str">
        <f>IF(Matrix!G24="","",Matrix!G24)</f>
        <v/>
      </c>
      <c r="H6" s="66" t="str">
        <f>IF(Matrix!H24="","",Matrix!H24)</f>
        <v/>
      </c>
      <c r="I6" s="66" t="str">
        <f>IF(Matrix!I24="","",Matrix!I24)</f>
        <v/>
      </c>
      <c r="J6" s="66" t="str">
        <f>IF(Matrix!J24="","",Matrix!J24)</f>
        <v/>
      </c>
      <c r="K6" s="66" t="str">
        <f>IF(Matrix!K24="","",Matrix!K24)</f>
        <v/>
      </c>
      <c r="L6" s="66" t="str">
        <f>IF(Matrix!M24="","",Matrix!M24)</f>
        <v/>
      </c>
      <c r="M6" s="66">
        <f>IF(Matrix!N24="","",Matrix!N24)</f>
        <v>0</v>
      </c>
      <c r="N6" s="66" t="str">
        <f>IF(Matrix!O24="","",Matrix!O24)</f>
        <v/>
      </c>
      <c r="O6" s="66" t="str">
        <f>IF(Matrix!P24="","",Matrix!P24)</f>
        <v/>
      </c>
      <c r="P6" s="66">
        <f>IF(Matrix!Q24="","",Matrix!Q24)</f>
        <v>0</v>
      </c>
      <c r="Q6" s="175" t="str">
        <f>IF(Matrix!R24="","",Matrix!R24*100)</f>
        <v/>
      </c>
      <c r="R6" s="66">
        <f>IF(Matrix!T24="","",Matrix!T24)</f>
        <v>0</v>
      </c>
      <c r="S6" s="66" t="str">
        <f>IF(Matrix!U24="","",Matrix!U24)</f>
        <v/>
      </c>
      <c r="T6" s="66" t="str">
        <f>IF(Matrix!V24="","",Matrix!V24)</f>
        <v/>
      </c>
      <c r="U6" s="66" t="str">
        <f>IF(Matrix!W24="","",Matrix!W24)</f>
        <v/>
      </c>
      <c r="V6" s="66" t="str">
        <f>IF(Matrix!X24="","",Matrix!X24)</f>
        <v/>
      </c>
      <c r="W6" s="66" t="str">
        <f>IF(Matrix!Y24="","",Matrix!Y24)</f>
        <v/>
      </c>
      <c r="X6" s="66" t="str">
        <f>IF(Matrix!Z24="","",Matrix!Z24)</f>
        <v/>
      </c>
      <c r="Y6" s="66" t="str">
        <f>IF(Matrix!AA24="","",Matrix!AA24)</f>
        <v/>
      </c>
      <c r="Z6" s="66" t="str">
        <f>IF(Matrix!AB24="","",Matrix!AB24)</f>
        <v/>
      </c>
      <c r="AA6" s="66" t="str">
        <f>IF(Matrix!AC24="","",Matrix!AC24)</f>
        <v/>
      </c>
      <c r="AB6" s="66" t="str">
        <f>IF(Matrix!AD24="","",Matrix!AD24)</f>
        <v/>
      </c>
      <c r="AC6" s="66" t="str">
        <f>IF(Matrix!AE24="","",Matrix!AE24)</f>
        <v/>
      </c>
    </row>
    <row r="7" spans="1:29" x14ac:dyDescent="0.2">
      <c r="A7" s="118" t="str">
        <f>Matrix!A25</f>
        <v>nicht relevant</v>
      </c>
      <c r="B7" s="117">
        <f>Matrix!B25</f>
        <v>2013</v>
      </c>
      <c r="C7" s="66">
        <f>IF(Matrix!C25="","",Matrix!C25)</f>
        <v>0</v>
      </c>
      <c r="D7" s="66" t="str">
        <f>IF(Matrix!D25="","",Matrix!D25)</f>
        <v/>
      </c>
      <c r="E7" s="66" t="str">
        <f>IF(Matrix!E25="","",Matrix!E25)</f>
        <v/>
      </c>
      <c r="F7" s="66" t="str">
        <f>IF(Matrix!F25="","",Matrix!F25)</f>
        <v/>
      </c>
      <c r="G7" s="66" t="str">
        <f>IF(Matrix!G25="","",Matrix!G25)</f>
        <v/>
      </c>
      <c r="H7" s="66" t="str">
        <f>IF(Matrix!H25="","",Matrix!H25)</f>
        <v/>
      </c>
      <c r="I7" s="66" t="str">
        <f>IF(Matrix!I25="","",Matrix!I25)</f>
        <v/>
      </c>
      <c r="J7" s="66" t="str">
        <f>IF(Matrix!J25="","",Matrix!J25)</f>
        <v/>
      </c>
      <c r="K7" s="66" t="str">
        <f>IF(Matrix!K25="","",Matrix!K25)</f>
        <v/>
      </c>
      <c r="L7" s="66" t="str">
        <f>IF(Matrix!M25="","",Matrix!M25)</f>
        <v/>
      </c>
      <c r="M7" s="66">
        <f>IF(Matrix!N25="","",Matrix!N25)</f>
        <v>0</v>
      </c>
      <c r="N7" s="66" t="str">
        <f>IF(Matrix!O25="","",Matrix!O25)</f>
        <v/>
      </c>
      <c r="O7" s="66" t="str">
        <f>IF(Matrix!P25="","",Matrix!P25)</f>
        <v/>
      </c>
      <c r="P7" s="66">
        <f>IF(Matrix!Q25="","",Matrix!Q25)</f>
        <v>0</v>
      </c>
      <c r="Q7" s="175" t="str">
        <f>IF(Matrix!R25="","",Matrix!R25*100)</f>
        <v/>
      </c>
      <c r="R7" s="66">
        <f>IF(Matrix!T25="","",Matrix!T25)</f>
        <v>0</v>
      </c>
      <c r="S7" s="66" t="str">
        <f>IF(Matrix!U25="","",Matrix!U25)</f>
        <v/>
      </c>
      <c r="T7" s="66" t="str">
        <f>IF(Matrix!V25="","",Matrix!V25)</f>
        <v/>
      </c>
      <c r="U7" s="66" t="str">
        <f>IF(Matrix!W25="","",Matrix!W25)</f>
        <v/>
      </c>
      <c r="V7" s="66" t="str">
        <f>IF(Matrix!X25="","",Matrix!X25)</f>
        <v/>
      </c>
      <c r="W7" s="66" t="str">
        <f>IF(Matrix!Y25="","",Matrix!Y25)</f>
        <v/>
      </c>
      <c r="X7" s="66" t="str">
        <f>IF(Matrix!Z25="","",Matrix!Z25)</f>
        <v/>
      </c>
      <c r="Y7" s="66" t="str">
        <f>IF(Matrix!AA25="","",Matrix!AA25)</f>
        <v/>
      </c>
      <c r="Z7" s="66" t="str">
        <f>IF(Matrix!AB25="","",Matrix!AB25)</f>
        <v/>
      </c>
      <c r="AA7" s="66" t="str">
        <f>IF(Matrix!AC25="","",Matrix!AC25)</f>
        <v/>
      </c>
      <c r="AB7" s="66" t="str">
        <f>IF(Matrix!AD25="","",Matrix!AD25)</f>
        <v/>
      </c>
      <c r="AC7" s="66" t="str">
        <f>IF(Matrix!AE25="","",Matrix!AE25)</f>
        <v/>
      </c>
    </row>
    <row r="8" spans="1:29" x14ac:dyDescent="0.2">
      <c r="A8" s="118" t="str">
        <f>Matrix!A26</f>
        <v>nicht relevant</v>
      </c>
      <c r="B8" s="117">
        <f>Matrix!B26</f>
        <v>2014</v>
      </c>
      <c r="C8" s="66">
        <f>IF(Matrix!C26="","",Matrix!C26)</f>
        <v>0</v>
      </c>
      <c r="D8" s="66" t="str">
        <f>IF(Matrix!D26="","",Matrix!D26)</f>
        <v/>
      </c>
      <c r="E8" s="66" t="str">
        <f>IF(Matrix!E26="","",Matrix!E26)</f>
        <v/>
      </c>
      <c r="F8" s="66" t="str">
        <f>IF(Matrix!F26="","",Matrix!F26)</f>
        <v/>
      </c>
      <c r="G8" s="66" t="str">
        <f>IF(Matrix!G26="","",Matrix!G26)</f>
        <v/>
      </c>
      <c r="H8" s="66" t="str">
        <f>IF(Matrix!H26="","",Matrix!H26)</f>
        <v/>
      </c>
      <c r="I8" s="66" t="str">
        <f>IF(Matrix!I26="","",Matrix!I26)</f>
        <v/>
      </c>
      <c r="J8" s="66" t="str">
        <f>IF(Matrix!J26="","",Matrix!J26)</f>
        <v/>
      </c>
      <c r="K8" s="66" t="str">
        <f>IF(Matrix!K26="","",Matrix!K26)</f>
        <v/>
      </c>
      <c r="L8" s="66" t="str">
        <f>IF(Matrix!M26="","",Matrix!M26)</f>
        <v/>
      </c>
      <c r="M8" s="66">
        <f>IF(Matrix!N26="","",Matrix!N26)</f>
        <v>0</v>
      </c>
      <c r="N8" s="66" t="str">
        <f>IF(Matrix!O26="","",Matrix!O26)</f>
        <v/>
      </c>
      <c r="O8" s="66" t="str">
        <f>IF(Matrix!P26="","",Matrix!P26)</f>
        <v/>
      </c>
      <c r="P8" s="66">
        <f>IF(Matrix!Q26="","",Matrix!Q26)</f>
        <v>0</v>
      </c>
      <c r="Q8" s="175" t="str">
        <f>IF(Matrix!R26="","",Matrix!R26*100)</f>
        <v/>
      </c>
      <c r="R8" s="66">
        <f>IF(Matrix!T26="","",Matrix!T26)</f>
        <v>0</v>
      </c>
      <c r="S8" s="66" t="str">
        <f>IF(Matrix!U26="","",Matrix!U26)</f>
        <v/>
      </c>
      <c r="T8" s="66" t="str">
        <f>IF(Matrix!V26="","",Matrix!V26)</f>
        <v/>
      </c>
      <c r="U8" s="66" t="str">
        <f>IF(Matrix!W26="","",Matrix!W26)</f>
        <v/>
      </c>
      <c r="V8" s="66" t="str">
        <f>IF(Matrix!X26="","",Matrix!X26)</f>
        <v/>
      </c>
      <c r="W8" s="66" t="str">
        <f>IF(Matrix!Y26="","",Matrix!Y26)</f>
        <v/>
      </c>
      <c r="X8" s="66" t="str">
        <f>IF(Matrix!Z26="","",Matrix!Z26)</f>
        <v/>
      </c>
      <c r="Y8" s="66" t="str">
        <f>IF(Matrix!AA26="","",Matrix!AA26)</f>
        <v/>
      </c>
      <c r="Z8" s="66" t="str">
        <f>IF(Matrix!AB26="","",Matrix!AB26)</f>
        <v/>
      </c>
      <c r="AA8" s="66" t="str">
        <f>IF(Matrix!AC26="","",Matrix!AC26)</f>
        <v/>
      </c>
      <c r="AB8" s="66" t="str">
        <f>IF(Matrix!AD26="","",Matrix!AD26)</f>
        <v/>
      </c>
      <c r="AC8" s="66" t="str">
        <f>IF(Matrix!AE26="","",Matrix!AE26)</f>
        <v/>
      </c>
    </row>
    <row r="9" spans="1:29" x14ac:dyDescent="0.2">
      <c r="A9" s="118" t="str">
        <f>Matrix!A27</f>
        <v>nicht relevant</v>
      </c>
      <c r="B9" s="117">
        <f>Matrix!B27</f>
        <v>2015</v>
      </c>
      <c r="C9" s="66">
        <f>IF(Matrix!C27="","",Matrix!C27)</f>
        <v>0</v>
      </c>
      <c r="D9" s="66" t="str">
        <f>IF(Matrix!D27="","",Matrix!D27)</f>
        <v/>
      </c>
      <c r="E9" s="66" t="str">
        <f>IF(Matrix!E27="","",Matrix!E27)</f>
        <v/>
      </c>
      <c r="F9" s="66" t="str">
        <f>IF(Matrix!F27="","",Matrix!F27)</f>
        <v/>
      </c>
      <c r="G9" s="66" t="str">
        <f>IF(Matrix!G27="","",Matrix!G27)</f>
        <v/>
      </c>
      <c r="H9" s="66" t="str">
        <f>IF(Matrix!H27="","",Matrix!H27)</f>
        <v/>
      </c>
      <c r="I9" s="66" t="str">
        <f>IF(Matrix!I27="","",Matrix!I27)</f>
        <v/>
      </c>
      <c r="J9" s="66" t="str">
        <f>IF(Matrix!J27="","",Matrix!J27)</f>
        <v/>
      </c>
      <c r="K9" s="66" t="str">
        <f>IF(Matrix!K27="","",Matrix!K27)</f>
        <v/>
      </c>
      <c r="L9" s="66" t="str">
        <f>IF(Matrix!M27="","",Matrix!M27)</f>
        <v/>
      </c>
      <c r="M9" s="66">
        <f>IF(Matrix!N27="","",Matrix!N27)</f>
        <v>0</v>
      </c>
      <c r="N9" s="66" t="str">
        <f>IF(Matrix!O27="","",Matrix!O27)</f>
        <v/>
      </c>
      <c r="O9" s="66" t="str">
        <f>IF(Matrix!P27="","",Matrix!P27)</f>
        <v/>
      </c>
      <c r="P9" s="66">
        <f>IF(Matrix!Q27="","",Matrix!Q27)</f>
        <v>0</v>
      </c>
      <c r="Q9" s="175" t="str">
        <f>IF(Matrix!R27="","",Matrix!R27*100)</f>
        <v/>
      </c>
      <c r="R9" s="66">
        <f>IF(Matrix!T27="","",Matrix!T27)</f>
        <v>0</v>
      </c>
      <c r="S9" s="66" t="str">
        <f>IF(Matrix!U27="","",Matrix!U27)</f>
        <v/>
      </c>
      <c r="T9" s="66" t="str">
        <f>IF(Matrix!V27="","",Matrix!V27)</f>
        <v/>
      </c>
      <c r="U9" s="66" t="str">
        <f>IF(Matrix!W27="","",Matrix!W27)</f>
        <v/>
      </c>
      <c r="V9" s="66" t="str">
        <f>IF(Matrix!X27="","",Matrix!X27)</f>
        <v/>
      </c>
      <c r="W9" s="66" t="str">
        <f>IF(Matrix!Y27="","",Matrix!Y27)</f>
        <v/>
      </c>
      <c r="X9" s="66" t="str">
        <f>IF(Matrix!Z27="","",Matrix!Z27)</f>
        <v/>
      </c>
      <c r="Y9" s="66" t="str">
        <f>IF(Matrix!AA27="","",Matrix!AA27)</f>
        <v/>
      </c>
      <c r="Z9" s="66" t="str">
        <f>IF(Matrix!AB27="","",Matrix!AB27)</f>
        <v/>
      </c>
      <c r="AA9" s="66" t="str">
        <f>IF(Matrix!AC27="","",Matrix!AC27)</f>
        <v/>
      </c>
      <c r="AB9" s="66" t="str">
        <f>IF(Matrix!AD27="","",Matrix!AD27)</f>
        <v/>
      </c>
      <c r="AC9" s="66" t="str">
        <f>IF(Matrix!AE27="","",Matrix!AE27)</f>
        <v/>
      </c>
    </row>
    <row r="10" spans="1:29" x14ac:dyDescent="0.2">
      <c r="A10" s="118" t="str">
        <f>Matrix!A28</f>
        <v>nicht relevant</v>
      </c>
      <c r="B10" s="117">
        <f>Matrix!B28</f>
        <v>2016</v>
      </c>
      <c r="C10" s="66">
        <f>IF(Matrix!C28="","",Matrix!C28)</f>
        <v>0</v>
      </c>
      <c r="D10" s="66" t="str">
        <f>IF(Matrix!D28="","",Matrix!D28)</f>
        <v/>
      </c>
      <c r="E10" s="66" t="str">
        <f>IF(Matrix!E28="","",Matrix!E28)</f>
        <v/>
      </c>
      <c r="F10" s="66" t="str">
        <f>IF(Matrix!F28="","",Matrix!F28)</f>
        <v/>
      </c>
      <c r="G10" s="66" t="str">
        <f>IF(Matrix!G28="","",Matrix!G28)</f>
        <v/>
      </c>
      <c r="H10" s="66" t="str">
        <f>IF(Matrix!H28="","",Matrix!H28)</f>
        <v/>
      </c>
      <c r="I10" s="66" t="str">
        <f>IF(Matrix!I28="","",Matrix!I28)</f>
        <v/>
      </c>
      <c r="J10" s="66" t="str">
        <f>IF(Matrix!J28="","",Matrix!J28)</f>
        <v/>
      </c>
      <c r="K10" s="66" t="str">
        <f>IF(Matrix!K28="","",Matrix!K28)</f>
        <v/>
      </c>
      <c r="L10" s="66" t="str">
        <f>IF(Matrix!M28="","",Matrix!M28)</f>
        <v/>
      </c>
      <c r="M10" s="66">
        <f>IF(Matrix!N28="","",Matrix!N28)</f>
        <v>0</v>
      </c>
      <c r="N10" s="66" t="str">
        <f>IF(Matrix!O28="","",Matrix!O28)</f>
        <v/>
      </c>
      <c r="O10" s="66" t="str">
        <f>IF(Matrix!P28="","",Matrix!P28)</f>
        <v/>
      </c>
      <c r="P10" s="66">
        <f>IF(Matrix!Q28="","",Matrix!Q28)</f>
        <v>0</v>
      </c>
      <c r="Q10" s="175" t="str">
        <f>IF(Matrix!R28="","",Matrix!R28*100)</f>
        <v/>
      </c>
      <c r="R10" s="66">
        <f>IF(Matrix!T28="","",Matrix!T28)</f>
        <v>0</v>
      </c>
      <c r="S10" s="66" t="str">
        <f>IF(Matrix!U28="","",Matrix!U28)</f>
        <v/>
      </c>
      <c r="T10" s="66" t="str">
        <f>IF(Matrix!V28="","",Matrix!V28)</f>
        <v/>
      </c>
      <c r="U10" s="66" t="str">
        <f>IF(Matrix!W28="","",Matrix!W28)</f>
        <v/>
      </c>
      <c r="V10" s="66" t="str">
        <f>IF(Matrix!X28="","",Matrix!X28)</f>
        <v/>
      </c>
      <c r="W10" s="66" t="str">
        <f>IF(Matrix!Y28="","",Matrix!Y28)</f>
        <v/>
      </c>
      <c r="X10" s="66" t="str">
        <f>IF(Matrix!Z28="","",Matrix!Z28)</f>
        <v/>
      </c>
      <c r="Y10" s="66" t="str">
        <f>IF(Matrix!AA28="","",Matrix!AA28)</f>
        <v/>
      </c>
      <c r="Z10" s="66" t="str">
        <f>IF(Matrix!AB28="","",Matrix!AB28)</f>
        <v/>
      </c>
      <c r="AA10" s="66" t="str">
        <f>IF(Matrix!AC28="","",Matrix!AC28)</f>
        <v/>
      </c>
      <c r="AB10" s="66" t="str">
        <f>IF(Matrix!AD28="","",Matrix!AD28)</f>
        <v/>
      </c>
      <c r="AC10" s="66" t="str">
        <f>IF(Matrix!AE28="","",Matrix!AE28)</f>
        <v/>
      </c>
    </row>
    <row r="11" spans="1:29" x14ac:dyDescent="0.2">
      <c r="A11" s="118" t="str">
        <f>Matrix!A29</f>
        <v>nicht relevant</v>
      </c>
      <c r="B11" s="117">
        <f>Matrix!B29</f>
        <v>2017</v>
      </c>
      <c r="C11" s="66">
        <f>IF(Matrix!C29="","",Matrix!C29)</f>
        <v>0</v>
      </c>
      <c r="D11" s="66" t="str">
        <f>IF(Matrix!D29="","",Matrix!D29)</f>
        <v/>
      </c>
      <c r="E11" s="66" t="str">
        <f>IF(Matrix!E29="","",Matrix!E29)</f>
        <v/>
      </c>
      <c r="F11" s="66" t="str">
        <f>IF(Matrix!F29="","",Matrix!F29)</f>
        <v/>
      </c>
      <c r="G11" s="66" t="str">
        <f>IF(Matrix!G29="","",Matrix!G29)</f>
        <v/>
      </c>
      <c r="H11" s="66" t="str">
        <f>IF(Matrix!H29="","",Matrix!H29)</f>
        <v/>
      </c>
      <c r="I11" s="66" t="str">
        <f>IF(Matrix!I29="","",Matrix!I29)</f>
        <v/>
      </c>
      <c r="J11" s="66" t="str">
        <f>IF(Matrix!J29="","",Matrix!J29)</f>
        <v/>
      </c>
      <c r="K11" s="66" t="str">
        <f>IF(Matrix!K29="","",Matrix!K29)</f>
        <v/>
      </c>
      <c r="L11" s="66" t="str">
        <f>IF(Matrix!M29="","",Matrix!M29)</f>
        <v/>
      </c>
      <c r="M11" s="66">
        <f>IF(Matrix!N29="","",Matrix!N29)</f>
        <v>0</v>
      </c>
      <c r="N11" s="66" t="str">
        <f>IF(Matrix!O29="","",Matrix!O29)</f>
        <v/>
      </c>
      <c r="O11" s="66" t="str">
        <f>IF(Matrix!P29="","",Matrix!P29)</f>
        <v/>
      </c>
      <c r="P11" s="66">
        <f>IF(Matrix!Q29="","",Matrix!Q29)</f>
        <v>0</v>
      </c>
      <c r="Q11" s="175" t="str">
        <f>IF(Matrix!R29="","",Matrix!R29*100)</f>
        <v/>
      </c>
      <c r="R11" s="66">
        <f>IF(Matrix!T29="","",Matrix!T29)</f>
        <v>0</v>
      </c>
      <c r="S11" s="66" t="str">
        <f>IF(Matrix!U29="","",Matrix!U29)</f>
        <v/>
      </c>
      <c r="T11" s="66" t="str">
        <f>IF(Matrix!V29="","",Matrix!V29)</f>
        <v/>
      </c>
      <c r="U11" s="66" t="str">
        <f>IF(Matrix!W29="","",Matrix!W29)</f>
        <v/>
      </c>
      <c r="V11" s="66" t="str">
        <f>IF(Matrix!X29="","",Matrix!X29)</f>
        <v/>
      </c>
      <c r="W11" s="66" t="str">
        <f>IF(Matrix!Y29="","",Matrix!Y29)</f>
        <v/>
      </c>
      <c r="X11" s="66" t="str">
        <f>IF(Matrix!Z29="","",Matrix!Z29)</f>
        <v/>
      </c>
      <c r="Y11" s="66" t="str">
        <f>IF(Matrix!AA29="","",Matrix!AA29)</f>
        <v/>
      </c>
      <c r="Z11" s="66" t="str">
        <f>IF(Matrix!AB29="","",Matrix!AB29)</f>
        <v/>
      </c>
      <c r="AA11" s="66" t="str">
        <f>IF(Matrix!AC29="","",Matrix!AC29)</f>
        <v/>
      </c>
      <c r="AB11" s="66" t="str">
        <f>IF(Matrix!AD29="","",Matrix!AD29)</f>
        <v/>
      </c>
      <c r="AC11" s="66" t="str">
        <f>IF(Matrix!AE29="","",Matrix!AE29)</f>
        <v/>
      </c>
    </row>
    <row r="12" spans="1:29" x14ac:dyDescent="0.2">
      <c r="A12" s="118" t="str">
        <f>Matrix!A30</f>
        <v>nicht relevant</v>
      </c>
      <c r="B12" s="117" t="str">
        <f>LEFT(Matrix!B30,4)</f>
        <v>2018</v>
      </c>
      <c r="C12" s="66">
        <f>IF(Matrix!C30="","",Matrix!C30)</f>
        <v>0</v>
      </c>
      <c r="D12" s="66" t="str">
        <f>IF(Matrix!D30="","",Matrix!D30)</f>
        <v/>
      </c>
      <c r="E12" s="66" t="str">
        <f>IF(Matrix!E30="","",Matrix!E30)</f>
        <v/>
      </c>
      <c r="F12" s="66" t="str">
        <f>IF(Matrix!F30="","",Matrix!F30)</f>
        <v/>
      </c>
      <c r="G12" s="66" t="str">
        <f>IF(Matrix!G30="","",Matrix!G30)</f>
        <v/>
      </c>
      <c r="H12" s="66" t="str">
        <f>IF(Matrix!H30="","",Matrix!H30)</f>
        <v/>
      </c>
      <c r="I12" s="66" t="str">
        <f>IF(Matrix!I30="","",Matrix!I30)</f>
        <v/>
      </c>
      <c r="J12" s="66" t="str">
        <f>IF(Matrix!J30="","",Matrix!J30)</f>
        <v/>
      </c>
      <c r="K12" s="66" t="str">
        <f>IF(Matrix!K30="","",Matrix!K30)</f>
        <v/>
      </c>
      <c r="L12" s="224"/>
      <c r="M12" s="224"/>
      <c r="N12" s="224"/>
      <c r="O12" s="224"/>
      <c r="P12" s="224"/>
      <c r="Q12" s="225"/>
      <c r="R12" s="224"/>
      <c r="S12" s="224"/>
      <c r="T12" s="224"/>
      <c r="U12" s="224"/>
      <c r="V12" s="224"/>
      <c r="W12" s="224"/>
      <c r="X12" s="224"/>
      <c r="Y12" s="224"/>
      <c r="Z12" s="224"/>
      <c r="AA12" s="224"/>
      <c r="AB12" s="224"/>
      <c r="AC12" s="224"/>
    </row>
    <row r="13" spans="1:29" x14ac:dyDescent="0.2">
      <c r="A13" s="118" t="str">
        <f>Matrix!A31</f>
        <v>nicht relevant</v>
      </c>
      <c r="B13" s="117" t="str">
        <f>LEFT(Matrix!B31,4)</f>
        <v>2019</v>
      </c>
      <c r="C13" s="66">
        <f>IF(Matrix!C31="","",Matrix!C31)</f>
        <v>0</v>
      </c>
      <c r="D13" s="66" t="str">
        <f>IF(Matrix!D31="","",Matrix!D31)</f>
        <v/>
      </c>
      <c r="E13" s="66" t="str">
        <f>IF(Matrix!E31="","",Matrix!E31)</f>
        <v/>
      </c>
      <c r="F13" s="66" t="str">
        <f>IF(Matrix!F31="","",Matrix!F31)</f>
        <v/>
      </c>
      <c r="G13" s="66" t="str">
        <f>IF(Matrix!G31="","",Matrix!G31)</f>
        <v/>
      </c>
      <c r="H13" s="66" t="str">
        <f>IF(Matrix!H31="","",Matrix!H31)</f>
        <v/>
      </c>
      <c r="I13" s="66" t="str">
        <f>IF(Matrix!I31="","",Matrix!I31)</f>
        <v/>
      </c>
      <c r="J13" s="66" t="str">
        <f>IF(Matrix!J31="","",Matrix!J31)</f>
        <v/>
      </c>
      <c r="K13" s="66" t="str">
        <f>IF(Matrix!K31="","",Matrix!K31)</f>
        <v/>
      </c>
      <c r="L13" s="224"/>
      <c r="M13" s="224"/>
      <c r="N13" s="224"/>
      <c r="O13" s="224"/>
      <c r="P13" s="224"/>
      <c r="Q13" s="225"/>
      <c r="R13" s="224"/>
      <c r="S13" s="224"/>
      <c r="T13" s="224"/>
      <c r="U13" s="224"/>
      <c r="V13" s="224"/>
      <c r="W13" s="224"/>
      <c r="X13" s="224"/>
      <c r="Y13" s="224"/>
      <c r="Z13" s="224"/>
      <c r="AA13" s="224"/>
      <c r="AB13" s="224"/>
      <c r="AC13" s="224"/>
    </row>
    <row r="18" spans="10:10" x14ac:dyDescent="0.2">
      <c r="J18" s="174"/>
    </row>
  </sheetData>
  <phoneticPr fontId="33" type="noConversion"/>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0"/>
  <dimension ref="A1:S116"/>
  <sheetViews>
    <sheetView topLeftCell="A67" zoomScaleNormal="100" workbookViewId="0">
      <selection activeCell="E100" sqref="E100"/>
    </sheetView>
  </sheetViews>
  <sheetFormatPr defaultColWidth="11.42578125" defaultRowHeight="11.25" x14ac:dyDescent="0.25"/>
  <cols>
    <col min="1" max="1" width="9.140625" style="67" customWidth="1"/>
    <col min="2" max="2" width="8" style="67" customWidth="1"/>
    <col min="3" max="3" width="9.140625" style="67" customWidth="1"/>
    <col min="4" max="4" width="27" style="67" customWidth="1"/>
    <col min="5" max="7" width="9.7109375" style="135" customWidth="1"/>
    <col min="8" max="8" width="42.7109375" style="67" customWidth="1"/>
    <col min="9" max="9" width="39.7109375" style="67" customWidth="1"/>
    <col min="10" max="10" width="5.7109375" style="85" customWidth="1"/>
    <col min="11" max="11" width="9.140625" style="67" customWidth="1"/>
    <col min="12" max="12" width="28.140625" style="85" customWidth="1"/>
    <col min="13" max="13" width="17.5703125" style="85" customWidth="1"/>
    <col min="14" max="14" width="21" style="85" customWidth="1"/>
    <col min="15" max="15" width="62.140625" style="67" customWidth="1"/>
    <col min="16" max="16" width="63.28515625" style="67" customWidth="1"/>
    <col min="17" max="256" width="9.140625" style="67" customWidth="1"/>
    <col min="257" max="16384" width="11.42578125" style="67"/>
  </cols>
  <sheetData>
    <row r="1" spans="1:19" s="26" customFormat="1" ht="23.25" thickBot="1" x14ac:dyDescent="0.3">
      <c r="A1" s="67"/>
      <c r="B1" s="67"/>
      <c r="C1" s="67"/>
      <c r="D1" s="67"/>
      <c r="E1" s="135"/>
      <c r="F1" s="135"/>
      <c r="G1" s="135"/>
      <c r="J1" s="100"/>
      <c r="L1" s="84" t="s">
        <v>234</v>
      </c>
      <c r="M1" s="84" t="s">
        <v>17</v>
      </c>
      <c r="N1" s="84" t="s">
        <v>25</v>
      </c>
      <c r="O1" s="84" t="s">
        <v>158</v>
      </c>
      <c r="P1" s="84" t="s">
        <v>4</v>
      </c>
    </row>
    <row r="2" spans="1:19" s="26" customFormat="1" x14ac:dyDescent="0.25">
      <c r="A2" s="114" t="str">
        <f>IF(Datenquelle!$F$3&gt;11,IF(Datenquelle!$F$3=12,"EZ",IF(Datenquelle!$F$3&gt;12,"relevant","?")),"nicht relevant")</f>
        <v>nicht relevant</v>
      </c>
      <c r="B2" s="77" t="s">
        <v>230</v>
      </c>
      <c r="C2" s="76"/>
      <c r="D2" s="121" t="s">
        <v>203</v>
      </c>
      <c r="E2" s="136" t="str">
        <f>IF(H2="","","2008")</f>
        <v/>
      </c>
      <c r="F2" s="137" t="str">
        <f>IF(H2="","","a")</f>
        <v/>
      </c>
      <c r="G2" s="137" t="str">
        <f t="shared" ref="G2:G11" si="0">IF(H2="","","1")</f>
        <v/>
      </c>
      <c r="H2" s="339" t="str">
        <f>IF(A2="relevant",IF(COUNTIF(Matrix!C20:AE20,"")&gt;2,Berechnung2!$L$35,""),"")</f>
        <v/>
      </c>
      <c r="I2" s="127" t="str">
        <f>IF(H2="","",VLOOKUP(F2,Berechnung2!$I$15:$J$25,2,FALSE))</f>
        <v/>
      </c>
      <c r="J2" s="126" t="str">
        <f t="shared" ref="J2:J11" si="1">IF(H2&lt;&gt;"",1,"")</f>
        <v/>
      </c>
      <c r="L2" s="51" t="str">
        <f t="array" aca="1" ref="L2" ca="1">IF(ROW()-ROW($F$2:$F$111)+1&gt;ROWS($E$2:$E$111)-COUNTBLANK($E$2:$E$111),"",INDIRECT(ADDRESS(SMALL((IF($E$2:$E$111&gt;"",ROW($E$2:$E$111),ROW()+ROWS($E$2:$E$111))),ROW()-ROW($F$2:$F$111)+1),COLUMN($E$2:$E$111),4)))</f>
        <v/>
      </c>
      <c r="M2" s="51" t="str">
        <f t="array" aca="1" ref="M2" ca="1">IF(ROW()-ROW($G$2:$G$111)+1&gt;ROWS($F$2:$F$111)-COUNTBLANK($F$2:$F$111),"",INDIRECT(ADDRESS(SMALL((IF($F$2:$F$111&lt;&gt;"",ROW($F$2:$F$111),ROW()+ROWS($F$2:$F$111))),ROW()-ROW($G$2:$G$111)+1),COLUMN($F$2:$F$111),4)))</f>
        <v/>
      </c>
      <c r="N2" s="51" t="str">
        <f t="array" aca="1" ref="N2" ca="1">IF(ROW()-ROW($H$2:$H$111)+1&gt;ROWS($G$2:$G$111)-COUNTBLANK($G$2:$G$111),"",INDIRECT(ADDRESS(SMALL((IF($G$2:$G$111&lt;&gt;"",ROW($G$2:$G$111),ROW()+ROWS($G$2:$G$111))),ROW()-ROW($H$2:$H$111)+1),COLUMN($G$2:$G$111),4)))</f>
        <v/>
      </c>
      <c r="O2" s="114" t="str">
        <f t="array" aca="1" ref="O2" ca="1">IF(ROW()-ROW($I$2:$I$111)+1&gt;ROWS($H$2:$H$111)-COUNTBLANK($H$2:$H$111),"",INDIRECT(ADDRESS(SMALL((IF($H$2:$H$111&lt;&gt;"",ROW($H$2:$H$111),ROW()+ROWS($H$2:$H$111))),ROW()-ROW($I$2:$I$111)+1),COLUMN($H$2:$H$111),4)))</f>
        <v/>
      </c>
      <c r="P2" s="114" t="str">
        <f t="array" aca="1" ref="P2" ca="1">IF(ROW()-ROW($J$2:$J$111)+1&gt;ROWS($I$2:$I$111)-COUNTBLANK($I$2:$I$111),"",INDIRECT(ADDRESS(SMALL((IF($I$2:$I$111&lt;&gt;"",ROW($I$2:$I$111),ROW()+ROWS($I$2:$I$111))),ROW()-ROW($J$2:$J$111)+1),COLUMN($I$2:$I$111),4)))</f>
        <v/>
      </c>
    </row>
    <row r="3" spans="1:19" s="26" customFormat="1" ht="11.25" customHeight="1" x14ac:dyDescent="0.25">
      <c r="A3" s="114" t="str">
        <f>IF(Datenquelle!$F$3&gt;10,IF(Datenquelle!$F$3=11,"EZ",IF(Datenquelle!$F$3&gt;11,"relevant","?")),"nicht relevant")</f>
        <v>nicht relevant</v>
      </c>
      <c r="B3" s="77" t="s">
        <v>231</v>
      </c>
      <c r="C3" s="76"/>
      <c r="D3" s="896" t="s">
        <v>282</v>
      </c>
      <c r="E3" s="138" t="str">
        <f>IF(H3="","","2009")</f>
        <v/>
      </c>
      <c r="F3" s="139" t="str">
        <f t="shared" ref="F3:F11" si="2">IF(H3="","","a")</f>
        <v/>
      </c>
      <c r="G3" s="139" t="str">
        <f t="shared" si="0"/>
        <v/>
      </c>
      <c r="H3" s="124" t="str">
        <f>IF(A3="relevant",IF(COUNTIF(Matrix!C21:AE21,"")&gt;2,Berechnung2!$L$35,""),"")</f>
        <v/>
      </c>
      <c r="I3" s="114" t="str">
        <f>IF(H3="","",VLOOKUP(F3,Berechnung2!$I$15:$J$25,2,FALSE))</f>
        <v/>
      </c>
      <c r="J3" s="125" t="str">
        <f t="shared" si="1"/>
        <v/>
      </c>
      <c r="L3" s="51" t="str">
        <f t="array" aca="1" ref="L3" ca="1">IF(ROW()-ROW($F$2:$F$111)+1&gt;ROWS($E$2:$E$111)-COUNTBLANK($E$2:$E$111),"",INDIRECT(ADDRESS(SMALL((IF($E$2:$E$111&gt;"",ROW($E$2:$E$111),ROW()+ROWS($E$2:$E$111))),ROW()-ROW($F$2:$F$111)+1),COLUMN($E$2:$E$111),4)))</f>
        <v/>
      </c>
      <c r="M3" s="51" t="str">
        <f t="array" aca="1" ref="M3" ca="1">IF(ROW()-ROW($G$2:$G$111)+1&gt;ROWS($F$2:$F$111)-COUNTBLANK($F$2:$F$111),"",INDIRECT(ADDRESS(SMALL((IF($F$2:$F$111&lt;&gt;"",ROW($F$2:$F$111),ROW()+ROWS($F$2:$F$111))),ROW()-ROW($G$2:$G$111)+1),COLUMN($F$2:$F$111),4)))</f>
        <v/>
      </c>
      <c r="N3" s="51" t="str">
        <f t="array" aca="1" ref="N3" ca="1">IF(ROW()-ROW($H$2:$H$111)+1&gt;ROWS($G$2:$G$111)-COUNTBLANK($G$2:$G$111),"",INDIRECT(ADDRESS(SMALL((IF($G$2:$G$111&lt;&gt;"",ROW($G$2:$G$111),ROW()+ROWS($G$2:$G$111))),ROW()-ROW($H$2:$H$111)+1),COLUMN($G$2:$G$111),4)))</f>
        <v/>
      </c>
      <c r="O3" s="114" t="str">
        <f t="array" aca="1" ref="O3" ca="1">IF(ROW()-ROW($I$2:$I$111)+1&gt;ROWS($H$2:$H$111)-COUNTBLANK($H$2:$H$111),"",INDIRECT(ADDRESS(SMALL((IF($H$2:$H$111&lt;&gt;"",ROW($H$2:$H$111),ROW()+ROWS($H$2:$H$111))),ROW()-ROW($I$2:$I$111)+1),COLUMN($H$2:$H$111),4)))</f>
        <v/>
      </c>
      <c r="P3" s="114" t="str">
        <f t="array" aca="1" ref="P3" ca="1">IF(ROW()-ROW($J$2:$J$111)+1&gt;ROWS($I$2:$I$111)-COUNTBLANK($I$2:$I$111),"",INDIRECT(ADDRESS(SMALL((IF($I$2:$I$111&lt;&gt;"",ROW($I$2:$I$111),ROW()+ROWS($I$2:$I$111))),ROW()-ROW($J$2:$J$111)+1),COLUMN($I$2:$I$111),4)))</f>
        <v/>
      </c>
    </row>
    <row r="4" spans="1:19" s="26" customFormat="1" ht="15.95" customHeight="1" x14ac:dyDescent="0.25">
      <c r="A4" s="114" t="str">
        <f>IF(Datenquelle!$F$3&gt;9,IF(Datenquelle!$F$3=10,"EZ",IF(Datenquelle!$F$3&gt;10,"relevant","?")),"nicht relevant")</f>
        <v>nicht relevant</v>
      </c>
      <c r="B4" s="77" t="s">
        <v>232</v>
      </c>
      <c r="C4" s="76"/>
      <c r="D4" s="896"/>
      <c r="E4" s="138" t="str">
        <f>IF(H4="","","2010")</f>
        <v/>
      </c>
      <c r="F4" s="139" t="str">
        <f t="shared" si="2"/>
        <v/>
      </c>
      <c r="G4" s="139" t="str">
        <f t="shared" si="0"/>
        <v/>
      </c>
      <c r="H4" s="124" t="str">
        <f>IF(A4="relevant",IF(COUNTIF(Matrix!C22:AE22,"")&gt;2,Berechnung2!$L$35,""),"")</f>
        <v/>
      </c>
      <c r="I4" s="114" t="str">
        <f>IF(H4="","",VLOOKUP(F4,Berechnung2!$I$15:$J$25,2,FALSE))</f>
        <v/>
      </c>
      <c r="J4" s="125" t="str">
        <f t="shared" si="1"/>
        <v/>
      </c>
      <c r="L4" s="51" t="str">
        <f t="array" aca="1" ref="L4" ca="1">IF(ROW()-ROW($F$2:$F$111)+1&gt;ROWS($E$2:$E$111)-COUNTBLANK($E$2:$E$111),"",INDIRECT(ADDRESS(SMALL((IF($E$2:$E$111&gt;"",ROW($E$2:$E$111),ROW()+ROWS($E$2:$E$111))),ROW()-ROW($F$2:$F$111)+1),COLUMN($E$2:$E$111),4)))</f>
        <v/>
      </c>
      <c r="M4" s="51" t="str">
        <f t="array" aca="1" ref="M4" ca="1">IF(ROW()-ROW($G$2:$G$111)+1&gt;ROWS($F$2:$F$111)-COUNTBLANK($F$2:$F$111),"",INDIRECT(ADDRESS(SMALL((IF($F$2:$F$111&lt;&gt;"",ROW($F$2:$F$111),ROW()+ROWS($F$2:$F$111))),ROW()-ROW($G$2:$G$111)+1),COLUMN($F$2:$F$111),4)))</f>
        <v/>
      </c>
      <c r="N4" s="51" t="str">
        <f t="array" aca="1" ref="N4" ca="1">IF(ROW()-ROW($H$2:$H$111)+1&gt;ROWS($G$2:$G$111)-COUNTBLANK($G$2:$G$111),"",INDIRECT(ADDRESS(SMALL((IF($G$2:$G$111&lt;&gt;"",ROW($G$2:$G$111),ROW()+ROWS($G$2:$G$111))),ROW()-ROW($H$2:$H$111)+1),COLUMN($G$2:$G$111),4)))</f>
        <v/>
      </c>
      <c r="O4" s="114" t="str">
        <f t="array" aca="1" ref="O4" ca="1">IF(ROW()-ROW($I$2:$I$111)+1&gt;ROWS($H$2:$H$111)-COUNTBLANK($H$2:$H$111),"",INDIRECT(ADDRESS(SMALL((IF($H$2:$H$111&lt;&gt;"",ROW($H$2:$H$111),ROW()+ROWS($H$2:$H$111))),ROW()-ROW($I$2:$I$111)+1),COLUMN($H$2:$H$111),4)))</f>
        <v/>
      </c>
      <c r="P4" s="114" t="str">
        <f t="array" aca="1" ref="P4" ca="1">IF(ROW()-ROW($J$2:$J$111)+1&gt;ROWS($I$2:$I$111)-COUNTBLANK($I$2:$I$111),"",INDIRECT(ADDRESS(SMALL((IF($I$2:$I$111&lt;&gt;"",ROW($I$2:$I$111),ROW()+ROWS($I$2:$I$111))),ROW()-ROW($J$2:$J$111)+1),COLUMN($I$2:$I$111),4)))</f>
        <v/>
      </c>
    </row>
    <row r="5" spans="1:19" s="26" customFormat="1" ht="15.95" customHeight="1" x14ac:dyDescent="0.25">
      <c r="A5" s="114" t="str">
        <f>IF(Datenquelle!$F$3&gt;8,IF(Datenquelle!$F$3=9,"EZ",IF(Datenquelle!$F$3&gt;9,"relevant","?")),"nicht relevant")</f>
        <v>nicht relevant</v>
      </c>
      <c r="B5" s="77" t="s">
        <v>233</v>
      </c>
      <c r="C5" s="76"/>
      <c r="D5" s="896"/>
      <c r="E5" s="138" t="str">
        <f>IF(H5="","","2011")</f>
        <v/>
      </c>
      <c r="F5" s="139" t="str">
        <f t="shared" si="2"/>
        <v/>
      </c>
      <c r="G5" s="139" t="str">
        <f t="shared" si="0"/>
        <v/>
      </c>
      <c r="H5" s="124" t="str">
        <f>IF(A5="relevant",IF(COUNTIF(Matrix!C23:AE23,"")&gt;2,Berechnung2!$L$35,""),"")</f>
        <v/>
      </c>
      <c r="I5" s="114" t="str">
        <f>IF(H5="","",VLOOKUP(F5,Berechnung2!$I$15:$J$25,2,FALSE))</f>
        <v/>
      </c>
      <c r="J5" s="125" t="str">
        <f t="shared" si="1"/>
        <v/>
      </c>
      <c r="L5" s="51" t="str">
        <f t="array" aca="1" ref="L5" ca="1">IF(ROW()-ROW($F$2:$F$111)+1&gt;ROWS($E$2:$E$111)-COUNTBLANK($E$2:$E$111),"",INDIRECT(ADDRESS(SMALL((IF($E$2:$E$111&gt;"",ROW($E$2:$E$111),ROW()+ROWS($E$2:$E$111))),ROW()-ROW($F$2:$F$111)+1),COLUMN($E$2:$E$111),4)))</f>
        <v/>
      </c>
      <c r="M5" s="51" t="str">
        <f t="array" aca="1" ref="M5" ca="1">IF(ROW()-ROW($G$2:$G$111)+1&gt;ROWS($F$2:$F$111)-COUNTBLANK($F$2:$F$111),"",INDIRECT(ADDRESS(SMALL((IF($F$2:$F$111&lt;&gt;"",ROW($F$2:$F$111),ROW()+ROWS($F$2:$F$111))),ROW()-ROW($G$2:$G$111)+1),COLUMN($F$2:$F$111),4)))</f>
        <v/>
      </c>
      <c r="N5" s="51" t="str">
        <f t="array" aca="1" ref="N5" ca="1">IF(ROW()-ROW($H$2:$H$111)+1&gt;ROWS($G$2:$G$111)-COUNTBLANK($G$2:$G$111),"",INDIRECT(ADDRESS(SMALL((IF($G$2:$G$111&lt;&gt;"",ROW($G$2:$G$111),ROW()+ROWS($G$2:$G$111))),ROW()-ROW($H$2:$H$111)+1),COLUMN($G$2:$G$111),4)))</f>
        <v/>
      </c>
      <c r="O5" s="114" t="str">
        <f t="array" aca="1" ref="O5" ca="1">IF(ROW()-ROW($I$2:$I$111)+1&gt;ROWS($H$2:$H$111)-COUNTBLANK($H$2:$H$111),"",INDIRECT(ADDRESS(SMALL((IF($H$2:$H$111&lt;&gt;"",ROW($H$2:$H$111),ROW()+ROWS($H$2:$H$111))),ROW()-ROW($I$2:$I$111)+1),COLUMN($H$2:$H$111),4)))</f>
        <v/>
      </c>
      <c r="P5" s="114" t="str">
        <f t="array" aca="1" ref="P5" ca="1">IF(ROW()-ROW($J$2:$J$111)+1&gt;ROWS($I$2:$I$111)-COUNTBLANK($I$2:$I$111),"",INDIRECT(ADDRESS(SMALL((IF($I$2:$I$111&lt;&gt;"",ROW($I$2:$I$111),ROW()+ROWS($I$2:$I$111))),ROW()-ROW($J$2:$J$111)+1),COLUMN($I$2:$I$111),4)))</f>
        <v/>
      </c>
    </row>
    <row r="6" spans="1:19" s="26" customFormat="1" ht="15.95" customHeight="1" x14ac:dyDescent="0.25">
      <c r="A6" s="114" t="str">
        <f>IF(Datenquelle!$F$3&gt;7,IF(Datenquelle!$F$3=8,"EZ",IF(Datenquelle!$F$3&gt;8,"relevant","?")),"nicht relevant")</f>
        <v>nicht relevant</v>
      </c>
      <c r="B6" s="77" t="s">
        <v>273</v>
      </c>
      <c r="C6" s="76"/>
      <c r="D6" s="896"/>
      <c r="E6" s="138" t="str">
        <f>IF(H6="","","2012")</f>
        <v/>
      </c>
      <c r="F6" s="139" t="str">
        <f t="shared" si="2"/>
        <v/>
      </c>
      <c r="G6" s="139" t="str">
        <f t="shared" si="0"/>
        <v/>
      </c>
      <c r="H6" s="124" t="str">
        <f>IF(A6="relevant",IF(COUNTIF(Matrix!C24:AE24,"")&gt;2,Berechnung2!$L$35,""),"")</f>
        <v/>
      </c>
      <c r="I6" s="114" t="str">
        <f>IF(H6="","",VLOOKUP(F6,Berechnung2!$I$15:$J$25,2,FALSE))</f>
        <v/>
      </c>
      <c r="J6" s="125" t="str">
        <f t="shared" si="1"/>
        <v/>
      </c>
      <c r="L6" s="51" t="str">
        <f t="array" aca="1" ref="L6" ca="1">IF(ROW()-ROW($F$2:$F$111)+1&gt;ROWS($E$2:$E$111)-COUNTBLANK($E$2:$E$111),"",INDIRECT(ADDRESS(SMALL((IF($E$2:$E$111&gt;"",ROW($E$2:$E$111),ROW()+ROWS($E$2:$E$111))),ROW()-ROW($F$2:$F$111)+1),COLUMN($E$2:$E$111),4)))</f>
        <v/>
      </c>
      <c r="M6" s="51" t="str">
        <f t="array" aca="1" ref="M6" ca="1">IF(ROW()-ROW($G$2:$G$111)+1&gt;ROWS($F$2:$F$111)-COUNTBLANK($F$2:$F$111),"",INDIRECT(ADDRESS(SMALL((IF($F$2:$F$111&lt;&gt;"",ROW($F$2:$F$111),ROW()+ROWS($F$2:$F$111))),ROW()-ROW($G$2:$G$111)+1),COLUMN($F$2:$F$111),4)))</f>
        <v/>
      </c>
      <c r="N6" s="51" t="str">
        <f t="array" aca="1" ref="N6" ca="1">IF(ROW()-ROW($H$2:$H$111)+1&gt;ROWS($G$2:$G$111)-COUNTBLANK($G$2:$G$111),"",INDIRECT(ADDRESS(SMALL((IF($G$2:$G$111&lt;&gt;"",ROW($G$2:$G$111),ROW()+ROWS($G$2:$G$111))),ROW()-ROW($H$2:$H$111)+1),COLUMN($G$2:$G$111),4)))</f>
        <v/>
      </c>
      <c r="O6" s="114" t="str">
        <f t="array" aca="1" ref="O6" ca="1">IF(ROW()-ROW($I$2:$I$111)+1&gt;ROWS($H$2:$H$111)-COUNTBLANK($H$2:$H$111),"",INDIRECT(ADDRESS(SMALL((IF($H$2:$H$111&lt;&gt;"",ROW($H$2:$H$111),ROW()+ROWS($H$2:$H$111))),ROW()-ROW($I$2:$I$111)+1),COLUMN($H$2:$H$111),4)))</f>
        <v/>
      </c>
      <c r="P6" s="114" t="str">
        <f t="array" aca="1" ref="P6" ca="1">IF(ROW()-ROW($J$2:$J$111)+1&gt;ROWS($I$2:$I$111)-COUNTBLANK($I$2:$I$111),"",INDIRECT(ADDRESS(SMALL((IF($I$2:$I$111&lt;&gt;"",ROW($I$2:$I$111),ROW()+ROWS($I$2:$I$111))),ROW()-ROW($J$2:$J$111)+1),COLUMN($I$2:$I$111),4)))</f>
        <v/>
      </c>
    </row>
    <row r="7" spans="1:19" s="26" customFormat="1" ht="15.95" customHeight="1" x14ac:dyDescent="0.25">
      <c r="A7" s="114" t="str">
        <f>IF(Datenquelle!$F$3&gt;6,IF(Datenquelle!$F$3=7,"EZ",IF(Datenquelle!$F$3&gt;7,"relevant","?")),"nicht relevant")</f>
        <v>nicht relevant</v>
      </c>
      <c r="B7" s="77" t="s">
        <v>321</v>
      </c>
      <c r="C7" s="76"/>
      <c r="D7" s="896"/>
      <c r="E7" s="138" t="str">
        <f>IF(H7="","","2013")</f>
        <v/>
      </c>
      <c r="F7" s="139" t="str">
        <f t="shared" si="2"/>
        <v/>
      </c>
      <c r="G7" s="139" t="str">
        <f t="shared" si="0"/>
        <v/>
      </c>
      <c r="H7" s="124" t="str">
        <f>IF(A7="relevant",IF(COUNTIF(Matrix!C25:AE25,"")&gt;2,Berechnung2!$L$35,""),"")</f>
        <v/>
      </c>
      <c r="I7" s="114" t="str">
        <f>IF(H7="","",VLOOKUP(F7,Berechnung2!$I$15:$J$25,2,FALSE))</f>
        <v/>
      </c>
      <c r="J7" s="125" t="str">
        <f t="shared" si="1"/>
        <v/>
      </c>
      <c r="L7" s="51" t="str">
        <f t="array" aca="1" ref="L7" ca="1">IF(ROW()-ROW($F$2:$F$111)+1&gt;ROWS($E$2:$E$111)-COUNTBLANK($E$2:$E$111),"",INDIRECT(ADDRESS(SMALL((IF($E$2:$E$111&gt;"",ROW($E$2:$E$111),ROW()+ROWS($E$2:$E$111))),ROW()-ROW($F$2:$F$111)+1),COLUMN($E$2:$E$111),4)))</f>
        <v/>
      </c>
      <c r="M7" s="51" t="str">
        <f t="array" aca="1" ref="M7" ca="1">IF(ROW()-ROW($G$2:$G$111)+1&gt;ROWS($F$2:$F$111)-COUNTBLANK($F$2:$F$111),"",INDIRECT(ADDRESS(SMALL((IF($F$2:$F$111&lt;&gt;"",ROW($F$2:$F$111),ROW()+ROWS($F$2:$F$111))),ROW()-ROW($G$2:$G$111)+1),COLUMN($F$2:$F$111),4)))</f>
        <v/>
      </c>
      <c r="N7" s="51" t="str">
        <f t="array" aca="1" ref="N7" ca="1">IF(ROW()-ROW($H$2:$H$111)+1&gt;ROWS($G$2:$G$111)-COUNTBLANK($G$2:$G$111),"",INDIRECT(ADDRESS(SMALL((IF($G$2:$G$111&lt;&gt;"",ROW($G$2:$G$111),ROW()+ROWS($G$2:$G$111))),ROW()-ROW($H$2:$H$111)+1),COLUMN($G$2:$G$111),4)))</f>
        <v/>
      </c>
      <c r="O7" s="114" t="str">
        <f t="array" aca="1" ref="O7" ca="1">IF(ROW()-ROW($I$2:$I$111)+1&gt;ROWS($H$2:$H$111)-COUNTBLANK($H$2:$H$111),"",INDIRECT(ADDRESS(SMALL((IF($H$2:$H$111&lt;&gt;"",ROW($H$2:$H$111),ROW()+ROWS($H$2:$H$111))),ROW()-ROW($I$2:$I$111)+1),COLUMN($H$2:$H$111),4)))</f>
        <v/>
      </c>
      <c r="P7" s="114" t="str">
        <f t="array" aca="1" ref="P7" ca="1">IF(ROW()-ROW($J$2:$J$111)+1&gt;ROWS($I$2:$I$111)-COUNTBLANK($I$2:$I$111),"",INDIRECT(ADDRESS(SMALL((IF($I$2:$I$111&lt;&gt;"",ROW($I$2:$I$111),ROW()+ROWS($I$2:$I$111))),ROW()-ROW($J$2:$J$111)+1),COLUMN($I$2:$I$111),4)))</f>
        <v/>
      </c>
    </row>
    <row r="8" spans="1:19" s="26" customFormat="1" ht="15.95" customHeight="1" x14ac:dyDescent="0.25">
      <c r="A8" s="114" t="str">
        <f>IF(Datenquelle!$F$3&gt;5,IF(Datenquelle!$F$3=6,"EZ",IF(Datenquelle!$F$3&gt;6,"relevant","?")),"nicht relevant")</f>
        <v>nicht relevant</v>
      </c>
      <c r="B8" s="77" t="s">
        <v>350</v>
      </c>
      <c r="C8" s="76"/>
      <c r="D8" s="896"/>
      <c r="E8" s="138" t="str">
        <f>IF(H8="","","2014")</f>
        <v/>
      </c>
      <c r="F8" s="139" t="str">
        <f t="shared" si="2"/>
        <v/>
      </c>
      <c r="G8" s="139" t="str">
        <f t="shared" si="0"/>
        <v/>
      </c>
      <c r="H8" s="124" t="str">
        <f>IF(A8="relevant",IF(COUNTIF(Matrix!C26:AE26,"")&gt;2,Berechnung2!$L$35,""),"")</f>
        <v/>
      </c>
      <c r="I8" s="114" t="str">
        <f>IF(H8="","",VLOOKUP(F8,Berechnung2!$I$15:$J$25,2,FALSE))</f>
        <v/>
      </c>
      <c r="J8" s="125" t="str">
        <f t="shared" si="1"/>
        <v/>
      </c>
      <c r="L8" s="51" t="str">
        <f t="array" aca="1" ref="L8" ca="1">IF(ROW()-ROW($F$2:$F$111)+1&gt;ROWS($E$2:$E$111)-COUNTBLANK($E$2:$E$111),"",INDIRECT(ADDRESS(SMALL((IF($E$2:$E$111&gt;"",ROW($E$2:$E$111),ROW()+ROWS($E$2:$E$111))),ROW()-ROW($F$2:$F$111)+1),COLUMN($E$2:$E$111),4)))</f>
        <v/>
      </c>
      <c r="M8" s="51" t="str">
        <f t="array" aca="1" ref="M8" ca="1">IF(ROW()-ROW($G$2:$G$111)+1&gt;ROWS($F$2:$F$111)-COUNTBLANK($F$2:$F$111),"",INDIRECT(ADDRESS(SMALL((IF($F$2:$F$111&lt;&gt;"",ROW($F$2:$F$111),ROW()+ROWS($F$2:$F$111))),ROW()-ROW($G$2:$G$111)+1),COLUMN($F$2:$F$111),4)))</f>
        <v/>
      </c>
      <c r="N8" s="51" t="str">
        <f t="array" aca="1" ref="N8" ca="1">IF(ROW()-ROW($H$2:$H$111)+1&gt;ROWS($G$2:$G$111)-COUNTBLANK($G$2:$G$111),"",INDIRECT(ADDRESS(SMALL((IF($G$2:$G$111&lt;&gt;"",ROW($G$2:$G$111),ROW()+ROWS($G$2:$G$111))),ROW()-ROW($H$2:$H$111)+1),COLUMN($G$2:$G$111),4)))</f>
        <v/>
      </c>
      <c r="O8" s="114" t="str">
        <f t="array" aca="1" ref="O8" ca="1">IF(ROW()-ROW($I$2:$I$111)+1&gt;ROWS($H$2:$H$111)-COUNTBLANK($H$2:$H$111),"",INDIRECT(ADDRESS(SMALL((IF($H$2:$H$111&lt;&gt;"",ROW($H$2:$H$111),ROW()+ROWS($H$2:$H$111))),ROW()-ROW($I$2:$I$111)+1),COLUMN($H$2:$H$111),4)))</f>
        <v/>
      </c>
      <c r="P8" s="114" t="str">
        <f t="array" aca="1" ref="P8" ca="1">IF(ROW()-ROW($J$2:$J$111)+1&gt;ROWS($I$2:$I$111)-COUNTBLANK($I$2:$I$111),"",INDIRECT(ADDRESS(SMALL((IF($I$2:$I$111&lt;&gt;"",ROW($I$2:$I$111),ROW()+ROWS($I$2:$I$111))),ROW()-ROW($J$2:$J$111)+1),COLUMN($I$2:$I$111),4)))</f>
        <v/>
      </c>
    </row>
    <row r="9" spans="1:19" s="26" customFormat="1" ht="15.95" customHeight="1" x14ac:dyDescent="0.25">
      <c r="A9" s="114" t="str">
        <f>IF(Datenquelle!$F$3&gt;4,IF(Datenquelle!$F$3=5,"EZ",IF(Datenquelle!$F$3&gt;5,"relevant","?")),"nicht relevant")</f>
        <v>nicht relevant</v>
      </c>
      <c r="B9" s="77" t="s">
        <v>361</v>
      </c>
      <c r="C9" s="76"/>
      <c r="D9" s="896"/>
      <c r="E9" s="138" t="str">
        <f>IF(H9="","","2015")</f>
        <v/>
      </c>
      <c r="F9" s="139" t="str">
        <f t="shared" si="2"/>
        <v/>
      </c>
      <c r="G9" s="139" t="str">
        <f t="shared" si="0"/>
        <v/>
      </c>
      <c r="H9" s="124" t="str">
        <f>IF(A9="relevant",IF(COUNTIF(Matrix!C27:AE27,"")&gt;2,Berechnung2!$L$35,""),"")</f>
        <v/>
      </c>
      <c r="I9" s="114" t="str">
        <f>IF(H9="","",VLOOKUP(F9,Berechnung2!$I$15:$J$25,2,FALSE))</f>
        <v/>
      </c>
      <c r="J9" s="125" t="str">
        <f t="shared" si="1"/>
        <v/>
      </c>
      <c r="L9" s="51" t="str">
        <f t="array" aca="1" ref="L9" ca="1">IF(ROW()-ROW($F$2:$F$111)+1&gt;ROWS($E$2:$E$111)-COUNTBLANK($E$2:$E$111),"",INDIRECT(ADDRESS(SMALL((IF($E$2:$E$111&gt;"",ROW($E$2:$E$111),ROW()+ROWS($E$2:$E$111))),ROW()-ROW($F$2:$F$111)+1),COLUMN($E$2:$E$111),4)))</f>
        <v/>
      </c>
      <c r="M9" s="51" t="str">
        <f t="array" aca="1" ref="M9" ca="1">IF(ROW()-ROW($G$2:$G$111)+1&gt;ROWS($F$2:$F$111)-COUNTBLANK($F$2:$F$111),"",INDIRECT(ADDRESS(SMALL((IF($F$2:$F$111&lt;&gt;"",ROW($F$2:$F$111),ROW()+ROWS($F$2:$F$111))),ROW()-ROW($G$2:$G$111)+1),COLUMN($F$2:$F$111),4)))</f>
        <v/>
      </c>
      <c r="N9" s="51" t="str">
        <f t="array" aca="1" ref="N9" ca="1">IF(ROW()-ROW($H$2:$H$111)+1&gt;ROWS($G$2:$G$111)-COUNTBLANK($G$2:$G$111),"",INDIRECT(ADDRESS(SMALL((IF($G$2:$G$111&lt;&gt;"",ROW($G$2:$G$111),ROW()+ROWS($G$2:$G$111))),ROW()-ROW($H$2:$H$111)+1),COLUMN($G$2:$G$111),4)))</f>
        <v/>
      </c>
      <c r="O9" s="114" t="str">
        <f t="array" aca="1" ref="O9" ca="1">IF(ROW()-ROW($I$2:$I$111)+1&gt;ROWS($H$2:$H$111)-COUNTBLANK($H$2:$H$111),"",INDIRECT(ADDRESS(SMALL((IF($H$2:$H$111&lt;&gt;"",ROW($H$2:$H$111),ROW()+ROWS($H$2:$H$111))),ROW()-ROW($I$2:$I$111)+1),COLUMN($H$2:$H$111),4)))</f>
        <v/>
      </c>
      <c r="P9" s="114" t="str">
        <f t="array" aca="1" ref="P9" ca="1">IF(ROW()-ROW($J$2:$J$111)+1&gt;ROWS($I$2:$I$111)-COUNTBLANK($I$2:$I$111),"",INDIRECT(ADDRESS(SMALL((IF($I$2:$I$111&lt;&gt;"",ROW($I$2:$I$111),ROW()+ROWS($I$2:$I$111))),ROW()-ROW($J$2:$J$111)+1),COLUMN($I$2:$I$111),4)))</f>
        <v/>
      </c>
      <c r="Q9" s="67"/>
      <c r="R9" s="67"/>
      <c r="S9" s="67"/>
    </row>
    <row r="10" spans="1:19" s="26" customFormat="1" ht="15.95" customHeight="1" x14ac:dyDescent="0.25">
      <c r="A10" s="114" t="str">
        <f>IF(Datenquelle!$F$3&gt;3,IF(Datenquelle!$F$3=4,"EZ",IF(Datenquelle!$F$3&gt;4,"relevant","?")),"nicht relevant")</f>
        <v>nicht relevant</v>
      </c>
      <c r="B10" s="77" t="s">
        <v>369</v>
      </c>
      <c r="D10" s="896"/>
      <c r="E10" s="138" t="str">
        <f>IF(H10="","","2016")</f>
        <v/>
      </c>
      <c r="F10" s="139" t="str">
        <f t="shared" si="2"/>
        <v/>
      </c>
      <c r="G10" s="139" t="str">
        <f t="shared" si="0"/>
        <v/>
      </c>
      <c r="H10" s="124" t="str">
        <f>IF(A10="relevant",IF(COUNTIF(Matrix!C28:AE28,"")&gt;2,Berechnung2!$L$35,""),"")</f>
        <v/>
      </c>
      <c r="I10" s="114" t="str">
        <f>IF(H10="","",VLOOKUP(F10,Berechnung2!$I$15:$J$25,2,FALSE))</f>
        <v/>
      </c>
      <c r="J10" s="125" t="str">
        <f t="shared" si="1"/>
        <v/>
      </c>
      <c r="L10" s="51" t="str">
        <f t="array" aca="1" ref="L10" ca="1">IF(ROW()-ROW($F$2:$F$111)+1&gt;ROWS($E$2:$E$111)-COUNTBLANK($E$2:$E$111),"",INDIRECT(ADDRESS(SMALL((IF($E$2:$E$111&gt;"",ROW($E$2:$E$111),ROW()+ROWS($E$2:$E$111))),ROW()-ROW($F$2:$F$111)+1),COLUMN($E$2:$E$111),4)))</f>
        <v/>
      </c>
      <c r="M10" s="51" t="str">
        <f t="array" aca="1" ref="M10" ca="1">IF(ROW()-ROW($G$2:$G$111)+1&gt;ROWS($F$2:$F$111)-COUNTBLANK($F$2:$F$111),"",INDIRECT(ADDRESS(SMALL((IF($F$2:$F$111&lt;&gt;"",ROW($F$2:$F$111),ROW()+ROWS($F$2:$F$111))),ROW()-ROW($G$2:$G$111)+1),COLUMN($F$2:$F$111),4)))</f>
        <v/>
      </c>
      <c r="N10" s="51" t="str">
        <f t="array" aca="1" ref="N10" ca="1">IF(ROW()-ROW($H$2:$H$111)+1&gt;ROWS($G$2:$G$111)-COUNTBLANK($G$2:$G$111),"",INDIRECT(ADDRESS(SMALL((IF($G$2:$G$111&lt;&gt;"",ROW($G$2:$G$111),ROW()+ROWS($G$2:$G$111))),ROW()-ROW($H$2:$H$111)+1),COLUMN($G$2:$G$111),4)))</f>
        <v/>
      </c>
      <c r="O10" s="114" t="str">
        <f t="array" aca="1" ref="O10" ca="1">IF(ROW()-ROW($I$2:$I$111)+1&gt;ROWS($H$2:$H$111)-COUNTBLANK($H$2:$H$111),"",INDIRECT(ADDRESS(SMALL((IF($H$2:$H$111&lt;&gt;"",ROW($H$2:$H$111),ROW()+ROWS($H$2:$H$111))),ROW()-ROW($I$2:$I$111)+1),COLUMN($H$2:$H$111),4)))</f>
        <v/>
      </c>
      <c r="P10" s="114" t="str">
        <f t="array" aca="1" ref="P10" ca="1">IF(ROW()-ROW($J$2:$J$111)+1&gt;ROWS($I$2:$I$111)-COUNTBLANK($I$2:$I$111),"",INDIRECT(ADDRESS(SMALL((IF($I$2:$I$111&lt;&gt;"",ROW($I$2:$I$111),ROW()+ROWS($I$2:$I$111))),ROW()-ROW($J$2:$J$111)+1),COLUMN($I$2:$I$111),4)))</f>
        <v/>
      </c>
    </row>
    <row r="11" spans="1:19" s="26" customFormat="1" ht="15.95" customHeight="1" x14ac:dyDescent="0.25">
      <c r="A11" s="114" t="str">
        <f>IF(Datenquelle!$F$3&gt;2,IF(Datenquelle!$F$3=3,"EZ",IF(Datenquelle!$F$3&gt;3,"relevant","?")),"nicht relevant")</f>
        <v>nicht relevant</v>
      </c>
      <c r="B11" s="77" t="s">
        <v>362</v>
      </c>
      <c r="D11" s="896"/>
      <c r="E11" s="138" t="str">
        <f>IF(H11="","","2017")</f>
        <v/>
      </c>
      <c r="F11" s="139" t="str">
        <f t="shared" si="2"/>
        <v/>
      </c>
      <c r="G11" s="139" t="str">
        <f t="shared" si="0"/>
        <v/>
      </c>
      <c r="H11" s="124" t="str">
        <f>IF(A11="relevant",IF(COUNTIF(Matrix!C29:AE29,"")&gt;2,Berechnung2!$L$35,""),"")</f>
        <v/>
      </c>
      <c r="I11" s="114" t="str">
        <f>IF(H11="","",VLOOKUP(F11,Berechnung2!$I$15:$J$25,2,FALSE))</f>
        <v/>
      </c>
      <c r="J11" s="125" t="str">
        <f t="shared" si="1"/>
        <v/>
      </c>
      <c r="L11" s="51" t="str">
        <f t="array" aca="1" ref="L11" ca="1">IF(ROW()-ROW($F$2:$F$111)+1&gt;ROWS($E$2:$E$111)-COUNTBLANK($E$2:$E$111),"",INDIRECT(ADDRESS(SMALL((IF($E$2:$E$111&gt;"",ROW($E$2:$E$111),ROW()+ROWS($E$2:$E$111))),ROW()-ROW($F$2:$F$111)+1),COLUMN($E$2:$E$111),4)))</f>
        <v/>
      </c>
      <c r="M11" s="51" t="str">
        <f t="array" aca="1" ref="M11" ca="1">IF(ROW()-ROW($G$2:$G$111)+1&gt;ROWS($F$2:$F$111)-COUNTBLANK($F$2:$F$111),"",INDIRECT(ADDRESS(SMALL((IF($F$2:$F$111&lt;&gt;"",ROW($F$2:$F$111),ROW()+ROWS($F$2:$F$111))),ROW()-ROW($G$2:$G$111)+1),COLUMN($F$2:$F$111),4)))</f>
        <v/>
      </c>
      <c r="N11" s="51" t="str">
        <f t="array" aca="1" ref="N11" ca="1">IF(ROW()-ROW($H$2:$H$111)+1&gt;ROWS($G$2:$G$111)-COUNTBLANK($G$2:$G$111),"",INDIRECT(ADDRESS(SMALL((IF($G$2:$G$111&lt;&gt;"",ROW($G$2:$G$111),ROW()+ROWS($G$2:$G$111))),ROW()-ROW($H$2:$H$111)+1),COLUMN($G$2:$G$111),4)))</f>
        <v/>
      </c>
      <c r="O11" s="114" t="str">
        <f t="array" aca="1" ref="O11" ca="1">IF(ROW()-ROW($I$2:$I$111)+1&gt;ROWS($H$2:$H$111)-COUNTBLANK($H$2:$H$111),"",INDIRECT(ADDRESS(SMALL((IF($H$2:$H$111&lt;&gt;"",ROW($H$2:$H$111),ROW()+ROWS($H$2:$H$111))),ROW()-ROW($I$2:$I$111)+1),COLUMN($H$2:$H$111),4)))</f>
        <v/>
      </c>
      <c r="P11" s="114" t="str">
        <f t="array" aca="1" ref="P11" ca="1">IF(ROW()-ROW($J$2:$J$111)+1&gt;ROWS($I$2:$I$111)-COUNTBLANK($I$2:$I$111),"",INDIRECT(ADDRESS(SMALL((IF($I$2:$I$111&lt;&gt;"",ROW($I$2:$I$111),ROW()+ROWS($I$2:$I$111))),ROW()-ROW($J$2:$J$111)+1),COLUMN($I$2:$I$111),4)))</f>
        <v/>
      </c>
    </row>
    <row r="12" spans="1:19" s="26" customFormat="1" ht="15.95" customHeight="1" x14ac:dyDescent="0.25">
      <c r="A12" s="114" t="str">
        <f>IF(Datenquelle!$F$3&gt;1,IF(Datenquelle!$F$3=2,"EZ",IF(Datenquelle!$F$3&gt;2,"relevant","?")),"nicht relevant")</f>
        <v>nicht relevant</v>
      </c>
      <c r="B12" s="77" t="s">
        <v>370</v>
      </c>
      <c r="D12" s="169"/>
      <c r="E12" s="138" t="str">
        <f>IF(H12="","","2018")</f>
        <v/>
      </c>
      <c r="F12" s="139" t="str">
        <f t="shared" ref="F12" si="3">IF(H12="","","a")</f>
        <v/>
      </c>
      <c r="G12" s="139" t="str">
        <f t="shared" ref="G12" si="4">IF(H12="","","1")</f>
        <v/>
      </c>
      <c r="H12" s="124" t="str">
        <f>IF(A12="relevant",IF(COUNTIF(Matrix!C30:K30,"")&gt;0,Berechnung2!$L$35,""),"")</f>
        <v/>
      </c>
      <c r="I12" s="114" t="str">
        <f>IF(H12="","",VLOOKUP(F12,Berechnung2!$I$15:$J$25,2,FALSE))</f>
        <v/>
      </c>
      <c r="J12" s="125" t="str">
        <f t="shared" ref="J12" si="5">IF(H12&lt;&gt;"",1,"")</f>
        <v/>
      </c>
      <c r="L12" s="51" t="str">
        <f t="array" aca="1" ref="L12" ca="1">IF(ROW()-ROW($F$2:$F$111)+1&gt;ROWS($E$2:$E$111)-COUNTBLANK($E$2:$E$111),"",INDIRECT(ADDRESS(SMALL((IF($E$2:$E$111&gt;"",ROW($E$2:$E$111),ROW()+ROWS($E$2:$E$111))),ROW()-ROW($F$2:$F$111)+1),COLUMN($E$2:$E$111),4)))</f>
        <v/>
      </c>
      <c r="M12" s="51" t="str">
        <f t="array" aca="1" ref="M12" ca="1">IF(ROW()-ROW($G$2:$G$111)+1&gt;ROWS($F$2:$F$111)-COUNTBLANK($F$2:$F$111),"",INDIRECT(ADDRESS(SMALL((IF($F$2:$F$111&lt;&gt;"",ROW($F$2:$F$111),ROW()+ROWS($F$2:$F$111))),ROW()-ROW($G$2:$G$111)+1),COLUMN($F$2:$F$111),4)))</f>
        <v/>
      </c>
      <c r="N12" s="51" t="str">
        <f t="array" aca="1" ref="N12" ca="1">IF(ROW()-ROW($H$2:$H$111)+1&gt;ROWS($G$2:$G$111)-COUNTBLANK($G$2:$G$111),"",INDIRECT(ADDRESS(SMALL((IF($G$2:$G$111&lt;&gt;"",ROW($G$2:$G$111),ROW()+ROWS($G$2:$G$111))),ROW()-ROW($H$2:$H$111)+1),COLUMN($G$2:$G$111),4)))</f>
        <v/>
      </c>
      <c r="O12" s="114" t="str">
        <f t="array" aca="1" ref="O12" ca="1">IF(ROW()-ROW($I$2:$I$111)+1&gt;ROWS($H$2:$H$111)-COUNTBLANK($H$2:$H$111),"",INDIRECT(ADDRESS(SMALL((IF($H$2:$H$111&lt;&gt;"",ROW($H$2:$H$111),ROW()+ROWS($H$2:$H$111))),ROW()-ROW($I$2:$I$111)+1),COLUMN($H$2:$H$111),4)))</f>
        <v/>
      </c>
      <c r="P12" s="114" t="str">
        <f t="array" aca="1" ref="P12" ca="1">IF(ROW()-ROW($J$2:$J$111)+1&gt;ROWS($I$2:$I$111)-COUNTBLANK($I$2:$I$111),"",INDIRECT(ADDRESS(SMALL((IF($I$2:$I$111&lt;&gt;"",ROW($I$2:$I$111),ROW()+ROWS($I$2:$I$111))),ROW()-ROW($J$2:$J$111)+1),COLUMN($I$2:$I$111),4)))</f>
        <v/>
      </c>
    </row>
    <row r="13" spans="1:19" s="26" customFormat="1" ht="15.95" customHeight="1" thickBot="1" x14ac:dyDescent="0.3">
      <c r="A13" s="114" t="str">
        <f>IF(Datenquelle!$F$3&gt;0,IF(Datenquelle!$F$3=1,"EZ",IF(Datenquelle!$F$3&gt;1,"relevant","?")),"nicht relevant")</f>
        <v>nicht relevant</v>
      </c>
      <c r="B13" s="77" t="s">
        <v>389</v>
      </c>
      <c r="D13" s="169" t="s">
        <v>21</v>
      </c>
      <c r="E13" s="138" t="str">
        <f>IF(H13="","","2019")</f>
        <v/>
      </c>
      <c r="F13" s="340"/>
      <c r="G13" s="340"/>
      <c r="H13" s="341"/>
      <c r="I13" s="342"/>
      <c r="J13" s="343"/>
      <c r="L13" s="51" t="str">
        <f t="array" aca="1" ref="L13" ca="1">IF(ROW()-ROW($F$2:$F$111)+1&gt;ROWS($E$2:$E$111)-COUNTBLANK($E$2:$E$111),"",INDIRECT(ADDRESS(SMALL((IF($E$2:$E$111&gt;"",ROW($E$2:$E$111),ROW()+ROWS($E$2:$E$111))),ROW()-ROW($F$2:$F$111)+1),COLUMN($E$2:$E$111),4)))</f>
        <v/>
      </c>
      <c r="M13" s="51" t="str">
        <f t="array" aca="1" ref="M13" ca="1">IF(ROW()-ROW($G$2:$G$111)+1&gt;ROWS($F$2:$F$111)-COUNTBLANK($F$2:$F$111),"",INDIRECT(ADDRESS(SMALL((IF($F$2:$F$111&lt;&gt;"",ROW($F$2:$F$111),ROW()+ROWS($F$2:$F$111))),ROW()-ROW($G$2:$G$111)+1),COLUMN($F$2:$F$111),4)))</f>
        <v/>
      </c>
      <c r="N13" s="51" t="str">
        <f t="array" aca="1" ref="N13" ca="1">IF(ROW()-ROW($H$2:$H$111)+1&gt;ROWS($G$2:$G$111)-COUNTBLANK($G$2:$G$111),"",INDIRECT(ADDRESS(SMALL((IF($G$2:$G$111&lt;&gt;"",ROW($G$2:$G$111),ROW()+ROWS($G$2:$G$111))),ROW()-ROW($H$2:$H$111)+1),COLUMN($G$2:$G$111),4)))</f>
        <v/>
      </c>
      <c r="O13" s="114" t="str">
        <f t="array" aca="1" ref="O13" ca="1">IF(ROW()-ROW($I$2:$I$111)+1&gt;ROWS($H$2:$H$111)-COUNTBLANK($H$2:$H$111),"",INDIRECT(ADDRESS(SMALL((IF($H$2:$H$111&lt;&gt;"",ROW($H$2:$H$111),ROW()+ROWS($H$2:$H$111))),ROW()-ROW($I$2:$I$111)+1),COLUMN($H$2:$H$111),4)))</f>
        <v/>
      </c>
      <c r="P13" s="114" t="str">
        <f t="array" aca="1" ref="P13" ca="1">IF(ROW()-ROW($J$2:$J$111)+1&gt;ROWS($I$2:$I$111)-COUNTBLANK($I$2:$I$111),"",INDIRECT(ADDRESS(SMALL((IF($I$2:$I$111&lt;&gt;"",ROW($I$2:$I$111),ROW()+ROWS($I$2:$I$111))),ROW()-ROW($J$2:$J$111)+1),COLUMN($I$2:$I$111),4)))</f>
        <v/>
      </c>
    </row>
    <row r="14" spans="1:19" s="26" customFormat="1" ht="15.95" customHeight="1" x14ac:dyDescent="0.25">
      <c r="D14" s="121" t="s">
        <v>202</v>
      </c>
      <c r="E14" s="136" t="str">
        <f>IF(H14="","","2008")</f>
        <v/>
      </c>
      <c r="F14" s="137" t="str">
        <f>IF(H14="","","m")</f>
        <v/>
      </c>
      <c r="G14" s="137" t="str">
        <f>IF(H14="","","1")</f>
        <v/>
      </c>
      <c r="H14" s="339" t="str">
        <f>IF(A2="relevant",IF(Matrix!M20="","",IF(Matrix!M20&gt;Matrix!C20,Berechnung2!$L$36,"")),"")</f>
        <v/>
      </c>
      <c r="I14" s="127" t="str">
        <f>IF(H14="","",VLOOKUP(F14,Berechnung2!$I$15:$J$25,2,FALSE))</f>
        <v/>
      </c>
      <c r="J14" s="126" t="str">
        <f t="shared" ref="J14:J35" si="6">IF(H14&lt;&gt;"",1,"")</f>
        <v/>
      </c>
      <c r="L14" s="51" t="str">
        <f t="array" aca="1" ref="L14" ca="1">IF(ROW()-ROW($F$2:$F$111)+1&gt;ROWS($E$2:$E$111)-COUNTBLANK($E$2:$E$111),"",INDIRECT(ADDRESS(SMALL((IF($E$2:$E$111&gt;"",ROW($E$2:$E$111),ROW()+ROWS($E$2:$E$111))),ROW()-ROW($F$2:$F$111)+1),COLUMN($E$2:$E$111),4)))</f>
        <v/>
      </c>
      <c r="M14" s="51" t="str">
        <f t="array" aca="1" ref="M14" ca="1">IF(ROW()-ROW($G$2:$G$111)+1&gt;ROWS($F$2:$F$111)-COUNTBLANK($F$2:$F$111),"",INDIRECT(ADDRESS(SMALL((IF($F$2:$F$111&lt;&gt;"",ROW($F$2:$F$111),ROW()+ROWS($F$2:$F$111))),ROW()-ROW($G$2:$G$111)+1),COLUMN($F$2:$F$111),4)))</f>
        <v/>
      </c>
      <c r="N14" s="51" t="str">
        <f t="array" aca="1" ref="N14" ca="1">IF(ROW()-ROW($H$2:$H$111)+1&gt;ROWS($G$2:$G$111)-COUNTBLANK($G$2:$G$111),"",INDIRECT(ADDRESS(SMALL((IF($G$2:$G$111&lt;&gt;"",ROW($G$2:$G$111),ROW()+ROWS($G$2:$G$111))),ROW()-ROW($H$2:$H$111)+1),COLUMN($G$2:$G$111),4)))</f>
        <v/>
      </c>
      <c r="O14" s="114" t="str">
        <f t="array" aca="1" ref="O14" ca="1">IF(ROW()-ROW($I$2:$I$111)+1&gt;ROWS($H$2:$H$111)-COUNTBLANK($H$2:$H$111),"",INDIRECT(ADDRESS(SMALL((IF($H$2:$H$111&lt;&gt;"",ROW($H$2:$H$111),ROW()+ROWS($H$2:$H$111))),ROW()-ROW($I$2:$I$111)+1),COLUMN($H$2:$H$111),4)))</f>
        <v/>
      </c>
      <c r="P14" s="114" t="str">
        <f t="array" aca="1" ref="P14" ca="1">IF(ROW()-ROW($J$2:$J$111)+1&gt;ROWS($I$2:$I$111)-COUNTBLANK($I$2:$I$111),"",INDIRECT(ADDRESS(SMALL((IF($I$2:$I$111&lt;&gt;"",ROW($I$2:$I$111),ROW()+ROWS($I$2:$I$111))),ROW()-ROW($J$2:$J$111)+1),COLUMN($I$2:$I$111),4)))</f>
        <v/>
      </c>
    </row>
    <row r="15" spans="1:19" s="26" customFormat="1" x14ac:dyDescent="0.25">
      <c r="D15" s="896" t="s">
        <v>66</v>
      </c>
      <c r="E15" s="138" t="str">
        <f>IF(H15="","","2009")</f>
        <v/>
      </c>
      <c r="F15" s="139" t="str">
        <f t="shared" ref="F15:F23" si="7">IF(H15="","","m")</f>
        <v/>
      </c>
      <c r="G15" s="139" t="str">
        <f>IF(H15="","","1")</f>
        <v/>
      </c>
      <c r="H15" s="124" t="str">
        <f>IF(A3="relevant",IF(Matrix!M21="","",IF(Matrix!M21&gt;Matrix!C21,Berechnung2!$L$36,"")),"")</f>
        <v/>
      </c>
      <c r="I15" s="114" t="str">
        <f>IF(H15="","",VLOOKUP(F15,Berechnung2!$I$15:$J$25,2,FALSE))</f>
        <v/>
      </c>
      <c r="J15" s="125" t="str">
        <f t="shared" si="6"/>
        <v/>
      </c>
      <c r="L15" s="51" t="str">
        <f t="array" aca="1" ref="L15" ca="1">IF(ROW()-ROW($F$2:$F$111)+1&gt;ROWS($E$2:$E$111)-COUNTBLANK($E$2:$E$111),"",INDIRECT(ADDRESS(SMALL((IF($E$2:$E$111&gt;"",ROW($E$2:$E$111),ROW()+ROWS($E$2:$E$111))),ROW()-ROW($F$2:$F$111)+1),COLUMN($E$2:$E$111),4)))</f>
        <v/>
      </c>
      <c r="M15" s="51" t="str">
        <f t="array" aca="1" ref="M15" ca="1">IF(ROW()-ROW($G$2:$G$111)+1&gt;ROWS($F$2:$F$111)-COUNTBLANK($F$2:$F$111),"",INDIRECT(ADDRESS(SMALL((IF($F$2:$F$111&lt;&gt;"",ROW($F$2:$F$111),ROW()+ROWS($F$2:$F$111))),ROW()-ROW($G$2:$G$111)+1),COLUMN($F$2:$F$111),4)))</f>
        <v/>
      </c>
      <c r="N15" s="51" t="str">
        <f t="array" aca="1" ref="N15" ca="1">IF(ROW()-ROW($H$2:$H$111)+1&gt;ROWS($G$2:$G$111)-COUNTBLANK($G$2:$G$111),"",INDIRECT(ADDRESS(SMALL((IF($G$2:$G$111&lt;&gt;"",ROW($G$2:$G$111),ROW()+ROWS($G$2:$G$111))),ROW()-ROW($H$2:$H$111)+1),COLUMN($G$2:$G$111),4)))</f>
        <v/>
      </c>
      <c r="O15" s="114" t="str">
        <f t="array" aca="1" ref="O15" ca="1">IF(ROW()-ROW($I$2:$I$111)+1&gt;ROWS($H$2:$H$111)-COUNTBLANK($H$2:$H$111),"",INDIRECT(ADDRESS(SMALL((IF($H$2:$H$111&lt;&gt;"",ROW($H$2:$H$111),ROW()+ROWS($H$2:$H$111))),ROW()-ROW($I$2:$I$111)+1),COLUMN($H$2:$H$111),4)))</f>
        <v/>
      </c>
      <c r="P15" s="114" t="str">
        <f t="array" aca="1" ref="P15" ca="1">IF(ROW()-ROW($J$2:$J$111)+1&gt;ROWS($I$2:$I$111)-COUNTBLANK($I$2:$I$111),"",INDIRECT(ADDRESS(SMALL((IF($I$2:$I$111&lt;&gt;"",ROW($I$2:$I$111),ROW()+ROWS($I$2:$I$111))),ROW()-ROW($J$2:$J$111)+1),COLUMN($I$2:$I$111),4)))</f>
        <v/>
      </c>
    </row>
    <row r="16" spans="1:19" s="26" customFormat="1" ht="15" customHeight="1" x14ac:dyDescent="0.25">
      <c r="D16" s="896"/>
      <c r="E16" s="138" t="str">
        <f>IF(H16="","","2010")</f>
        <v/>
      </c>
      <c r="F16" s="139" t="str">
        <f t="shared" si="7"/>
        <v/>
      </c>
      <c r="G16" s="139" t="str">
        <f>IF(H16="","","1")</f>
        <v/>
      </c>
      <c r="H16" s="124" t="str">
        <f>IF(A4="relevant",IF(Matrix!M22="","",IF(Matrix!M22&gt;Matrix!C22,Berechnung2!$L$36,"")),"")</f>
        <v/>
      </c>
      <c r="I16" s="114" t="str">
        <f>IF(H16="","",VLOOKUP(F16,Berechnung2!$I$15:$J$25,2,FALSE))</f>
        <v/>
      </c>
      <c r="J16" s="125" t="str">
        <f t="shared" si="6"/>
        <v/>
      </c>
      <c r="L16" s="51" t="str">
        <f t="array" aca="1" ref="L16" ca="1">IF(ROW()-ROW($F$2:$F$111)+1&gt;ROWS($E$2:$E$111)-COUNTBLANK($E$2:$E$111),"",INDIRECT(ADDRESS(SMALL((IF($E$2:$E$111&gt;"",ROW($E$2:$E$111),ROW()+ROWS($E$2:$E$111))),ROW()-ROW($F$2:$F$111)+1),COLUMN($E$2:$E$111),4)))</f>
        <v/>
      </c>
      <c r="M16" s="51" t="str">
        <f t="array" aca="1" ref="M16" ca="1">IF(ROW()-ROW($G$2:$G$111)+1&gt;ROWS($F$2:$F$111)-COUNTBLANK($F$2:$F$111),"",INDIRECT(ADDRESS(SMALL((IF($F$2:$F$111&lt;&gt;"",ROW($F$2:$F$111),ROW()+ROWS($F$2:$F$111))),ROW()-ROW($G$2:$G$111)+1),COLUMN($F$2:$F$111),4)))</f>
        <v/>
      </c>
      <c r="N16" s="51" t="str">
        <f t="array" aca="1" ref="N16" ca="1">IF(ROW()-ROW($H$2:$H$111)+1&gt;ROWS($G$2:$G$111)-COUNTBLANK($G$2:$G$111),"",INDIRECT(ADDRESS(SMALL((IF($G$2:$G$111&lt;&gt;"",ROW($G$2:$G$111),ROW()+ROWS($G$2:$G$111))),ROW()-ROW($H$2:$H$111)+1),COLUMN($G$2:$G$111),4)))</f>
        <v/>
      </c>
      <c r="O16" s="114" t="str">
        <f t="array" aca="1" ref="O16" ca="1">IF(ROW()-ROW($I$2:$I$111)+1&gt;ROWS($H$2:$H$111)-COUNTBLANK($H$2:$H$111),"",INDIRECT(ADDRESS(SMALL((IF($H$2:$H$111&lt;&gt;"",ROW($H$2:$H$111),ROW()+ROWS($H$2:$H$111))),ROW()-ROW($I$2:$I$111)+1),COLUMN($H$2:$H$111),4)))</f>
        <v/>
      </c>
      <c r="P16" s="114" t="str">
        <f t="array" aca="1" ref="P16" ca="1">IF(ROW()-ROW($J$2:$J$111)+1&gt;ROWS($I$2:$I$111)-COUNTBLANK($I$2:$I$111),"",INDIRECT(ADDRESS(SMALL((IF($I$2:$I$111&lt;&gt;"",ROW($I$2:$I$111),ROW()+ROWS($I$2:$I$111))),ROW()-ROW($J$2:$J$111)+1),COLUMN($I$2:$I$111),4)))</f>
        <v/>
      </c>
    </row>
    <row r="17" spans="1:16" s="26" customFormat="1" ht="11.25" customHeight="1" x14ac:dyDescent="0.25">
      <c r="D17" s="896"/>
      <c r="E17" s="138" t="str">
        <f>IF(H17="","","2011")</f>
        <v/>
      </c>
      <c r="F17" s="139" t="str">
        <f t="shared" si="7"/>
        <v/>
      </c>
      <c r="G17" s="139" t="str">
        <f>IF(H17="","","1")</f>
        <v/>
      </c>
      <c r="H17" s="124" t="str">
        <f>IF(A5="relevant",IF(Matrix!M23="","",IF(Matrix!M23&gt;Matrix!C23,Berechnung2!$L$36,"")),"")</f>
        <v/>
      </c>
      <c r="I17" s="114" t="str">
        <f>IF(H17="","",VLOOKUP(F17,Berechnung2!$I$15:$J$25,2,FALSE))</f>
        <v/>
      </c>
      <c r="J17" s="125" t="str">
        <f t="shared" si="6"/>
        <v/>
      </c>
      <c r="L17" s="51" t="str">
        <f t="array" aca="1" ref="L17" ca="1">IF(ROW()-ROW($F$2:$F$111)+1&gt;ROWS($E$2:$E$111)-COUNTBLANK($E$2:$E$111),"",INDIRECT(ADDRESS(SMALL((IF($E$2:$E$111&gt;"",ROW($E$2:$E$111),ROW()+ROWS($E$2:$E$111))),ROW()-ROW($F$2:$F$111)+1),COLUMN($E$2:$E$111),4)))</f>
        <v/>
      </c>
      <c r="M17" s="51" t="str">
        <f t="array" aca="1" ref="M17" ca="1">IF(ROW()-ROW($G$2:$G$111)+1&gt;ROWS($F$2:$F$111)-COUNTBLANK($F$2:$F$111),"",INDIRECT(ADDRESS(SMALL((IF($F$2:$F$111&lt;&gt;"",ROW($F$2:$F$111),ROW()+ROWS($F$2:$F$111))),ROW()-ROW($G$2:$G$111)+1),COLUMN($F$2:$F$111),4)))</f>
        <v/>
      </c>
      <c r="N17" s="51" t="str">
        <f t="array" aca="1" ref="N17" ca="1">IF(ROW()-ROW($H$2:$H$111)+1&gt;ROWS($G$2:$G$111)-COUNTBLANK($G$2:$G$111),"",INDIRECT(ADDRESS(SMALL((IF($G$2:$G$111&lt;&gt;"",ROW($G$2:$G$111),ROW()+ROWS($G$2:$G$111))),ROW()-ROW($H$2:$H$111)+1),COLUMN($G$2:$G$111),4)))</f>
        <v/>
      </c>
      <c r="O17" s="114" t="str">
        <f t="array" aca="1" ref="O17" ca="1">IF(ROW()-ROW($I$2:$I$111)+1&gt;ROWS($H$2:$H$111)-COUNTBLANK($H$2:$H$111),"",INDIRECT(ADDRESS(SMALL((IF($H$2:$H$111&lt;&gt;"",ROW($H$2:$H$111),ROW()+ROWS($H$2:$H$111))),ROW()-ROW($I$2:$I$111)+1),COLUMN($H$2:$H$111),4)))</f>
        <v/>
      </c>
      <c r="P17" s="114" t="str">
        <f t="array" aca="1" ref="P17" ca="1">IF(ROW()-ROW($J$2:$J$111)+1&gt;ROWS($I$2:$I$111)-COUNTBLANK($I$2:$I$111),"",INDIRECT(ADDRESS(SMALL((IF($I$2:$I$111&lt;&gt;"",ROW($I$2:$I$111),ROW()+ROWS($I$2:$I$111))),ROW()-ROW($J$2:$J$111)+1),COLUMN($I$2:$I$111),4)))</f>
        <v/>
      </c>
    </row>
    <row r="18" spans="1:16" s="26" customFormat="1" x14ac:dyDescent="0.25">
      <c r="A18" s="67"/>
      <c r="B18" s="67"/>
      <c r="D18" s="896"/>
      <c r="E18" s="138" t="str">
        <f>IF(H18="","","2012")</f>
        <v/>
      </c>
      <c r="F18" s="139" t="str">
        <f t="shared" si="7"/>
        <v/>
      </c>
      <c r="G18" s="139" t="str">
        <f t="shared" ref="G18:G71" si="8">IF(H18="","","1")</f>
        <v/>
      </c>
      <c r="H18" s="124" t="str">
        <f>IF(A6="relevant",IF(Matrix!M24="","",IF(Matrix!M24&gt;Matrix!C24,Berechnung2!$L$36,"")),"")</f>
        <v/>
      </c>
      <c r="I18" s="114" t="str">
        <f>IF(H18="","",VLOOKUP(F18,Berechnung2!$I$15:$J$25,2,FALSE))</f>
        <v/>
      </c>
      <c r="J18" s="125" t="str">
        <f t="shared" si="6"/>
        <v/>
      </c>
      <c r="L18" s="51" t="str">
        <f t="array" aca="1" ref="L18" ca="1">IF(ROW()-ROW($F$2:$F$111)+1&gt;ROWS($E$2:$E$111)-COUNTBLANK($E$2:$E$111),"",INDIRECT(ADDRESS(SMALL((IF($E$2:$E$111&gt;"",ROW($E$2:$E$111),ROW()+ROWS($E$2:$E$111))),ROW()-ROW($F$2:$F$111)+1),COLUMN($E$2:$E$111),4)))</f>
        <v/>
      </c>
      <c r="M18" s="51" t="str">
        <f t="array" aca="1" ref="M18" ca="1">IF(ROW()-ROW($G$2:$G$111)+1&gt;ROWS($F$2:$F$111)-COUNTBLANK($F$2:$F$111),"",INDIRECT(ADDRESS(SMALL((IF($F$2:$F$111&lt;&gt;"",ROW($F$2:$F$111),ROW()+ROWS($F$2:$F$111))),ROW()-ROW($G$2:$G$111)+1),COLUMN($F$2:$F$111),4)))</f>
        <v/>
      </c>
      <c r="N18" s="51" t="str">
        <f t="array" aca="1" ref="N18" ca="1">IF(ROW()-ROW($H$2:$H$111)+1&gt;ROWS($G$2:$G$111)-COUNTBLANK($G$2:$G$111),"",INDIRECT(ADDRESS(SMALL((IF($G$2:$G$111&lt;&gt;"",ROW($G$2:$G$111),ROW()+ROWS($G$2:$G$111))),ROW()-ROW($H$2:$H$111)+1),COLUMN($G$2:$G$111),4)))</f>
        <v/>
      </c>
      <c r="O18" s="114" t="str">
        <f t="array" aca="1" ref="O18" ca="1">IF(ROW()-ROW($I$2:$I$111)+1&gt;ROWS($H$2:$H$111)-COUNTBLANK($H$2:$H$111),"",INDIRECT(ADDRESS(SMALL((IF($H$2:$H$111&lt;&gt;"",ROW($H$2:$H$111),ROW()+ROWS($H$2:$H$111))),ROW()-ROW($I$2:$I$111)+1),COLUMN($H$2:$H$111),4)))</f>
        <v/>
      </c>
      <c r="P18" s="114" t="str">
        <f t="array" aca="1" ref="P18" ca="1">IF(ROW()-ROW($J$2:$J$111)+1&gt;ROWS($I$2:$I$111)-COUNTBLANK($I$2:$I$111),"",INDIRECT(ADDRESS(SMALL((IF($I$2:$I$111&lt;&gt;"",ROW($I$2:$I$111),ROW()+ROWS($I$2:$I$111))),ROW()-ROW($J$2:$J$111)+1),COLUMN($I$2:$I$111),4)))</f>
        <v/>
      </c>
    </row>
    <row r="19" spans="1:16" s="26" customFormat="1" x14ac:dyDescent="0.25">
      <c r="A19" s="67"/>
      <c r="B19" s="67"/>
      <c r="D19" s="896"/>
      <c r="E19" s="138" t="str">
        <f>IF(H19="","","2013")</f>
        <v/>
      </c>
      <c r="F19" s="139" t="str">
        <f t="shared" si="7"/>
        <v/>
      </c>
      <c r="G19" s="139" t="str">
        <f t="shared" si="8"/>
        <v/>
      </c>
      <c r="H19" s="124" t="str">
        <f>IF(A7="relevant",IF(Matrix!M25="","",IF(Matrix!M25&gt;Matrix!C25,Berechnung2!$L$36,"")),"")</f>
        <v/>
      </c>
      <c r="I19" s="114" t="str">
        <f>IF(H19="","",VLOOKUP(F19,Berechnung2!$I$15:$J$25,2,FALSE))</f>
        <v/>
      </c>
      <c r="J19" s="125" t="str">
        <f t="shared" si="6"/>
        <v/>
      </c>
      <c r="L19" s="51" t="str">
        <f t="array" aca="1" ref="L19" ca="1">IF(ROW()-ROW($F$2:$F$111)+1&gt;ROWS($E$2:$E$111)-COUNTBLANK($E$2:$E$111),"",INDIRECT(ADDRESS(SMALL((IF($E$2:$E$111&gt;"",ROW($E$2:$E$111),ROW()+ROWS($E$2:$E$111))),ROW()-ROW($F$2:$F$111)+1),COLUMN($E$2:$E$111),4)))</f>
        <v/>
      </c>
      <c r="M19" s="51" t="str">
        <f t="array" aca="1" ref="M19" ca="1">IF(ROW()-ROW($G$2:$G$111)+1&gt;ROWS($F$2:$F$111)-COUNTBLANK($F$2:$F$111),"",INDIRECT(ADDRESS(SMALL((IF($F$2:$F$111&lt;&gt;"",ROW($F$2:$F$111),ROW()+ROWS($F$2:$F$111))),ROW()-ROW($G$2:$G$111)+1),COLUMN($F$2:$F$111),4)))</f>
        <v/>
      </c>
      <c r="N19" s="51" t="str">
        <f t="array" aca="1" ref="N19" ca="1">IF(ROW()-ROW($H$2:$H$111)+1&gt;ROWS($G$2:$G$111)-COUNTBLANK($G$2:$G$111),"",INDIRECT(ADDRESS(SMALL((IF($G$2:$G$111&lt;&gt;"",ROW($G$2:$G$111),ROW()+ROWS($G$2:$G$111))),ROW()-ROW($H$2:$H$111)+1),COLUMN($G$2:$G$111),4)))</f>
        <v/>
      </c>
      <c r="O19" s="114" t="str">
        <f t="array" aca="1" ref="O19" ca="1">IF(ROW()-ROW($I$2:$I$111)+1&gt;ROWS($H$2:$H$111)-COUNTBLANK($H$2:$H$111),"",INDIRECT(ADDRESS(SMALL((IF($H$2:$H$111&lt;&gt;"",ROW($H$2:$H$111),ROW()+ROWS($H$2:$H$111))),ROW()-ROW($I$2:$I$111)+1),COLUMN($H$2:$H$111),4)))</f>
        <v/>
      </c>
      <c r="P19" s="114" t="str">
        <f t="array" aca="1" ref="P19" ca="1">IF(ROW()-ROW($J$2:$J$111)+1&gt;ROWS($I$2:$I$111)-COUNTBLANK($I$2:$I$111),"",INDIRECT(ADDRESS(SMALL((IF($I$2:$I$111&lt;&gt;"",ROW($I$2:$I$111),ROW()+ROWS($I$2:$I$111))),ROW()-ROW($J$2:$J$111)+1),COLUMN($I$2:$I$111),4)))</f>
        <v/>
      </c>
    </row>
    <row r="20" spans="1:16" x14ac:dyDescent="0.25">
      <c r="D20" s="896"/>
      <c r="E20" s="138" t="str">
        <f>IF(H20="","","2014")</f>
        <v/>
      </c>
      <c r="F20" s="139" t="str">
        <f t="shared" si="7"/>
        <v/>
      </c>
      <c r="G20" s="139" t="str">
        <f t="shared" si="8"/>
        <v/>
      </c>
      <c r="H20" s="124" t="str">
        <f>IF(A8="relevant",IF(Matrix!M26="","",IF(Matrix!M26&gt;Matrix!C26,Berechnung2!$L$36,"")),"")</f>
        <v/>
      </c>
      <c r="I20" s="114" t="str">
        <f>IF(H20="","",VLOOKUP(F20,Berechnung2!$I$15:$J$25,2,FALSE))</f>
        <v/>
      </c>
      <c r="J20" s="125" t="str">
        <f t="shared" si="6"/>
        <v/>
      </c>
      <c r="L20" s="51" t="str">
        <f t="array" aca="1" ref="L20" ca="1">IF(ROW()-ROW($F$2:$F$111)+1&gt;ROWS($E$2:$E$111)-COUNTBLANK($E$2:$E$111),"",INDIRECT(ADDRESS(SMALL((IF($E$2:$E$111&gt;"",ROW($E$2:$E$111),ROW()+ROWS($E$2:$E$111))),ROW()-ROW($F$2:$F$111)+1),COLUMN($E$2:$E$111),4)))</f>
        <v/>
      </c>
      <c r="M20" s="51" t="str">
        <f t="array" aca="1" ref="M20" ca="1">IF(ROW()-ROW($G$2:$G$111)+1&gt;ROWS($F$2:$F$111)-COUNTBLANK($F$2:$F$111),"",INDIRECT(ADDRESS(SMALL((IF($F$2:$F$111&lt;&gt;"",ROW($F$2:$F$111),ROW()+ROWS($F$2:$F$111))),ROW()-ROW($G$2:$G$111)+1),COLUMN($F$2:$F$111),4)))</f>
        <v/>
      </c>
      <c r="N20" s="51" t="str">
        <f t="array" aca="1" ref="N20" ca="1">IF(ROW()-ROW($H$2:$H$111)+1&gt;ROWS($G$2:$G$111)-COUNTBLANK($G$2:$G$111),"",INDIRECT(ADDRESS(SMALL((IF($G$2:$G$111&lt;&gt;"",ROW($G$2:$G$111),ROW()+ROWS($G$2:$G$111))),ROW()-ROW($H$2:$H$111)+1),COLUMN($G$2:$G$111),4)))</f>
        <v/>
      </c>
      <c r="O20" s="114" t="str">
        <f t="array" aca="1" ref="O20" ca="1">IF(ROW()-ROW($I$2:$I$111)+1&gt;ROWS($H$2:$H$111)-COUNTBLANK($H$2:$H$111),"",INDIRECT(ADDRESS(SMALL((IF($H$2:$H$111&lt;&gt;"",ROW($H$2:$H$111),ROW()+ROWS($H$2:$H$111))),ROW()-ROW($I$2:$I$111)+1),COLUMN($H$2:$H$111),4)))</f>
        <v/>
      </c>
      <c r="P20" s="114" t="str">
        <f t="array" aca="1" ref="P20" ca="1">IF(ROW()-ROW($J$2:$J$111)+1&gt;ROWS($I$2:$I$111)-COUNTBLANK($I$2:$I$111),"",INDIRECT(ADDRESS(SMALL((IF($I$2:$I$111&lt;&gt;"",ROW($I$2:$I$111),ROW()+ROWS($I$2:$I$111))),ROW()-ROW($J$2:$J$111)+1),COLUMN($I$2:$I$111),4)))</f>
        <v/>
      </c>
    </row>
    <row r="21" spans="1:16" x14ac:dyDescent="0.25">
      <c r="D21" s="896"/>
      <c r="E21" s="138" t="str">
        <f>IF(H21="","","2015")</f>
        <v/>
      </c>
      <c r="F21" s="139" t="str">
        <f t="shared" si="7"/>
        <v/>
      </c>
      <c r="G21" s="139" t="str">
        <f t="shared" si="8"/>
        <v/>
      </c>
      <c r="H21" s="124" t="str">
        <f>IF(A9="relevant",IF(Matrix!M27="","",IF(Matrix!M27&gt;Matrix!C27,Berechnung2!$L$36,"")),"")</f>
        <v/>
      </c>
      <c r="I21" s="114" t="str">
        <f>IF(H21="","",VLOOKUP(F21,Berechnung2!$I$15:$J$25,2,FALSE))</f>
        <v/>
      </c>
      <c r="J21" s="125" t="str">
        <f t="shared" si="6"/>
        <v/>
      </c>
      <c r="L21" s="51" t="str">
        <f t="array" aca="1" ref="L21" ca="1">IF(ROW()-ROW($F$2:$F$111)+1&gt;ROWS($E$2:$E$111)-COUNTBLANK($E$2:$E$111),"",INDIRECT(ADDRESS(SMALL((IF($E$2:$E$111&gt;"",ROW($E$2:$E$111),ROW()+ROWS($E$2:$E$111))),ROW()-ROW($F$2:$F$111)+1),COLUMN($E$2:$E$111),4)))</f>
        <v/>
      </c>
      <c r="M21" s="51" t="str">
        <f t="array" aca="1" ref="M21" ca="1">IF(ROW()-ROW($G$2:$G$111)+1&gt;ROWS($F$2:$F$111)-COUNTBLANK($F$2:$F$111),"",INDIRECT(ADDRESS(SMALL((IF($F$2:$F$111&lt;&gt;"",ROW($F$2:$F$111),ROW()+ROWS($F$2:$F$111))),ROW()-ROW($G$2:$G$111)+1),COLUMN($F$2:$F$111),4)))</f>
        <v/>
      </c>
      <c r="N21" s="51" t="str">
        <f t="array" aca="1" ref="N21" ca="1">IF(ROW()-ROW($H$2:$H$111)+1&gt;ROWS($G$2:$G$111)-COUNTBLANK($G$2:$G$111),"",INDIRECT(ADDRESS(SMALL((IF($G$2:$G$111&lt;&gt;"",ROW($G$2:$G$111),ROW()+ROWS($G$2:$G$111))),ROW()-ROW($H$2:$H$111)+1),COLUMN($G$2:$G$111),4)))</f>
        <v/>
      </c>
      <c r="O21" s="114" t="str">
        <f t="array" aca="1" ref="O21" ca="1">IF(ROW()-ROW($I$2:$I$111)+1&gt;ROWS($H$2:$H$111)-COUNTBLANK($H$2:$H$111),"",INDIRECT(ADDRESS(SMALL((IF($H$2:$H$111&lt;&gt;"",ROW($H$2:$H$111),ROW()+ROWS($H$2:$H$111))),ROW()-ROW($I$2:$I$111)+1),COLUMN($H$2:$H$111),4)))</f>
        <v/>
      </c>
      <c r="P21" s="114" t="str">
        <f t="array" aca="1" ref="P21" ca="1">IF(ROW()-ROW($J$2:$J$111)+1&gt;ROWS($I$2:$I$111)-COUNTBLANK($I$2:$I$111),"",INDIRECT(ADDRESS(SMALL((IF($I$2:$I$111&lt;&gt;"",ROW($I$2:$I$111),ROW()+ROWS($I$2:$I$111))),ROW()-ROW($J$2:$J$111)+1),COLUMN($I$2:$I$111),4)))</f>
        <v/>
      </c>
    </row>
    <row r="22" spans="1:16" x14ac:dyDescent="0.25">
      <c r="D22" s="896"/>
      <c r="E22" s="138" t="str">
        <f>IF(H22="","","2016")</f>
        <v/>
      </c>
      <c r="F22" s="139" t="str">
        <f t="shared" si="7"/>
        <v/>
      </c>
      <c r="G22" s="139" t="str">
        <f t="shared" si="8"/>
        <v/>
      </c>
      <c r="H22" s="124" t="str">
        <f>IF(A10="relevant",IF(Matrix!M28="","",IF(Matrix!M28&gt;Matrix!C28,Berechnung2!$L$36,"")),"")</f>
        <v/>
      </c>
      <c r="I22" s="114" t="str">
        <f>IF(H22="","",VLOOKUP(F22,Berechnung2!$I$15:$J$25,2,FALSE))</f>
        <v/>
      </c>
      <c r="J22" s="125" t="str">
        <f t="shared" si="6"/>
        <v/>
      </c>
      <c r="L22" s="51" t="str">
        <f t="array" aca="1" ref="L22" ca="1">IF(ROW()-ROW($F$2:$F$111)+1&gt;ROWS($E$2:$E$111)-COUNTBLANK($E$2:$E$111),"",INDIRECT(ADDRESS(SMALL((IF($E$2:$E$111&gt;"",ROW($E$2:$E$111),ROW()+ROWS($E$2:$E$111))),ROW()-ROW($F$2:$F$111)+1),COLUMN($E$2:$E$111),4)))</f>
        <v/>
      </c>
      <c r="M22" s="51" t="str">
        <f t="array" aca="1" ref="M22" ca="1">IF(ROW()-ROW($G$2:$G$111)+1&gt;ROWS($F$2:$F$111)-COUNTBLANK($F$2:$F$111),"",INDIRECT(ADDRESS(SMALL((IF($F$2:$F$111&lt;&gt;"",ROW($F$2:$F$111),ROW()+ROWS($F$2:$F$111))),ROW()-ROW($G$2:$G$111)+1),COLUMN($F$2:$F$111),4)))</f>
        <v/>
      </c>
      <c r="N22" s="51" t="str">
        <f t="array" aca="1" ref="N22" ca="1">IF(ROW()-ROW($H$2:$H$111)+1&gt;ROWS($G$2:$G$111)-COUNTBLANK($G$2:$G$111),"",INDIRECT(ADDRESS(SMALL((IF($G$2:$G$111&lt;&gt;"",ROW($G$2:$G$111),ROW()+ROWS($G$2:$G$111))),ROW()-ROW($H$2:$H$111)+1),COLUMN($G$2:$G$111),4)))</f>
        <v/>
      </c>
      <c r="O22" s="114" t="str">
        <f t="array" aca="1" ref="O22" ca="1">IF(ROW()-ROW($I$2:$I$111)+1&gt;ROWS($H$2:$H$111)-COUNTBLANK($H$2:$H$111),"",INDIRECT(ADDRESS(SMALL((IF($H$2:$H$111&lt;&gt;"",ROW($H$2:$H$111),ROW()+ROWS($H$2:$H$111))),ROW()-ROW($I$2:$I$111)+1),COLUMN($H$2:$H$111),4)))</f>
        <v/>
      </c>
      <c r="P22" s="114" t="str">
        <f t="array" aca="1" ref="P22" ca="1">IF(ROW()-ROW($J$2:$J$111)+1&gt;ROWS($I$2:$I$111)-COUNTBLANK($I$2:$I$111),"",INDIRECT(ADDRESS(SMALL((IF($I$2:$I$111&lt;&gt;"",ROW($I$2:$I$111),ROW()+ROWS($I$2:$I$111))),ROW()-ROW($J$2:$J$111)+1),COLUMN($I$2:$I$111),4)))</f>
        <v/>
      </c>
    </row>
    <row r="23" spans="1:16" x14ac:dyDescent="0.25">
      <c r="D23" s="896"/>
      <c r="E23" s="138" t="str">
        <f>IF(H23="","","2017")</f>
        <v/>
      </c>
      <c r="F23" s="139" t="str">
        <f t="shared" si="7"/>
        <v/>
      </c>
      <c r="G23" s="139" t="str">
        <f t="shared" si="8"/>
        <v/>
      </c>
      <c r="H23" s="124" t="str">
        <f>IF(A11="relevant",IF(Matrix!M29="","",IF(Matrix!M29&gt;Matrix!C29,Berechnung2!$L$36,"")),"")</f>
        <v/>
      </c>
      <c r="I23" s="114" t="str">
        <f>IF(H23="","",VLOOKUP(F23,Berechnung2!$I$15:$J$25,2,FALSE))</f>
        <v/>
      </c>
      <c r="J23" s="125" t="str">
        <f t="shared" si="6"/>
        <v/>
      </c>
      <c r="L23" s="51" t="str">
        <f t="array" aca="1" ref="L23" ca="1">IF(ROW()-ROW($F$2:$F$111)+1&gt;ROWS($E$2:$E$111)-COUNTBLANK($E$2:$E$111),"",INDIRECT(ADDRESS(SMALL((IF($E$2:$E$111&gt;"",ROW($E$2:$E$111),ROW()+ROWS($E$2:$E$111))),ROW()-ROW($F$2:$F$111)+1),COLUMN($E$2:$E$111),4)))</f>
        <v/>
      </c>
      <c r="M23" s="51" t="str">
        <f t="array" aca="1" ref="M23" ca="1">IF(ROW()-ROW($G$2:$G$111)+1&gt;ROWS($F$2:$F$111)-COUNTBLANK($F$2:$F$111),"",INDIRECT(ADDRESS(SMALL((IF($F$2:$F$111&lt;&gt;"",ROW($F$2:$F$111),ROW()+ROWS($F$2:$F$111))),ROW()-ROW($G$2:$G$111)+1),COLUMN($F$2:$F$111),4)))</f>
        <v/>
      </c>
      <c r="N23" s="51" t="str">
        <f t="array" aca="1" ref="N23" ca="1">IF(ROW()-ROW($H$2:$H$111)+1&gt;ROWS($G$2:$G$111)-COUNTBLANK($G$2:$G$111),"",INDIRECT(ADDRESS(SMALL((IF($G$2:$G$111&lt;&gt;"",ROW($G$2:$G$111),ROW()+ROWS($G$2:$G$111))),ROW()-ROW($H$2:$H$111)+1),COLUMN($G$2:$G$111),4)))</f>
        <v/>
      </c>
      <c r="O23" s="114" t="str">
        <f t="array" aca="1" ref="O23" ca="1">IF(ROW()-ROW($I$2:$I$111)+1&gt;ROWS($H$2:$H$111)-COUNTBLANK($H$2:$H$111),"",INDIRECT(ADDRESS(SMALL((IF($H$2:$H$111&lt;&gt;"",ROW($H$2:$H$111),ROW()+ROWS($H$2:$H$111))),ROW()-ROW($I$2:$I$111)+1),COLUMN($H$2:$H$111),4)))</f>
        <v/>
      </c>
      <c r="P23" s="114" t="str">
        <f t="array" aca="1" ref="P23" ca="1">IF(ROW()-ROW($J$2:$J$111)+1&gt;ROWS($I$2:$I$111)-COUNTBLANK($I$2:$I$111),"",INDIRECT(ADDRESS(SMALL((IF($I$2:$I$111&lt;&gt;"",ROW($I$2:$I$111),ROW()+ROWS($I$2:$I$111))),ROW()-ROW($J$2:$J$111)+1),COLUMN($I$2:$I$111),4)))</f>
        <v/>
      </c>
    </row>
    <row r="24" spans="1:16" x14ac:dyDescent="0.25">
      <c r="D24" s="169"/>
      <c r="E24" s="138" t="str">
        <f>IF(H24="","","2018")</f>
        <v/>
      </c>
      <c r="F24" s="344"/>
      <c r="G24" s="344"/>
      <c r="H24" s="345"/>
      <c r="I24" s="346"/>
      <c r="J24" s="347"/>
      <c r="L24" s="51" t="str">
        <f t="array" aca="1" ref="L24" ca="1">IF(ROW()-ROW($F$2:$F$111)+1&gt;ROWS($E$2:$E$111)-COUNTBLANK($E$2:$E$111),"",INDIRECT(ADDRESS(SMALL((IF($E$2:$E$111&gt;"",ROW($E$2:$E$111),ROW()+ROWS($E$2:$E$111))),ROW()-ROW($F$2:$F$111)+1),COLUMN($E$2:$E$111),4)))</f>
        <v/>
      </c>
      <c r="M24" s="51" t="str">
        <f t="array" aca="1" ref="M24" ca="1">IF(ROW()-ROW($G$2:$G$111)+1&gt;ROWS($F$2:$F$111)-COUNTBLANK($F$2:$F$111),"",INDIRECT(ADDRESS(SMALL((IF($F$2:$F$111&lt;&gt;"",ROW($F$2:$F$111),ROW()+ROWS($F$2:$F$111))),ROW()-ROW($G$2:$G$111)+1),COLUMN($F$2:$F$111),4)))</f>
        <v/>
      </c>
      <c r="N24" s="51" t="str">
        <f t="array" aca="1" ref="N24" ca="1">IF(ROW()-ROW($H$2:$H$111)+1&gt;ROWS($G$2:$G$111)-COUNTBLANK($G$2:$G$111),"",INDIRECT(ADDRESS(SMALL((IF($G$2:$G$111&lt;&gt;"",ROW($G$2:$G$111),ROW()+ROWS($G$2:$G$111))),ROW()-ROW($H$2:$H$111)+1),COLUMN($G$2:$G$111),4)))</f>
        <v/>
      </c>
      <c r="O24" s="114" t="str">
        <f t="array" aca="1" ref="O24" ca="1">IF(ROW()-ROW($I$2:$I$111)+1&gt;ROWS($H$2:$H$111)-COUNTBLANK($H$2:$H$111),"",INDIRECT(ADDRESS(SMALL((IF($H$2:$H$111&lt;&gt;"",ROW($H$2:$H$111),ROW()+ROWS($H$2:$H$111))),ROW()-ROW($I$2:$I$111)+1),COLUMN($H$2:$H$111),4)))</f>
        <v/>
      </c>
      <c r="P24" s="114" t="str">
        <f t="array" aca="1" ref="P24" ca="1">IF(ROW()-ROW($J$2:$J$111)+1&gt;ROWS($I$2:$I$111)-COUNTBLANK($I$2:$I$111),"",INDIRECT(ADDRESS(SMALL((IF($I$2:$I$111&lt;&gt;"",ROW($I$2:$I$111),ROW()+ROWS($I$2:$I$111))),ROW()-ROW($J$2:$J$111)+1),COLUMN($I$2:$I$111),4)))</f>
        <v/>
      </c>
    </row>
    <row r="25" spans="1:16" ht="13.5" customHeight="1" thickBot="1" x14ac:dyDescent="0.3">
      <c r="D25" s="170" t="s">
        <v>73</v>
      </c>
      <c r="E25" s="138" t="str">
        <f>IF(H25="","","2019")</f>
        <v/>
      </c>
      <c r="F25" s="340"/>
      <c r="G25" s="340"/>
      <c r="H25" s="349"/>
      <c r="I25" s="342"/>
      <c r="J25" s="343"/>
      <c r="L25" s="51" t="str">
        <f t="array" aca="1" ref="L25" ca="1">IF(ROW()-ROW($F$2:$F$111)+1&gt;ROWS($E$2:$E$111)-COUNTBLANK($E$2:$E$111),"",INDIRECT(ADDRESS(SMALL((IF($E$2:$E$111&gt;"",ROW($E$2:$E$111),ROW()+ROWS($E$2:$E$111))),ROW()-ROW($F$2:$F$111)+1),COLUMN($E$2:$E$111),4)))</f>
        <v/>
      </c>
      <c r="M25" s="51" t="str">
        <f t="array" aca="1" ref="M25" ca="1">IF(ROW()-ROW($G$2:$G$111)+1&gt;ROWS($F$2:$F$111)-COUNTBLANK($F$2:$F$111),"",INDIRECT(ADDRESS(SMALL((IF($F$2:$F$111&lt;&gt;"",ROW($F$2:$F$111),ROW()+ROWS($F$2:$F$111))),ROW()-ROW($G$2:$G$111)+1),COLUMN($F$2:$F$111),4)))</f>
        <v/>
      </c>
      <c r="N25" s="51" t="str">
        <f t="array" aca="1" ref="N25" ca="1">IF(ROW()-ROW($H$2:$H$111)+1&gt;ROWS($G$2:$G$111)-COUNTBLANK($G$2:$G$111),"",INDIRECT(ADDRESS(SMALL((IF($G$2:$G$111&lt;&gt;"",ROW($G$2:$G$111),ROW()+ROWS($G$2:$G$111))),ROW()-ROW($H$2:$H$111)+1),COLUMN($G$2:$G$111),4)))</f>
        <v/>
      </c>
      <c r="O25" s="114" t="str">
        <f t="array" aca="1" ref="O25" ca="1">IF(ROW()-ROW($I$2:$I$111)+1&gt;ROWS($H$2:$H$111)-COUNTBLANK($H$2:$H$111),"",INDIRECT(ADDRESS(SMALL((IF($H$2:$H$111&lt;&gt;"",ROW($H$2:$H$111),ROW()+ROWS($H$2:$H$111))),ROW()-ROW($I$2:$I$111)+1),COLUMN($H$2:$H$111),4)))</f>
        <v/>
      </c>
      <c r="P25" s="114" t="str">
        <f t="array" aca="1" ref="P25" ca="1">IF(ROW()-ROW($J$2:$J$111)+1&gt;ROWS($I$2:$I$111)-COUNTBLANK($I$2:$I$111),"",INDIRECT(ADDRESS(SMALL((IF($I$2:$I$111&lt;&gt;"",ROW($I$2:$I$111),ROW()+ROWS($I$2:$I$111))),ROW()-ROW($J$2:$J$111)+1),COLUMN($I$2:$I$111),4)))</f>
        <v/>
      </c>
    </row>
    <row r="26" spans="1:16" x14ac:dyDescent="0.25">
      <c r="D26" s="169" t="s">
        <v>202</v>
      </c>
      <c r="E26" s="181" t="str">
        <f>IF(H26="","","2008")</f>
        <v/>
      </c>
      <c r="F26" s="137" t="str">
        <f>IF(H26="","","c")</f>
        <v/>
      </c>
      <c r="G26" s="137" t="str">
        <f t="shared" si="8"/>
        <v/>
      </c>
      <c r="H26" s="339" t="str">
        <f>IF(A2="relevant",IF(Matrix!T20&lt;Berechnung2!$G$39,Berechnung2!$L$39,""),"")</f>
        <v/>
      </c>
      <c r="I26" s="127" t="str">
        <f>IF(H26="","",VLOOKUP(F26,Berechnung2!$I$15:$J$25,2,FALSE))</f>
        <v/>
      </c>
      <c r="J26" s="126" t="str">
        <f t="shared" si="6"/>
        <v/>
      </c>
      <c r="L26" s="51" t="str">
        <f t="array" aca="1" ref="L26" ca="1">IF(ROW()-ROW($F$2:$F$111)+1&gt;ROWS($E$2:$E$111)-COUNTBLANK($E$2:$E$111),"",INDIRECT(ADDRESS(SMALL((IF($E$2:$E$111&gt;"",ROW($E$2:$E$111),ROW()+ROWS($E$2:$E$111))),ROW()-ROW($F$2:$F$111)+1),COLUMN($E$2:$E$111),4)))</f>
        <v/>
      </c>
      <c r="M26" s="51" t="str">
        <f t="array" aca="1" ref="M26" ca="1">IF(ROW()-ROW($G$2:$G$111)+1&gt;ROWS($F$2:$F$111)-COUNTBLANK($F$2:$F$111),"",INDIRECT(ADDRESS(SMALL((IF($F$2:$F$111&lt;&gt;"",ROW($F$2:$F$111),ROW()+ROWS($F$2:$F$111))),ROW()-ROW($G$2:$G$111)+1),COLUMN($F$2:$F$111),4)))</f>
        <v/>
      </c>
      <c r="N26" s="51" t="str">
        <f t="array" aca="1" ref="N26" ca="1">IF(ROW()-ROW($H$2:$H$111)+1&gt;ROWS($G$2:$G$111)-COUNTBLANK($G$2:$G$111),"",INDIRECT(ADDRESS(SMALL((IF($G$2:$G$111&lt;&gt;"",ROW($G$2:$G$111),ROW()+ROWS($G$2:$G$111))),ROW()-ROW($H$2:$H$111)+1),COLUMN($G$2:$G$111),4)))</f>
        <v/>
      </c>
      <c r="O26" s="114" t="str">
        <f t="array" aca="1" ref="O26" ca="1">IF(ROW()-ROW($I$2:$I$111)+1&gt;ROWS($H$2:$H$111)-COUNTBLANK($H$2:$H$111),"",INDIRECT(ADDRESS(SMALL((IF($H$2:$H$111&lt;&gt;"",ROW($H$2:$H$111),ROW()+ROWS($H$2:$H$111))),ROW()-ROW($I$2:$I$111)+1),COLUMN($H$2:$H$111),4)))</f>
        <v/>
      </c>
      <c r="P26" s="114" t="str">
        <f t="array" aca="1" ref="P26" ca="1">IF(ROW()-ROW($J$2:$J$111)+1&gt;ROWS($I$2:$I$111)-COUNTBLANK($I$2:$I$111),"",INDIRECT(ADDRESS(SMALL((IF($I$2:$I$111&lt;&gt;"",ROW($I$2:$I$111),ROW()+ROWS($I$2:$I$111))),ROW()-ROW($J$2:$J$111)+1),COLUMN($I$2:$I$111),4)))</f>
        <v/>
      </c>
    </row>
    <row r="27" spans="1:16" x14ac:dyDescent="0.25">
      <c r="D27" s="896" t="s">
        <v>186</v>
      </c>
      <c r="E27" s="182" t="str">
        <f>IF(H27="","","2009")</f>
        <v/>
      </c>
      <c r="F27" s="139" t="str">
        <f>IF(H27="","","c")</f>
        <v/>
      </c>
      <c r="G27" s="139" t="str">
        <f t="shared" si="8"/>
        <v/>
      </c>
      <c r="H27" s="124" t="str">
        <f>IF(A3="relevant",IF(Matrix!T21&lt;Berechnung2!$G$39,Berechnung2!$L$39,""),"")</f>
        <v/>
      </c>
      <c r="I27" s="114" t="str">
        <f>IF(H27="","",VLOOKUP(F27,Berechnung2!$I$15:$J$25,2,FALSE))</f>
        <v/>
      </c>
      <c r="J27" s="125" t="str">
        <f t="shared" si="6"/>
        <v/>
      </c>
      <c r="L27" s="51" t="str">
        <f t="array" aca="1" ref="L27" ca="1">IF(ROW()-ROW($F$2:$F$111)+1&gt;ROWS($E$2:$E$111)-COUNTBLANK($E$2:$E$111),"",INDIRECT(ADDRESS(SMALL((IF($E$2:$E$111&gt;"",ROW($E$2:$E$111),ROW()+ROWS($E$2:$E$111))),ROW()-ROW($F$2:$F$111)+1),COLUMN($E$2:$E$111),4)))</f>
        <v/>
      </c>
      <c r="M27" s="51" t="str">
        <f t="array" aca="1" ref="M27" ca="1">IF(ROW()-ROW($G$2:$G$111)+1&gt;ROWS($F$2:$F$111)-COUNTBLANK($F$2:$F$111),"",INDIRECT(ADDRESS(SMALL((IF($F$2:$F$111&lt;&gt;"",ROW($F$2:$F$111),ROW()+ROWS($F$2:$F$111))),ROW()-ROW($G$2:$G$111)+1),COLUMN($F$2:$F$111),4)))</f>
        <v/>
      </c>
      <c r="N27" s="51" t="str">
        <f t="array" aca="1" ref="N27" ca="1">IF(ROW()-ROW($H$2:$H$111)+1&gt;ROWS($G$2:$G$111)-COUNTBLANK($G$2:$G$111),"",INDIRECT(ADDRESS(SMALL((IF($G$2:$G$111&lt;&gt;"",ROW($G$2:$G$111),ROW()+ROWS($G$2:$G$111))),ROW()-ROW($H$2:$H$111)+1),COLUMN($G$2:$G$111),4)))</f>
        <v/>
      </c>
      <c r="O27" s="114" t="str">
        <f t="array" aca="1" ref="O27" ca="1">IF(ROW()-ROW($I$2:$I$111)+1&gt;ROWS($H$2:$H$111)-COUNTBLANK($H$2:$H$111),"",INDIRECT(ADDRESS(SMALL((IF($H$2:$H$111&lt;&gt;"",ROW($H$2:$H$111),ROW()+ROWS($H$2:$H$111))),ROW()-ROW($I$2:$I$111)+1),COLUMN($H$2:$H$111),4)))</f>
        <v/>
      </c>
      <c r="P27" s="114" t="str">
        <f t="array" aca="1" ref="P27" ca="1">IF(ROW()-ROW($J$2:$J$111)+1&gt;ROWS($I$2:$I$111)-COUNTBLANK($I$2:$I$111),"",INDIRECT(ADDRESS(SMALL((IF($I$2:$I$111&lt;&gt;"",ROW($I$2:$I$111),ROW()+ROWS($I$2:$I$111))),ROW()-ROW($J$2:$J$111)+1),COLUMN($I$2:$I$111),4)))</f>
        <v/>
      </c>
    </row>
    <row r="28" spans="1:16" ht="11.25" customHeight="1" x14ac:dyDescent="0.25">
      <c r="D28" s="896"/>
      <c r="E28" s="182" t="str">
        <f>IF(H28="","","2010")</f>
        <v/>
      </c>
      <c r="F28" s="139" t="str">
        <f>IF(H28="","","c")</f>
        <v/>
      </c>
      <c r="G28" s="139" t="str">
        <f t="shared" si="8"/>
        <v/>
      </c>
      <c r="H28" s="124" t="str">
        <f>IF(A4="relevant",IF(Matrix!T22&lt;Berechnung2!$G$39,Berechnung2!$L$39,""),"")</f>
        <v/>
      </c>
      <c r="I28" s="114" t="str">
        <f>IF(H28="","",VLOOKUP(F28,Berechnung2!$I$15:$J$25,2,FALSE))</f>
        <v/>
      </c>
      <c r="J28" s="125" t="str">
        <f t="shared" si="6"/>
        <v/>
      </c>
      <c r="L28" s="51" t="str">
        <f t="array" aca="1" ref="L28" ca="1">IF(ROW()-ROW($F$2:$F$111)+1&gt;ROWS($E$2:$E$111)-COUNTBLANK($E$2:$E$111),"",INDIRECT(ADDRESS(SMALL((IF($E$2:$E$111&gt;"",ROW($E$2:$E$111),ROW()+ROWS($E$2:$E$111))),ROW()-ROW($F$2:$F$111)+1),COLUMN($E$2:$E$111),4)))</f>
        <v/>
      </c>
      <c r="M28" s="51" t="str">
        <f t="array" aca="1" ref="M28" ca="1">IF(ROW()-ROW($G$2:$G$111)+1&gt;ROWS($F$2:$F$111)-COUNTBLANK($F$2:$F$111),"",INDIRECT(ADDRESS(SMALL((IF($F$2:$F$111&lt;&gt;"",ROW($F$2:$F$111),ROW()+ROWS($F$2:$F$111))),ROW()-ROW($G$2:$G$111)+1),COLUMN($F$2:$F$111),4)))</f>
        <v/>
      </c>
      <c r="N28" s="51" t="str">
        <f t="array" aca="1" ref="N28" ca="1">IF(ROW()-ROW($H$2:$H$111)+1&gt;ROWS($G$2:$G$111)-COUNTBLANK($G$2:$G$111),"",INDIRECT(ADDRESS(SMALL((IF($G$2:$G$111&lt;&gt;"",ROW($G$2:$G$111),ROW()+ROWS($G$2:$G$111))),ROW()-ROW($H$2:$H$111)+1),COLUMN($G$2:$G$111),4)))</f>
        <v/>
      </c>
      <c r="O28" s="114" t="str">
        <f t="array" aca="1" ref="O28" ca="1">IF(ROW()-ROW($I$2:$I$111)+1&gt;ROWS($H$2:$H$111)-COUNTBLANK($H$2:$H$111),"",INDIRECT(ADDRESS(SMALL((IF($H$2:$H$111&lt;&gt;"",ROW($H$2:$H$111),ROW()+ROWS($H$2:$H$111))),ROW()-ROW($I$2:$I$111)+1),COLUMN($H$2:$H$111),4)))</f>
        <v/>
      </c>
      <c r="P28" s="114" t="str">
        <f t="array" aca="1" ref="P28" ca="1">IF(ROW()-ROW($J$2:$J$111)+1&gt;ROWS($I$2:$I$111)-COUNTBLANK($I$2:$I$111),"",INDIRECT(ADDRESS(SMALL((IF($I$2:$I$111&lt;&gt;"",ROW($I$2:$I$111),ROW()+ROWS($I$2:$I$111))),ROW()-ROW($J$2:$J$111)+1),COLUMN($I$2:$I$111),4)))</f>
        <v/>
      </c>
    </row>
    <row r="29" spans="1:16" x14ac:dyDescent="0.25">
      <c r="D29" s="896"/>
      <c r="E29" s="182" t="str">
        <f>IF(H29="","","2011")</f>
        <v/>
      </c>
      <c r="F29" s="139" t="str">
        <f>IF(H29="","","c")</f>
        <v/>
      </c>
      <c r="G29" s="139" t="str">
        <f t="shared" si="8"/>
        <v/>
      </c>
      <c r="H29" s="124" t="str">
        <f>IF(A5="relevant",IF(Matrix!T23&lt;Berechnung2!$G$39,Berechnung2!$L$39,""),"")</f>
        <v/>
      </c>
      <c r="I29" s="114" t="str">
        <f>IF(H29="","",VLOOKUP(F29,Berechnung2!$I$15:$J$25,2,FALSE))</f>
        <v/>
      </c>
      <c r="J29" s="125" t="str">
        <f t="shared" si="6"/>
        <v/>
      </c>
      <c r="L29" s="51" t="str">
        <f t="array" aca="1" ref="L29" ca="1">IF(ROW()-ROW($F$2:$F$111)+1&gt;ROWS($E$2:$E$111)-COUNTBLANK($E$2:$E$111),"",INDIRECT(ADDRESS(SMALL((IF($E$2:$E$111&gt;"",ROW($E$2:$E$111),ROW()+ROWS($E$2:$E$111))),ROW()-ROW($F$2:$F$111)+1),COLUMN($E$2:$E$111),4)))</f>
        <v/>
      </c>
      <c r="M29" s="51" t="str">
        <f t="array" aca="1" ref="M29" ca="1">IF(ROW()-ROW($G$2:$G$111)+1&gt;ROWS($F$2:$F$111)-COUNTBLANK($F$2:$F$111),"",INDIRECT(ADDRESS(SMALL((IF($F$2:$F$111&lt;&gt;"",ROW($F$2:$F$111),ROW()+ROWS($F$2:$F$111))),ROW()-ROW($G$2:$G$111)+1),COLUMN($F$2:$F$111),4)))</f>
        <v/>
      </c>
      <c r="N29" s="51" t="str">
        <f t="array" aca="1" ref="N29" ca="1">IF(ROW()-ROW($H$2:$H$111)+1&gt;ROWS($G$2:$G$111)-COUNTBLANK($G$2:$G$111),"",INDIRECT(ADDRESS(SMALL((IF($G$2:$G$111&lt;&gt;"",ROW($G$2:$G$111),ROW()+ROWS($G$2:$G$111))),ROW()-ROW($H$2:$H$111)+1),COLUMN($G$2:$G$111),4)))</f>
        <v/>
      </c>
      <c r="O29" s="114" t="str">
        <f t="array" aca="1" ref="O29" ca="1">IF(ROW()-ROW($I$2:$I$111)+1&gt;ROWS($H$2:$H$111)-COUNTBLANK($H$2:$H$111),"",INDIRECT(ADDRESS(SMALL((IF($H$2:$H$111&lt;&gt;"",ROW($H$2:$H$111),ROW()+ROWS($H$2:$H$111))),ROW()-ROW($I$2:$I$111)+1),COLUMN($H$2:$H$111),4)))</f>
        <v/>
      </c>
      <c r="P29" s="114" t="str">
        <f t="array" aca="1" ref="P29" ca="1">IF(ROW()-ROW($J$2:$J$111)+1&gt;ROWS($I$2:$I$111)-COUNTBLANK($I$2:$I$111),"",INDIRECT(ADDRESS(SMALL((IF($I$2:$I$111&lt;&gt;"",ROW($I$2:$I$111),ROW()+ROWS($I$2:$I$111))),ROW()-ROW($J$2:$J$111)+1),COLUMN($I$2:$I$111),4)))</f>
        <v/>
      </c>
    </row>
    <row r="30" spans="1:16" x14ac:dyDescent="0.25">
      <c r="D30" s="896"/>
      <c r="E30" s="182" t="str">
        <f>IF(H30="","","2012")</f>
        <v/>
      </c>
      <c r="F30" s="139" t="str">
        <f t="shared" ref="F30:F35" si="9">IF(H30="","","c")</f>
        <v/>
      </c>
      <c r="G30" s="139" t="str">
        <f t="shared" si="8"/>
        <v/>
      </c>
      <c r="H30" s="124" t="str">
        <f>IF(A6="relevant",IF(Matrix!T24&lt;Berechnung2!$G$39,Berechnung2!$L$39,""),"")</f>
        <v/>
      </c>
      <c r="I30" s="114" t="str">
        <f>IF(H30="","",VLOOKUP(F30,Berechnung2!$I$15:$J$25,2,FALSE))</f>
        <v/>
      </c>
      <c r="J30" s="125" t="str">
        <f t="shared" si="6"/>
        <v/>
      </c>
      <c r="L30" s="51" t="str">
        <f t="array" aca="1" ref="L30" ca="1">IF(ROW()-ROW($F$2:$F$111)+1&gt;ROWS($E$2:$E$111)-COUNTBLANK($E$2:$E$111),"",INDIRECT(ADDRESS(SMALL((IF($E$2:$E$111&gt;"",ROW($E$2:$E$111),ROW()+ROWS($E$2:$E$111))),ROW()-ROW($F$2:$F$111)+1),COLUMN($E$2:$E$111),4)))</f>
        <v/>
      </c>
      <c r="M30" s="51" t="str">
        <f t="array" aca="1" ref="M30" ca="1">IF(ROW()-ROW($G$2:$G$111)+1&gt;ROWS($F$2:$F$111)-COUNTBLANK($F$2:$F$111),"",INDIRECT(ADDRESS(SMALL((IF($F$2:$F$111&lt;&gt;"",ROW($F$2:$F$111),ROW()+ROWS($F$2:$F$111))),ROW()-ROW($G$2:$G$111)+1),COLUMN($F$2:$F$111),4)))</f>
        <v/>
      </c>
      <c r="N30" s="51" t="str">
        <f t="array" aca="1" ref="N30" ca="1">IF(ROW()-ROW($H$2:$H$111)+1&gt;ROWS($G$2:$G$111)-COUNTBLANK($G$2:$G$111),"",INDIRECT(ADDRESS(SMALL((IF($G$2:$G$111&lt;&gt;"",ROW($G$2:$G$111),ROW()+ROWS($G$2:$G$111))),ROW()-ROW($H$2:$H$111)+1),COLUMN($G$2:$G$111),4)))</f>
        <v/>
      </c>
      <c r="O30" s="114" t="str">
        <f t="array" aca="1" ref="O30" ca="1">IF(ROW()-ROW($I$2:$I$111)+1&gt;ROWS($H$2:$H$111)-COUNTBLANK($H$2:$H$111),"",INDIRECT(ADDRESS(SMALL((IF($H$2:$H$111&lt;&gt;"",ROW($H$2:$H$111),ROW()+ROWS($H$2:$H$111))),ROW()-ROW($I$2:$I$111)+1),COLUMN($H$2:$H$111),4)))</f>
        <v/>
      </c>
      <c r="P30" s="114" t="str">
        <f t="array" aca="1" ref="P30" ca="1">IF(ROW()-ROW($J$2:$J$111)+1&gt;ROWS($I$2:$I$111)-COUNTBLANK($I$2:$I$111),"",INDIRECT(ADDRESS(SMALL((IF($I$2:$I$111&lt;&gt;"",ROW($I$2:$I$111),ROW()+ROWS($I$2:$I$111))),ROW()-ROW($J$2:$J$111)+1),COLUMN($I$2:$I$111),4)))</f>
        <v/>
      </c>
    </row>
    <row r="31" spans="1:16" x14ac:dyDescent="0.25">
      <c r="D31" s="896"/>
      <c r="E31" s="182" t="str">
        <f>IF(H31="","","2013")</f>
        <v/>
      </c>
      <c r="F31" s="139" t="str">
        <f t="shared" si="9"/>
        <v/>
      </c>
      <c r="G31" s="139" t="str">
        <f t="shared" si="8"/>
        <v/>
      </c>
      <c r="H31" s="124" t="str">
        <f>IF(A7="relevant",IF(Matrix!T25&lt;Berechnung2!$G$39,Berechnung2!$L$39,""),"")</f>
        <v/>
      </c>
      <c r="I31" s="114" t="str">
        <f>IF(H31="","",VLOOKUP(F31,Berechnung2!$I$15:$J$25,2,FALSE))</f>
        <v/>
      </c>
      <c r="J31" s="125" t="str">
        <f t="shared" si="6"/>
        <v/>
      </c>
      <c r="L31" s="51" t="str">
        <f t="array" aca="1" ref="L31" ca="1">IF(ROW()-ROW($F$2:$F$111)+1&gt;ROWS($E$2:$E$111)-COUNTBLANK($E$2:$E$111),"",INDIRECT(ADDRESS(SMALL((IF($E$2:$E$111&gt;"",ROW($E$2:$E$111),ROW()+ROWS($E$2:$E$111))),ROW()-ROW($F$2:$F$111)+1),COLUMN($E$2:$E$111),4)))</f>
        <v/>
      </c>
      <c r="M31" s="51" t="str">
        <f t="array" aca="1" ref="M31" ca="1">IF(ROW()-ROW($G$2:$G$111)+1&gt;ROWS($F$2:$F$111)-COUNTBLANK($F$2:$F$111),"",INDIRECT(ADDRESS(SMALL((IF($F$2:$F$111&lt;&gt;"",ROW($F$2:$F$111),ROW()+ROWS($F$2:$F$111))),ROW()-ROW($G$2:$G$111)+1),COLUMN($F$2:$F$111),4)))</f>
        <v/>
      </c>
      <c r="N31" s="51" t="str">
        <f t="array" aca="1" ref="N31" ca="1">IF(ROW()-ROW($H$2:$H$111)+1&gt;ROWS($G$2:$G$111)-COUNTBLANK($G$2:$G$111),"",INDIRECT(ADDRESS(SMALL((IF($G$2:$G$111&lt;&gt;"",ROW($G$2:$G$111),ROW()+ROWS($G$2:$G$111))),ROW()-ROW($H$2:$H$111)+1),COLUMN($G$2:$G$111),4)))</f>
        <v/>
      </c>
      <c r="O31" s="114" t="str">
        <f t="array" aca="1" ref="O31" ca="1">IF(ROW()-ROW($I$2:$I$111)+1&gt;ROWS($H$2:$H$111)-COUNTBLANK($H$2:$H$111),"",INDIRECT(ADDRESS(SMALL((IF($H$2:$H$111&lt;&gt;"",ROW($H$2:$H$111),ROW()+ROWS($H$2:$H$111))),ROW()-ROW($I$2:$I$111)+1),COLUMN($H$2:$H$111),4)))</f>
        <v/>
      </c>
      <c r="P31" s="114" t="str">
        <f t="array" aca="1" ref="P31" ca="1">IF(ROW()-ROW($J$2:$J$111)+1&gt;ROWS($I$2:$I$111)-COUNTBLANK($I$2:$I$111),"",INDIRECT(ADDRESS(SMALL((IF($I$2:$I$111&lt;&gt;"",ROW($I$2:$I$111),ROW()+ROWS($I$2:$I$111))),ROW()-ROW($J$2:$J$111)+1),COLUMN($I$2:$I$111),4)))</f>
        <v/>
      </c>
    </row>
    <row r="32" spans="1:16" x14ac:dyDescent="0.25">
      <c r="D32" s="896"/>
      <c r="E32" s="182" t="str">
        <f>IF(H32="","","2014")</f>
        <v/>
      </c>
      <c r="F32" s="139" t="str">
        <f t="shared" si="9"/>
        <v/>
      </c>
      <c r="G32" s="139" t="str">
        <f t="shared" si="8"/>
        <v/>
      </c>
      <c r="H32" s="124" t="str">
        <f>IF(A8="relevant",IF(Matrix!T26&lt;Berechnung2!$G$39,Berechnung2!$L$39,""),"")</f>
        <v/>
      </c>
      <c r="I32" s="114" t="str">
        <f>IF(H32="","",VLOOKUP(F32,Berechnung2!$I$15:$J$25,2,FALSE))</f>
        <v/>
      </c>
      <c r="J32" s="125" t="str">
        <f t="shared" si="6"/>
        <v/>
      </c>
      <c r="L32" s="51" t="str">
        <f t="array" aca="1" ref="L32" ca="1">IF(ROW()-ROW($F$2:$F$111)+1&gt;ROWS($E$2:$E$111)-COUNTBLANK($E$2:$E$111),"",INDIRECT(ADDRESS(SMALL((IF($E$2:$E$111&gt;"",ROW($E$2:$E$111),ROW()+ROWS($E$2:$E$111))),ROW()-ROW($F$2:$F$111)+1),COLUMN($E$2:$E$111),4)))</f>
        <v/>
      </c>
      <c r="M32" s="51" t="str">
        <f t="array" aca="1" ref="M32" ca="1">IF(ROW()-ROW($G$2:$G$111)+1&gt;ROWS($F$2:$F$111)-COUNTBLANK($F$2:$F$111),"",INDIRECT(ADDRESS(SMALL((IF($F$2:$F$111&lt;&gt;"",ROW($F$2:$F$111),ROW()+ROWS($F$2:$F$111))),ROW()-ROW($G$2:$G$111)+1),COLUMN($F$2:$F$111),4)))</f>
        <v/>
      </c>
      <c r="N32" s="51" t="str">
        <f t="array" aca="1" ref="N32" ca="1">IF(ROW()-ROW($H$2:$H$111)+1&gt;ROWS($G$2:$G$111)-COUNTBLANK($G$2:$G$111),"",INDIRECT(ADDRESS(SMALL((IF($G$2:$G$111&lt;&gt;"",ROW($G$2:$G$111),ROW()+ROWS($G$2:$G$111))),ROW()-ROW($H$2:$H$111)+1),COLUMN($G$2:$G$111),4)))</f>
        <v/>
      </c>
      <c r="O32" s="114" t="str">
        <f t="array" aca="1" ref="O32" ca="1">IF(ROW()-ROW($I$2:$I$111)+1&gt;ROWS($H$2:$H$111)-COUNTBLANK($H$2:$H$111),"",INDIRECT(ADDRESS(SMALL((IF($H$2:$H$111&lt;&gt;"",ROW($H$2:$H$111),ROW()+ROWS($H$2:$H$111))),ROW()-ROW($I$2:$I$111)+1),COLUMN($H$2:$H$111),4)))</f>
        <v/>
      </c>
      <c r="P32" s="114" t="str">
        <f t="array" aca="1" ref="P32" ca="1">IF(ROW()-ROW($J$2:$J$111)+1&gt;ROWS($I$2:$I$111)-COUNTBLANK($I$2:$I$111),"",INDIRECT(ADDRESS(SMALL((IF($I$2:$I$111&lt;&gt;"",ROW($I$2:$I$111),ROW()+ROWS($I$2:$I$111))),ROW()-ROW($J$2:$J$111)+1),COLUMN($I$2:$I$111),4)))</f>
        <v/>
      </c>
    </row>
    <row r="33" spans="4:16" x14ac:dyDescent="0.25">
      <c r="D33" s="896"/>
      <c r="E33" s="182" t="str">
        <f>IF(H33="","","2015")</f>
        <v/>
      </c>
      <c r="F33" s="139" t="str">
        <f t="shared" si="9"/>
        <v/>
      </c>
      <c r="G33" s="139" t="str">
        <f t="shared" si="8"/>
        <v/>
      </c>
      <c r="H33" s="124" t="str">
        <f>IF(A9="relevant",IF(Matrix!T27&lt;Berechnung2!$G$39,Berechnung2!$L$39,""),"")</f>
        <v/>
      </c>
      <c r="I33" s="114" t="str">
        <f>IF(H33="","",VLOOKUP(F33,Berechnung2!$I$15:$J$25,2,FALSE))</f>
        <v/>
      </c>
      <c r="J33" s="125" t="str">
        <f t="shared" si="6"/>
        <v/>
      </c>
      <c r="L33" s="51" t="str">
        <f t="array" aca="1" ref="L33" ca="1">IF(ROW()-ROW($F$2:$F$111)+1&gt;ROWS($E$2:$E$111)-COUNTBLANK($E$2:$E$111),"",INDIRECT(ADDRESS(SMALL((IF($E$2:$E$111&gt;"",ROW($E$2:$E$111),ROW()+ROWS($E$2:$E$111))),ROW()-ROW($F$2:$F$111)+1),COLUMN($E$2:$E$111),4)))</f>
        <v/>
      </c>
      <c r="M33" s="51" t="str">
        <f t="array" aca="1" ref="M33" ca="1">IF(ROW()-ROW($G$2:$G$111)+1&gt;ROWS($F$2:$F$111)-COUNTBLANK($F$2:$F$111),"",INDIRECT(ADDRESS(SMALL((IF($F$2:$F$111&lt;&gt;"",ROW($F$2:$F$111),ROW()+ROWS($F$2:$F$111))),ROW()-ROW($G$2:$G$111)+1),COLUMN($F$2:$F$111),4)))</f>
        <v/>
      </c>
      <c r="N33" s="51" t="str">
        <f t="array" aca="1" ref="N33" ca="1">IF(ROW()-ROW($H$2:$H$111)+1&gt;ROWS($G$2:$G$111)-COUNTBLANK($G$2:$G$111),"",INDIRECT(ADDRESS(SMALL((IF($G$2:$G$111&lt;&gt;"",ROW($G$2:$G$111),ROW()+ROWS($G$2:$G$111))),ROW()-ROW($H$2:$H$111)+1),COLUMN($G$2:$G$111),4)))</f>
        <v/>
      </c>
      <c r="O33" s="114" t="str">
        <f t="array" aca="1" ref="O33" ca="1">IF(ROW()-ROW($I$2:$I$111)+1&gt;ROWS($H$2:$H$111)-COUNTBLANK($H$2:$H$111),"",INDIRECT(ADDRESS(SMALL((IF($H$2:$H$111&lt;&gt;"",ROW($H$2:$H$111),ROW()+ROWS($H$2:$H$111))),ROW()-ROW($I$2:$I$111)+1),COLUMN($H$2:$H$111),4)))</f>
        <v/>
      </c>
      <c r="P33" s="114" t="str">
        <f t="array" aca="1" ref="P33" ca="1">IF(ROW()-ROW($J$2:$J$111)+1&gt;ROWS($I$2:$I$111)-COUNTBLANK($I$2:$I$111),"",INDIRECT(ADDRESS(SMALL((IF($I$2:$I$111&lt;&gt;"",ROW($I$2:$I$111),ROW()+ROWS($I$2:$I$111))),ROW()-ROW($J$2:$J$111)+1),COLUMN($I$2:$I$111),4)))</f>
        <v/>
      </c>
    </row>
    <row r="34" spans="4:16" x14ac:dyDescent="0.25">
      <c r="D34" s="896"/>
      <c r="E34" s="182" t="str">
        <f>IF(H34="","","2016")</f>
        <v/>
      </c>
      <c r="F34" s="139" t="str">
        <f t="shared" si="9"/>
        <v/>
      </c>
      <c r="G34" s="139" t="str">
        <f t="shared" si="8"/>
        <v/>
      </c>
      <c r="H34" s="124" t="str">
        <f>IF(A10="relevant",IF(Matrix!T28&lt;Berechnung2!$G$39,Berechnung2!$L$39,""),"")</f>
        <v/>
      </c>
      <c r="I34" s="114" t="str">
        <f>IF(H34="","",VLOOKUP(F34,Berechnung2!$I$15:$J$25,2,FALSE))</f>
        <v/>
      </c>
      <c r="J34" s="125" t="str">
        <f t="shared" si="6"/>
        <v/>
      </c>
      <c r="L34" s="51" t="str">
        <f t="array" aca="1" ref="L34" ca="1">IF(ROW()-ROW($F$2:$F$111)+1&gt;ROWS($E$2:$E$111)-COUNTBLANK($E$2:$E$111),"",INDIRECT(ADDRESS(SMALL((IF($E$2:$E$111&gt;"",ROW($E$2:$E$111),ROW()+ROWS($E$2:$E$111))),ROW()-ROW($F$2:$F$111)+1),COLUMN($E$2:$E$111),4)))</f>
        <v/>
      </c>
      <c r="M34" s="51" t="str">
        <f t="array" aca="1" ref="M34" ca="1">IF(ROW()-ROW($G$2:$G$111)+1&gt;ROWS($F$2:$F$111)-COUNTBLANK($F$2:$F$111),"",INDIRECT(ADDRESS(SMALL((IF($F$2:$F$111&lt;&gt;"",ROW($F$2:$F$111),ROW()+ROWS($F$2:$F$111))),ROW()-ROW($G$2:$G$111)+1),COLUMN($F$2:$F$111),4)))</f>
        <v/>
      </c>
      <c r="N34" s="51" t="str">
        <f t="array" aca="1" ref="N34" ca="1">IF(ROW()-ROW($H$2:$H$111)+1&gt;ROWS($G$2:$G$111)-COUNTBLANK($G$2:$G$111),"",INDIRECT(ADDRESS(SMALL((IF($G$2:$G$111&lt;&gt;"",ROW($G$2:$G$111),ROW()+ROWS($G$2:$G$111))),ROW()-ROW($H$2:$H$111)+1),COLUMN($G$2:$G$111),4)))</f>
        <v/>
      </c>
      <c r="O34" s="114" t="str">
        <f t="array" aca="1" ref="O34" ca="1">IF(ROW()-ROW($I$2:$I$111)+1&gt;ROWS($H$2:$H$111)-COUNTBLANK($H$2:$H$111),"",INDIRECT(ADDRESS(SMALL((IF($H$2:$H$111&lt;&gt;"",ROW($H$2:$H$111),ROW()+ROWS($H$2:$H$111))),ROW()-ROW($I$2:$I$111)+1),COLUMN($H$2:$H$111),4)))</f>
        <v/>
      </c>
      <c r="P34" s="114" t="str">
        <f t="array" aca="1" ref="P34" ca="1">IF(ROW()-ROW($J$2:$J$111)+1&gt;ROWS($I$2:$I$111)-COUNTBLANK($I$2:$I$111),"",INDIRECT(ADDRESS(SMALL((IF($I$2:$I$111&lt;&gt;"",ROW($I$2:$I$111),ROW()+ROWS($I$2:$I$111))),ROW()-ROW($J$2:$J$111)+1),COLUMN($I$2:$I$111),4)))</f>
        <v/>
      </c>
    </row>
    <row r="35" spans="4:16" x14ac:dyDescent="0.25">
      <c r="D35" s="896"/>
      <c r="E35" s="182" t="str">
        <f>IF(H35="","","2017")</f>
        <v/>
      </c>
      <c r="F35" s="139" t="str">
        <f t="shared" si="9"/>
        <v/>
      </c>
      <c r="G35" s="139" t="str">
        <f t="shared" si="8"/>
        <v/>
      </c>
      <c r="H35" s="124" t="str">
        <f>IF(A11="relevant",IF(Matrix!T29&lt;Berechnung2!$G$39,Berechnung2!$L$39,""),"")</f>
        <v/>
      </c>
      <c r="I35" s="114" t="str">
        <f>IF(H35="","",VLOOKUP(F35,Berechnung2!$I$15:$J$25,2,FALSE))</f>
        <v/>
      </c>
      <c r="J35" s="125" t="str">
        <f t="shared" si="6"/>
        <v/>
      </c>
      <c r="L35" s="51" t="str">
        <f t="array" aca="1" ref="L35" ca="1">IF(ROW()-ROW($F$2:$F$111)+1&gt;ROWS($E$2:$E$111)-COUNTBLANK($E$2:$E$111),"",INDIRECT(ADDRESS(SMALL((IF($E$2:$E$111&gt;"",ROW($E$2:$E$111),ROW()+ROWS($E$2:$E$111))),ROW()-ROW($F$2:$F$111)+1),COLUMN($E$2:$E$111),4)))</f>
        <v/>
      </c>
      <c r="M35" s="51" t="str">
        <f t="array" aca="1" ref="M35" ca="1">IF(ROW()-ROW($G$2:$G$111)+1&gt;ROWS($F$2:$F$111)-COUNTBLANK($F$2:$F$111),"",INDIRECT(ADDRESS(SMALL((IF($F$2:$F$111&lt;&gt;"",ROW($F$2:$F$111),ROW()+ROWS($F$2:$F$111))),ROW()-ROW($G$2:$G$111)+1),COLUMN($F$2:$F$111),4)))</f>
        <v/>
      </c>
      <c r="N35" s="51" t="str">
        <f t="array" aca="1" ref="N35" ca="1">IF(ROW()-ROW($H$2:$H$111)+1&gt;ROWS($G$2:$G$111)-COUNTBLANK($G$2:$G$111),"",INDIRECT(ADDRESS(SMALL((IF($G$2:$G$111&lt;&gt;"",ROW($G$2:$G$111),ROW()+ROWS($G$2:$G$111))),ROW()-ROW($H$2:$H$111)+1),COLUMN($G$2:$G$111),4)))</f>
        <v/>
      </c>
      <c r="O35" s="114" t="str">
        <f t="array" aca="1" ref="O35" ca="1">IF(ROW()-ROW($I$2:$I$111)+1&gt;ROWS($H$2:$H$111)-COUNTBLANK($H$2:$H$111),"",INDIRECT(ADDRESS(SMALL((IF($H$2:$H$111&lt;&gt;"",ROW($H$2:$H$111),ROW()+ROWS($H$2:$H$111))),ROW()-ROW($I$2:$I$111)+1),COLUMN($H$2:$H$111),4)))</f>
        <v/>
      </c>
      <c r="P35" s="114" t="str">
        <f t="array" aca="1" ref="P35" ca="1">IF(ROW()-ROW($J$2:$J$111)+1&gt;ROWS($I$2:$I$111)-COUNTBLANK($I$2:$I$111),"",INDIRECT(ADDRESS(SMALL((IF($I$2:$I$111&lt;&gt;"",ROW($I$2:$I$111),ROW()+ROWS($I$2:$I$111))),ROW()-ROW($J$2:$J$111)+1),COLUMN($I$2:$I$111),4)))</f>
        <v/>
      </c>
    </row>
    <row r="36" spans="4:16" x14ac:dyDescent="0.25">
      <c r="D36" s="169"/>
      <c r="E36" s="182" t="str">
        <f>IF(H36="","","2018")</f>
        <v/>
      </c>
      <c r="F36" s="344"/>
      <c r="G36" s="344"/>
      <c r="H36" s="345"/>
      <c r="I36" s="346"/>
      <c r="J36" s="347"/>
      <c r="L36" s="51" t="str">
        <f t="array" aca="1" ref="L36" ca="1">IF(ROW()-ROW($F$2:$F$111)+1&gt;ROWS($E$2:$E$111)-COUNTBLANK($E$2:$E$111),"",INDIRECT(ADDRESS(SMALL((IF($E$2:$E$111&gt;"",ROW($E$2:$E$111),ROW()+ROWS($E$2:$E$111))),ROW()-ROW($F$2:$F$111)+1),COLUMN($E$2:$E$111),4)))</f>
        <v/>
      </c>
      <c r="M36" s="51" t="str">
        <f t="array" aca="1" ref="M36" ca="1">IF(ROW()-ROW($G$2:$G$111)+1&gt;ROWS($F$2:$F$111)-COUNTBLANK($F$2:$F$111),"",INDIRECT(ADDRESS(SMALL((IF($F$2:$F$111&lt;&gt;"",ROW($F$2:$F$111),ROW()+ROWS($F$2:$F$111))),ROW()-ROW($G$2:$G$111)+1),COLUMN($F$2:$F$111),4)))</f>
        <v/>
      </c>
      <c r="N36" s="51" t="str">
        <f t="array" aca="1" ref="N36" ca="1">IF(ROW()-ROW($H$2:$H$111)+1&gt;ROWS($G$2:$G$111)-COUNTBLANK($G$2:$G$111),"",INDIRECT(ADDRESS(SMALL((IF($G$2:$G$111&lt;&gt;"",ROW($G$2:$G$111),ROW()+ROWS($G$2:$G$111))),ROW()-ROW($H$2:$H$111)+1),COLUMN($G$2:$G$111),4)))</f>
        <v/>
      </c>
      <c r="O36" s="114" t="str">
        <f t="array" aca="1" ref="O36" ca="1">IF(ROW()-ROW($I$2:$I$111)+1&gt;ROWS($H$2:$H$111)-COUNTBLANK($H$2:$H$111),"",INDIRECT(ADDRESS(SMALL((IF($H$2:$H$111&lt;&gt;"",ROW($H$2:$H$111),ROW()+ROWS($H$2:$H$111))),ROW()-ROW($I$2:$I$111)+1),COLUMN($H$2:$H$111),4)))</f>
        <v/>
      </c>
      <c r="P36" s="114" t="str">
        <f t="array" aca="1" ref="P36" ca="1">IF(ROW()-ROW($J$2:$J$111)+1&gt;ROWS($I$2:$I$111)-COUNTBLANK($I$2:$I$111),"",INDIRECT(ADDRESS(SMALL((IF($I$2:$I$111&lt;&gt;"",ROW($I$2:$I$111),ROW()+ROWS($I$2:$I$111))),ROW()-ROW($J$2:$J$111)+1),COLUMN($I$2:$I$111),4)))</f>
        <v/>
      </c>
    </row>
    <row r="37" spans="4:16" ht="12" thickBot="1" x14ac:dyDescent="0.3">
      <c r="D37" s="169" t="s">
        <v>18</v>
      </c>
      <c r="E37" s="182" t="str">
        <f>IF(H37="","","2019")</f>
        <v/>
      </c>
      <c r="F37" s="348"/>
      <c r="G37" s="348"/>
      <c r="H37" s="349"/>
      <c r="I37" s="350"/>
      <c r="J37" s="351"/>
      <c r="L37" s="51" t="str">
        <f t="array" aca="1" ref="L37" ca="1">IF(ROW()-ROW($F$2:$F$111)+1&gt;ROWS($E$2:$E$111)-COUNTBLANK($E$2:$E$111),"",INDIRECT(ADDRESS(SMALL((IF($E$2:$E$111&gt;"",ROW($E$2:$E$111),ROW()+ROWS($E$2:$E$111))),ROW()-ROW($F$2:$F$111)+1),COLUMN($E$2:$E$111),4)))</f>
        <v/>
      </c>
      <c r="M37" s="51" t="str">
        <f t="array" aca="1" ref="M37" ca="1">IF(ROW()-ROW($G$2:$G$111)+1&gt;ROWS($F$2:$F$111)-COUNTBLANK($F$2:$F$111),"",INDIRECT(ADDRESS(SMALL((IF($F$2:$F$111&lt;&gt;"",ROW($F$2:$F$111),ROW()+ROWS($F$2:$F$111))),ROW()-ROW($G$2:$G$111)+1),COLUMN($F$2:$F$111),4)))</f>
        <v/>
      </c>
      <c r="N37" s="51" t="str">
        <f t="array" aca="1" ref="N37" ca="1">IF(ROW()-ROW($H$2:$H$111)+1&gt;ROWS($G$2:$G$111)-COUNTBLANK($G$2:$G$111),"",INDIRECT(ADDRESS(SMALL((IF($G$2:$G$111&lt;&gt;"",ROW($G$2:$G$111),ROW()+ROWS($G$2:$G$111))),ROW()-ROW($H$2:$H$111)+1),COLUMN($G$2:$G$111),4)))</f>
        <v/>
      </c>
      <c r="O37" s="114" t="str">
        <f t="array" aca="1" ref="O37" ca="1">IF(ROW()-ROW($I$2:$I$111)+1&gt;ROWS($H$2:$H$111)-COUNTBLANK($H$2:$H$111),"",INDIRECT(ADDRESS(SMALL((IF($H$2:$H$111&lt;&gt;"",ROW($H$2:$H$111),ROW()+ROWS($H$2:$H$111))),ROW()-ROW($I$2:$I$111)+1),COLUMN($H$2:$H$111),4)))</f>
        <v/>
      </c>
      <c r="P37" s="114" t="str">
        <f t="array" aca="1" ref="P37" ca="1">IF(ROW()-ROW($J$2:$J$111)+1&gt;ROWS($I$2:$I$111)-COUNTBLANK($I$2:$I$111),"",INDIRECT(ADDRESS(SMALL((IF($I$2:$I$111&lt;&gt;"",ROW($I$2:$I$111),ROW()+ROWS($I$2:$I$111))),ROW()-ROW($J$2:$J$111)+1),COLUMN($I$2:$I$111),4)))</f>
        <v/>
      </c>
    </row>
    <row r="38" spans="4:16" x14ac:dyDescent="0.25">
      <c r="D38" s="121" t="s">
        <v>202</v>
      </c>
      <c r="E38" s="136" t="str">
        <f>IF(H38="","","2008")</f>
        <v/>
      </c>
      <c r="F38" s="137" t="str">
        <f>IF(H38="","","n")</f>
        <v/>
      </c>
      <c r="G38" s="137" t="str">
        <f t="shared" si="8"/>
        <v/>
      </c>
      <c r="H38" s="339" t="str">
        <f>IF(A2="relevant",IF(Matrix!N20&lt;Berechnung2!$G$37,Berechnung2!$L$37,""),"")</f>
        <v/>
      </c>
      <c r="I38" s="127" t="str">
        <f>IF(H38="","",VLOOKUP(F38,Berechnung2!$I$15:$J$25,2,FALSE))</f>
        <v/>
      </c>
      <c r="J38" s="126" t="str">
        <f t="shared" ref="J38:J59" si="10">IF(H38&lt;&gt;"",1,"")</f>
        <v/>
      </c>
      <c r="L38" s="51" t="str">
        <f t="array" aca="1" ref="L38" ca="1">IF(ROW()-ROW($F$2:$F$111)+1&gt;ROWS($E$2:$E$111)-COUNTBLANK($E$2:$E$111),"",INDIRECT(ADDRESS(SMALL((IF($E$2:$E$111&gt;"",ROW($E$2:$E$111),ROW()+ROWS($E$2:$E$111))),ROW()-ROW($F$2:$F$111)+1),COLUMN($E$2:$E$111),4)))</f>
        <v/>
      </c>
      <c r="M38" s="51" t="str">
        <f t="array" aca="1" ref="M38" ca="1">IF(ROW()-ROW($G$2:$G$111)+1&gt;ROWS($F$2:$F$111)-COUNTBLANK($F$2:$F$111),"",INDIRECT(ADDRESS(SMALL((IF($F$2:$F$111&lt;&gt;"",ROW($F$2:$F$111),ROW()+ROWS($F$2:$F$111))),ROW()-ROW($G$2:$G$111)+1),COLUMN($F$2:$F$111),4)))</f>
        <v/>
      </c>
      <c r="N38" s="51" t="str">
        <f t="array" aca="1" ref="N38" ca="1">IF(ROW()-ROW($H$2:$H$111)+1&gt;ROWS($G$2:$G$111)-COUNTBLANK($G$2:$G$111),"",INDIRECT(ADDRESS(SMALL((IF($G$2:$G$111&lt;&gt;"",ROW($G$2:$G$111),ROW()+ROWS($G$2:$G$111))),ROW()-ROW($H$2:$H$111)+1),COLUMN($G$2:$G$111),4)))</f>
        <v/>
      </c>
      <c r="O38" s="114" t="str">
        <f t="array" aca="1" ref="O38" ca="1">IF(ROW()-ROW($I$2:$I$111)+1&gt;ROWS($H$2:$H$111)-COUNTBLANK($H$2:$H$111),"",INDIRECT(ADDRESS(SMALL((IF($H$2:$H$111&lt;&gt;"",ROW($H$2:$H$111),ROW()+ROWS($H$2:$H$111))),ROW()-ROW($I$2:$I$111)+1),COLUMN($H$2:$H$111),4)))</f>
        <v/>
      </c>
      <c r="P38" s="114" t="str">
        <f t="array" aca="1" ref="P38" ca="1">IF(ROW()-ROW($J$2:$J$111)+1&gt;ROWS($I$2:$I$111)-COUNTBLANK($I$2:$I$111),"",INDIRECT(ADDRESS(SMALL((IF($I$2:$I$111&lt;&gt;"",ROW($I$2:$I$111),ROW()+ROWS($I$2:$I$111))),ROW()-ROW($J$2:$J$111)+1),COLUMN($I$2:$I$111),4)))</f>
        <v/>
      </c>
    </row>
    <row r="39" spans="4:16" x14ac:dyDescent="0.25">
      <c r="D39" s="896" t="s">
        <v>67</v>
      </c>
      <c r="E39" s="138" t="str">
        <f>IF(H39="","","2009")</f>
        <v/>
      </c>
      <c r="F39" s="139" t="str">
        <f t="shared" ref="F39:F47" si="11">IF(H39="","","n")</f>
        <v/>
      </c>
      <c r="G39" s="139" t="str">
        <f t="shared" si="8"/>
        <v/>
      </c>
      <c r="H39" s="124" t="str">
        <f>IF(A3="relevant",IF(Matrix!N21&lt;Berechnung2!$G$37,Berechnung2!$L$37,""),"")</f>
        <v/>
      </c>
      <c r="I39" s="114" t="str">
        <f>IF(H39="","",VLOOKUP(F39,Berechnung2!$I$15:$J$25,2,FALSE))</f>
        <v/>
      </c>
      <c r="J39" s="125" t="str">
        <f t="shared" si="10"/>
        <v/>
      </c>
      <c r="L39" s="51" t="str">
        <f t="array" aca="1" ref="L39" ca="1">IF(ROW()-ROW($F$2:$F$111)+1&gt;ROWS($E$2:$E$111)-COUNTBLANK($E$2:$E$111),"",INDIRECT(ADDRESS(SMALL((IF($E$2:$E$111&gt;"",ROW($E$2:$E$111),ROW()+ROWS($E$2:$E$111))),ROW()-ROW($F$2:$F$111)+1),COLUMN($E$2:$E$111),4)))</f>
        <v/>
      </c>
      <c r="M39" s="51" t="str">
        <f t="array" aca="1" ref="M39" ca="1">IF(ROW()-ROW($G$2:$G$111)+1&gt;ROWS($F$2:$F$111)-COUNTBLANK($F$2:$F$111),"",INDIRECT(ADDRESS(SMALL((IF($F$2:$F$111&lt;&gt;"",ROW($F$2:$F$111),ROW()+ROWS($F$2:$F$111))),ROW()-ROW($G$2:$G$111)+1),COLUMN($F$2:$F$111),4)))</f>
        <v/>
      </c>
      <c r="N39" s="51" t="str">
        <f t="array" aca="1" ref="N39" ca="1">IF(ROW()-ROW($H$2:$H$111)+1&gt;ROWS($G$2:$G$111)-COUNTBLANK($G$2:$G$111),"",INDIRECT(ADDRESS(SMALL((IF($G$2:$G$111&lt;&gt;"",ROW($G$2:$G$111),ROW()+ROWS($G$2:$G$111))),ROW()-ROW($H$2:$H$111)+1),COLUMN($G$2:$G$111),4)))</f>
        <v/>
      </c>
      <c r="O39" s="114" t="str">
        <f t="array" aca="1" ref="O39" ca="1">IF(ROW()-ROW($I$2:$I$111)+1&gt;ROWS($H$2:$H$111)-COUNTBLANK($H$2:$H$111),"",INDIRECT(ADDRESS(SMALL((IF($H$2:$H$111&lt;&gt;"",ROW($H$2:$H$111),ROW()+ROWS($H$2:$H$111))),ROW()-ROW($I$2:$I$111)+1),COLUMN($H$2:$H$111),4)))</f>
        <v/>
      </c>
      <c r="P39" s="114" t="str">
        <f t="array" aca="1" ref="P39" ca="1">IF(ROW()-ROW($J$2:$J$111)+1&gt;ROWS($I$2:$I$111)-COUNTBLANK($I$2:$I$111),"",INDIRECT(ADDRESS(SMALL((IF($I$2:$I$111&lt;&gt;"",ROW($I$2:$I$111),ROW()+ROWS($I$2:$I$111))),ROW()-ROW($J$2:$J$111)+1),COLUMN($I$2:$I$111),4)))</f>
        <v/>
      </c>
    </row>
    <row r="40" spans="4:16" x14ac:dyDescent="0.25">
      <c r="D40" s="896"/>
      <c r="E40" s="138" t="str">
        <f>IF(H40="","","2010")</f>
        <v/>
      </c>
      <c r="F40" s="139" t="str">
        <f t="shared" si="11"/>
        <v/>
      </c>
      <c r="G40" s="139" t="str">
        <f t="shared" si="8"/>
        <v/>
      </c>
      <c r="H40" s="124" t="str">
        <f>IF(A4="relevant",IF(Matrix!N22&lt;Berechnung2!$G$37,Berechnung2!$L$37,""),"")</f>
        <v/>
      </c>
      <c r="I40" s="114" t="str">
        <f>IF(H40="","",VLOOKUP(F40,Berechnung2!$I$15:$J$25,2,FALSE))</f>
        <v/>
      </c>
      <c r="J40" s="125" t="str">
        <f t="shared" si="10"/>
        <v/>
      </c>
      <c r="L40" s="51" t="str">
        <f t="array" aca="1" ref="L40" ca="1">IF(ROW()-ROW($F$2:$F$111)+1&gt;ROWS($E$2:$E$111)-COUNTBLANK($E$2:$E$111),"",INDIRECT(ADDRESS(SMALL((IF($E$2:$E$111&gt;"",ROW($E$2:$E$111),ROW()+ROWS($E$2:$E$111))),ROW()-ROW($F$2:$F$111)+1),COLUMN($E$2:$E$111),4)))</f>
        <v/>
      </c>
      <c r="M40" s="51" t="str">
        <f t="array" aca="1" ref="M40" ca="1">IF(ROW()-ROW($G$2:$G$111)+1&gt;ROWS($F$2:$F$111)-COUNTBLANK($F$2:$F$111),"",INDIRECT(ADDRESS(SMALL((IF($F$2:$F$111&lt;&gt;"",ROW($F$2:$F$111),ROW()+ROWS($F$2:$F$111))),ROW()-ROW($G$2:$G$111)+1),COLUMN($F$2:$F$111),4)))</f>
        <v/>
      </c>
      <c r="N40" s="51" t="str">
        <f t="array" aca="1" ref="N40" ca="1">IF(ROW()-ROW($H$2:$H$111)+1&gt;ROWS($G$2:$G$111)-COUNTBLANK($G$2:$G$111),"",INDIRECT(ADDRESS(SMALL((IF($G$2:$G$111&lt;&gt;"",ROW($G$2:$G$111),ROW()+ROWS($G$2:$G$111))),ROW()-ROW($H$2:$H$111)+1),COLUMN($G$2:$G$111),4)))</f>
        <v/>
      </c>
      <c r="O40" s="114" t="str">
        <f t="array" aca="1" ref="O40" ca="1">IF(ROW()-ROW($I$2:$I$111)+1&gt;ROWS($H$2:$H$111)-COUNTBLANK($H$2:$H$111),"",INDIRECT(ADDRESS(SMALL((IF($H$2:$H$111&lt;&gt;"",ROW($H$2:$H$111),ROW()+ROWS($H$2:$H$111))),ROW()-ROW($I$2:$I$111)+1),COLUMN($H$2:$H$111),4)))</f>
        <v/>
      </c>
      <c r="P40" s="114" t="str">
        <f t="array" aca="1" ref="P40" ca="1">IF(ROW()-ROW($J$2:$J$111)+1&gt;ROWS($I$2:$I$111)-COUNTBLANK($I$2:$I$111),"",INDIRECT(ADDRESS(SMALL((IF($I$2:$I$111&lt;&gt;"",ROW($I$2:$I$111),ROW()+ROWS($I$2:$I$111))),ROW()-ROW($J$2:$J$111)+1),COLUMN($I$2:$I$111),4)))</f>
        <v/>
      </c>
    </row>
    <row r="41" spans="4:16" x14ac:dyDescent="0.25">
      <c r="D41" s="896"/>
      <c r="E41" s="138" t="str">
        <f>IF(H41="","","2011")</f>
        <v/>
      </c>
      <c r="F41" s="139" t="str">
        <f t="shared" si="11"/>
        <v/>
      </c>
      <c r="G41" s="139" t="str">
        <f t="shared" si="8"/>
        <v/>
      </c>
      <c r="H41" s="124" t="str">
        <f>IF(A5="relevant",IF(Matrix!N23&lt;Berechnung2!$G$37,Berechnung2!$L$37,""),"")</f>
        <v/>
      </c>
      <c r="I41" s="114" t="str">
        <f>IF(H41="","",VLOOKUP(F41,Berechnung2!$I$15:$J$25,2,FALSE))</f>
        <v/>
      </c>
      <c r="J41" s="125" t="str">
        <f t="shared" si="10"/>
        <v/>
      </c>
      <c r="L41" s="51" t="str">
        <f t="array" aca="1" ref="L41" ca="1">IF(ROW()-ROW($F$2:$F$111)+1&gt;ROWS($E$2:$E$111)-COUNTBLANK($E$2:$E$111),"",INDIRECT(ADDRESS(SMALL((IF($E$2:$E$111&gt;"",ROW($E$2:$E$111),ROW()+ROWS($E$2:$E$111))),ROW()-ROW($F$2:$F$111)+1),COLUMN($E$2:$E$111),4)))</f>
        <v/>
      </c>
      <c r="M41" s="51" t="str">
        <f t="array" aca="1" ref="M41" ca="1">IF(ROW()-ROW($G$2:$G$111)+1&gt;ROWS($F$2:$F$111)-COUNTBLANK($F$2:$F$111),"",INDIRECT(ADDRESS(SMALL((IF($F$2:$F$111&lt;&gt;"",ROW($F$2:$F$111),ROW()+ROWS($F$2:$F$111))),ROW()-ROW($G$2:$G$111)+1),COLUMN($F$2:$F$111),4)))</f>
        <v/>
      </c>
      <c r="N41" s="51" t="str">
        <f t="array" aca="1" ref="N41" ca="1">IF(ROW()-ROW($H$2:$H$111)+1&gt;ROWS($G$2:$G$111)-COUNTBLANK($G$2:$G$111),"",INDIRECT(ADDRESS(SMALL((IF($G$2:$G$111&lt;&gt;"",ROW($G$2:$G$111),ROW()+ROWS($G$2:$G$111))),ROW()-ROW($H$2:$H$111)+1),COLUMN($G$2:$G$111),4)))</f>
        <v/>
      </c>
      <c r="O41" s="114" t="str">
        <f t="array" aca="1" ref="O41" ca="1">IF(ROW()-ROW($I$2:$I$111)+1&gt;ROWS($H$2:$H$111)-COUNTBLANK($H$2:$H$111),"",INDIRECT(ADDRESS(SMALL((IF($H$2:$H$111&lt;&gt;"",ROW($H$2:$H$111),ROW()+ROWS($H$2:$H$111))),ROW()-ROW($I$2:$I$111)+1),COLUMN($H$2:$H$111),4)))</f>
        <v/>
      </c>
      <c r="P41" s="114" t="str">
        <f t="array" aca="1" ref="P41" ca="1">IF(ROW()-ROW($J$2:$J$111)+1&gt;ROWS($I$2:$I$111)-COUNTBLANK($I$2:$I$111),"",INDIRECT(ADDRESS(SMALL((IF($I$2:$I$111&lt;&gt;"",ROW($I$2:$I$111),ROW()+ROWS($I$2:$I$111))),ROW()-ROW($J$2:$J$111)+1),COLUMN($I$2:$I$111),4)))</f>
        <v/>
      </c>
    </row>
    <row r="42" spans="4:16" x14ac:dyDescent="0.25">
      <c r="D42" s="896"/>
      <c r="E42" s="138" t="str">
        <f>IF(H42="","","2012")</f>
        <v/>
      </c>
      <c r="F42" s="139" t="str">
        <f t="shared" si="11"/>
        <v/>
      </c>
      <c r="G42" s="139" t="str">
        <f t="shared" si="8"/>
        <v/>
      </c>
      <c r="H42" s="124" t="str">
        <f>IF(A6="relevant",IF(Matrix!N24&lt;Berechnung2!$G$37,Berechnung2!$L$37,""),"")</f>
        <v/>
      </c>
      <c r="I42" s="114" t="str">
        <f>IF(H42="","",VLOOKUP(F42,Berechnung2!$I$15:$J$25,2,FALSE))</f>
        <v/>
      </c>
      <c r="J42" s="125" t="str">
        <f t="shared" si="10"/>
        <v/>
      </c>
      <c r="L42" s="51" t="str">
        <f t="array" aca="1" ref="L42" ca="1">IF(ROW()-ROW($F$2:$F$111)+1&gt;ROWS($E$2:$E$111)-COUNTBLANK($E$2:$E$111),"",INDIRECT(ADDRESS(SMALL((IF($E$2:$E$111&gt;"",ROW($E$2:$E$111),ROW()+ROWS($E$2:$E$111))),ROW()-ROW($F$2:$F$111)+1),COLUMN($E$2:$E$111),4)))</f>
        <v/>
      </c>
      <c r="M42" s="51" t="str">
        <f t="array" aca="1" ref="M42" ca="1">IF(ROW()-ROW($G$2:$G$111)+1&gt;ROWS($F$2:$F$111)-COUNTBLANK($F$2:$F$111),"",INDIRECT(ADDRESS(SMALL((IF($F$2:$F$111&lt;&gt;"",ROW($F$2:$F$111),ROW()+ROWS($F$2:$F$111))),ROW()-ROW($G$2:$G$111)+1),COLUMN($F$2:$F$111),4)))</f>
        <v/>
      </c>
      <c r="N42" s="51" t="str">
        <f t="array" aca="1" ref="N42" ca="1">IF(ROW()-ROW($H$2:$H$111)+1&gt;ROWS($G$2:$G$111)-COUNTBLANK($G$2:$G$111),"",INDIRECT(ADDRESS(SMALL((IF($G$2:$G$111&lt;&gt;"",ROW($G$2:$G$111),ROW()+ROWS($G$2:$G$111))),ROW()-ROW($H$2:$H$111)+1),COLUMN($G$2:$G$111),4)))</f>
        <v/>
      </c>
      <c r="O42" s="114" t="str">
        <f t="array" aca="1" ref="O42" ca="1">IF(ROW()-ROW($I$2:$I$111)+1&gt;ROWS($H$2:$H$111)-COUNTBLANK($H$2:$H$111),"",INDIRECT(ADDRESS(SMALL((IF($H$2:$H$111&lt;&gt;"",ROW($H$2:$H$111),ROW()+ROWS($H$2:$H$111))),ROW()-ROW($I$2:$I$111)+1),COLUMN($H$2:$H$111),4)))</f>
        <v/>
      </c>
      <c r="P42" s="114" t="str">
        <f t="array" aca="1" ref="P42" ca="1">IF(ROW()-ROW($J$2:$J$111)+1&gt;ROWS($I$2:$I$111)-COUNTBLANK($I$2:$I$111),"",INDIRECT(ADDRESS(SMALL((IF($I$2:$I$111&lt;&gt;"",ROW($I$2:$I$111),ROW()+ROWS($I$2:$I$111))),ROW()-ROW($J$2:$J$111)+1),COLUMN($I$2:$I$111),4)))</f>
        <v/>
      </c>
    </row>
    <row r="43" spans="4:16" x14ac:dyDescent="0.25">
      <c r="D43" s="896"/>
      <c r="E43" s="138" t="str">
        <f>IF(H43="","","2013")</f>
        <v/>
      </c>
      <c r="F43" s="139" t="str">
        <f t="shared" si="11"/>
        <v/>
      </c>
      <c r="G43" s="139" t="str">
        <f t="shared" si="8"/>
        <v/>
      </c>
      <c r="H43" s="124" t="str">
        <f>IF(A7="relevant",IF(Matrix!N25&lt;Berechnung2!$G$37,Berechnung2!$L$37,""),"")</f>
        <v/>
      </c>
      <c r="I43" s="114" t="str">
        <f>IF(H43="","",VLOOKUP(F43,Berechnung2!$I$15:$J$25,2,FALSE))</f>
        <v/>
      </c>
      <c r="J43" s="125" t="str">
        <f t="shared" si="10"/>
        <v/>
      </c>
      <c r="L43" s="51" t="str">
        <f t="array" aca="1" ref="L43" ca="1">IF(ROW()-ROW($F$2:$F$111)+1&gt;ROWS($E$2:$E$111)-COUNTBLANK($E$2:$E$111),"",INDIRECT(ADDRESS(SMALL((IF($E$2:$E$111&gt;"",ROW($E$2:$E$111),ROW()+ROWS($E$2:$E$111))),ROW()-ROW($F$2:$F$111)+1),COLUMN($E$2:$E$111),4)))</f>
        <v/>
      </c>
      <c r="M43" s="51" t="str">
        <f t="array" aca="1" ref="M43" ca="1">IF(ROW()-ROW($G$2:$G$111)+1&gt;ROWS($F$2:$F$111)-COUNTBLANK($F$2:$F$111),"",INDIRECT(ADDRESS(SMALL((IF($F$2:$F$111&lt;&gt;"",ROW($F$2:$F$111),ROW()+ROWS($F$2:$F$111))),ROW()-ROW($G$2:$G$111)+1),COLUMN($F$2:$F$111),4)))</f>
        <v/>
      </c>
      <c r="N43" s="51" t="str">
        <f t="array" aca="1" ref="N43" ca="1">IF(ROW()-ROW($H$2:$H$111)+1&gt;ROWS($G$2:$G$111)-COUNTBLANK($G$2:$G$111),"",INDIRECT(ADDRESS(SMALL((IF($G$2:$G$111&lt;&gt;"",ROW($G$2:$G$111),ROW()+ROWS($G$2:$G$111))),ROW()-ROW($H$2:$H$111)+1),COLUMN($G$2:$G$111),4)))</f>
        <v/>
      </c>
      <c r="O43" s="114" t="str">
        <f t="array" aca="1" ref="O43" ca="1">IF(ROW()-ROW($I$2:$I$111)+1&gt;ROWS($H$2:$H$111)-COUNTBLANK($H$2:$H$111),"",INDIRECT(ADDRESS(SMALL((IF($H$2:$H$111&lt;&gt;"",ROW($H$2:$H$111),ROW()+ROWS($H$2:$H$111))),ROW()-ROW($I$2:$I$111)+1),COLUMN($H$2:$H$111),4)))</f>
        <v/>
      </c>
      <c r="P43" s="114" t="str">
        <f t="array" aca="1" ref="P43" ca="1">IF(ROW()-ROW($J$2:$J$111)+1&gt;ROWS($I$2:$I$111)-COUNTBLANK($I$2:$I$111),"",INDIRECT(ADDRESS(SMALL((IF($I$2:$I$111&lt;&gt;"",ROW($I$2:$I$111),ROW()+ROWS($I$2:$I$111))),ROW()-ROW($J$2:$J$111)+1),COLUMN($I$2:$I$111),4)))</f>
        <v/>
      </c>
    </row>
    <row r="44" spans="4:16" x14ac:dyDescent="0.25">
      <c r="D44" s="896"/>
      <c r="E44" s="138" t="str">
        <f>IF(H44="","","2014")</f>
        <v/>
      </c>
      <c r="F44" s="139" t="str">
        <f t="shared" si="11"/>
        <v/>
      </c>
      <c r="G44" s="139" t="str">
        <f t="shared" si="8"/>
        <v/>
      </c>
      <c r="H44" s="124" t="str">
        <f>IF(A8="relevant",IF(Matrix!N26&lt;Berechnung2!$G$37,Berechnung2!$L$37,""),"")</f>
        <v/>
      </c>
      <c r="I44" s="114" t="str">
        <f>IF(H44="","",VLOOKUP(F44,Berechnung2!$I$15:$J$25,2,FALSE))</f>
        <v/>
      </c>
      <c r="J44" s="125" t="str">
        <f t="shared" si="10"/>
        <v/>
      </c>
      <c r="L44" s="51" t="str">
        <f t="array" aca="1" ref="L44" ca="1">IF(ROW()-ROW($F$2:$F$111)+1&gt;ROWS($E$2:$E$111)-COUNTBLANK($E$2:$E$111),"",INDIRECT(ADDRESS(SMALL((IF($E$2:$E$111&gt;"",ROW($E$2:$E$111),ROW()+ROWS($E$2:$E$111))),ROW()-ROW($F$2:$F$111)+1),COLUMN($E$2:$E$111),4)))</f>
        <v/>
      </c>
      <c r="M44" s="51" t="str">
        <f t="array" aca="1" ref="M44" ca="1">IF(ROW()-ROW($G$2:$G$111)+1&gt;ROWS($F$2:$F$111)-COUNTBLANK($F$2:$F$111),"",INDIRECT(ADDRESS(SMALL((IF($F$2:$F$111&lt;&gt;"",ROW($F$2:$F$111),ROW()+ROWS($F$2:$F$111))),ROW()-ROW($G$2:$G$111)+1),COLUMN($F$2:$F$111),4)))</f>
        <v/>
      </c>
      <c r="N44" s="51" t="str">
        <f t="array" aca="1" ref="N44" ca="1">IF(ROW()-ROW($H$2:$H$111)+1&gt;ROWS($G$2:$G$111)-COUNTBLANK($G$2:$G$111),"",INDIRECT(ADDRESS(SMALL((IF($G$2:$G$111&lt;&gt;"",ROW($G$2:$G$111),ROW()+ROWS($G$2:$G$111))),ROW()-ROW($H$2:$H$111)+1),COLUMN($G$2:$G$111),4)))</f>
        <v/>
      </c>
      <c r="O44" s="114" t="str">
        <f t="array" aca="1" ref="O44" ca="1">IF(ROW()-ROW($I$2:$I$111)+1&gt;ROWS($H$2:$H$111)-COUNTBLANK($H$2:$H$111),"",INDIRECT(ADDRESS(SMALL((IF($H$2:$H$111&lt;&gt;"",ROW($H$2:$H$111),ROW()+ROWS($H$2:$H$111))),ROW()-ROW($I$2:$I$111)+1),COLUMN($H$2:$H$111),4)))</f>
        <v/>
      </c>
      <c r="P44" s="114" t="str">
        <f t="array" aca="1" ref="P44" ca="1">IF(ROW()-ROW($J$2:$J$111)+1&gt;ROWS($I$2:$I$111)-COUNTBLANK($I$2:$I$111),"",INDIRECT(ADDRESS(SMALL((IF($I$2:$I$111&lt;&gt;"",ROW($I$2:$I$111),ROW()+ROWS($I$2:$I$111))),ROW()-ROW($J$2:$J$111)+1),COLUMN($I$2:$I$111),4)))</f>
        <v/>
      </c>
    </row>
    <row r="45" spans="4:16" x14ac:dyDescent="0.25">
      <c r="D45" s="896"/>
      <c r="E45" s="138" t="str">
        <f>IF(H45="","","2015")</f>
        <v/>
      </c>
      <c r="F45" s="139" t="str">
        <f t="shared" si="11"/>
        <v/>
      </c>
      <c r="G45" s="139" t="str">
        <f t="shared" si="8"/>
        <v/>
      </c>
      <c r="H45" s="124" t="str">
        <f>IF(A9="relevant",IF(Matrix!N27&lt;Berechnung2!$G$37,Berechnung2!$L$37,""),"")</f>
        <v/>
      </c>
      <c r="I45" s="114" t="str">
        <f>IF(H45="","",VLOOKUP(F45,Berechnung2!$I$15:$J$25,2,FALSE))</f>
        <v/>
      </c>
      <c r="J45" s="125" t="str">
        <f t="shared" si="10"/>
        <v/>
      </c>
      <c r="L45" s="51" t="str">
        <f t="array" aca="1" ref="L45" ca="1">IF(ROW()-ROW($F$2:$F$111)+1&gt;ROWS($E$2:$E$111)-COUNTBLANK($E$2:$E$111),"",INDIRECT(ADDRESS(SMALL((IF($E$2:$E$111&gt;"",ROW($E$2:$E$111),ROW()+ROWS($E$2:$E$111))),ROW()-ROW($F$2:$F$111)+1),COLUMN($E$2:$E$111),4)))</f>
        <v/>
      </c>
      <c r="M45" s="51" t="str">
        <f t="array" aca="1" ref="M45" ca="1">IF(ROW()-ROW($G$2:$G$111)+1&gt;ROWS($F$2:$F$111)-COUNTBLANK($F$2:$F$111),"",INDIRECT(ADDRESS(SMALL((IF($F$2:$F$111&lt;&gt;"",ROW($F$2:$F$111),ROW()+ROWS($F$2:$F$111))),ROW()-ROW($G$2:$G$111)+1),COLUMN($F$2:$F$111),4)))</f>
        <v/>
      </c>
      <c r="N45" s="51" t="str">
        <f t="array" aca="1" ref="N45" ca="1">IF(ROW()-ROW($H$2:$H$111)+1&gt;ROWS($G$2:$G$111)-COUNTBLANK($G$2:$G$111),"",INDIRECT(ADDRESS(SMALL((IF($G$2:$G$111&lt;&gt;"",ROW($G$2:$G$111),ROW()+ROWS($G$2:$G$111))),ROW()-ROW($H$2:$H$111)+1),COLUMN($G$2:$G$111),4)))</f>
        <v/>
      </c>
      <c r="O45" s="114" t="str">
        <f t="array" aca="1" ref="O45" ca="1">IF(ROW()-ROW($I$2:$I$111)+1&gt;ROWS($H$2:$H$111)-COUNTBLANK($H$2:$H$111),"",INDIRECT(ADDRESS(SMALL((IF($H$2:$H$111&lt;&gt;"",ROW($H$2:$H$111),ROW()+ROWS($H$2:$H$111))),ROW()-ROW($I$2:$I$111)+1),COLUMN($H$2:$H$111),4)))</f>
        <v/>
      </c>
      <c r="P45" s="114" t="str">
        <f t="array" aca="1" ref="P45" ca="1">IF(ROW()-ROW($J$2:$J$111)+1&gt;ROWS($I$2:$I$111)-COUNTBLANK($I$2:$I$111),"",INDIRECT(ADDRESS(SMALL((IF($I$2:$I$111&lt;&gt;"",ROW($I$2:$I$111),ROW()+ROWS($I$2:$I$111))),ROW()-ROW($J$2:$J$111)+1),COLUMN($I$2:$I$111),4)))</f>
        <v/>
      </c>
    </row>
    <row r="46" spans="4:16" x14ac:dyDescent="0.25">
      <c r="D46" s="896"/>
      <c r="E46" s="138" t="str">
        <f>IF(H46="","","2016")</f>
        <v/>
      </c>
      <c r="F46" s="139" t="str">
        <f t="shared" si="11"/>
        <v/>
      </c>
      <c r="G46" s="139" t="str">
        <f t="shared" si="8"/>
        <v/>
      </c>
      <c r="H46" s="124" t="str">
        <f>IF(A10="relevant",IF(Matrix!N28&lt;Berechnung2!$G$37,Berechnung2!$L$37,""),"")</f>
        <v/>
      </c>
      <c r="I46" s="114" t="str">
        <f>IF(H46="","",VLOOKUP(F46,Berechnung2!$I$15:$J$25,2,FALSE))</f>
        <v/>
      </c>
      <c r="J46" s="125" t="str">
        <f t="shared" si="10"/>
        <v/>
      </c>
      <c r="L46" s="51" t="str">
        <f t="array" aca="1" ref="L46" ca="1">IF(ROW()-ROW($F$2:$F$111)+1&gt;ROWS($E$2:$E$111)-COUNTBLANK($E$2:$E$111),"",INDIRECT(ADDRESS(SMALL((IF($E$2:$E$111&gt;"",ROW($E$2:$E$111),ROW()+ROWS($E$2:$E$111))),ROW()-ROW($F$2:$F$111)+1),COLUMN($E$2:$E$111),4)))</f>
        <v/>
      </c>
      <c r="M46" s="51" t="str">
        <f t="array" aca="1" ref="M46" ca="1">IF(ROW()-ROW($G$2:$G$111)+1&gt;ROWS($F$2:$F$111)-COUNTBLANK($F$2:$F$111),"",INDIRECT(ADDRESS(SMALL((IF($F$2:$F$111&lt;&gt;"",ROW($F$2:$F$111),ROW()+ROWS($F$2:$F$111))),ROW()-ROW($G$2:$G$111)+1),COLUMN($F$2:$F$111),4)))</f>
        <v/>
      </c>
      <c r="N46" s="51" t="str">
        <f t="array" aca="1" ref="N46" ca="1">IF(ROW()-ROW($H$2:$H$111)+1&gt;ROWS($G$2:$G$111)-COUNTBLANK($G$2:$G$111),"",INDIRECT(ADDRESS(SMALL((IF($G$2:$G$111&lt;&gt;"",ROW($G$2:$G$111),ROW()+ROWS($G$2:$G$111))),ROW()-ROW($H$2:$H$111)+1),COLUMN($G$2:$G$111),4)))</f>
        <v/>
      </c>
      <c r="O46" s="114" t="str">
        <f t="array" aca="1" ref="O46" ca="1">IF(ROW()-ROW($I$2:$I$111)+1&gt;ROWS($H$2:$H$111)-COUNTBLANK($H$2:$H$111),"",INDIRECT(ADDRESS(SMALL((IF($H$2:$H$111&lt;&gt;"",ROW($H$2:$H$111),ROW()+ROWS($H$2:$H$111))),ROW()-ROW($I$2:$I$111)+1),COLUMN($H$2:$H$111),4)))</f>
        <v/>
      </c>
      <c r="P46" s="114" t="str">
        <f t="array" aca="1" ref="P46" ca="1">IF(ROW()-ROW($J$2:$J$111)+1&gt;ROWS($I$2:$I$111)-COUNTBLANK($I$2:$I$111),"",INDIRECT(ADDRESS(SMALL((IF($I$2:$I$111&lt;&gt;"",ROW($I$2:$I$111),ROW()+ROWS($I$2:$I$111))),ROW()-ROW($J$2:$J$111)+1),COLUMN($I$2:$I$111),4)))</f>
        <v/>
      </c>
    </row>
    <row r="47" spans="4:16" x14ac:dyDescent="0.25">
      <c r="D47" s="896"/>
      <c r="E47" s="138" t="str">
        <f>IF(H47="","","2017")</f>
        <v/>
      </c>
      <c r="F47" s="139" t="str">
        <f t="shared" si="11"/>
        <v/>
      </c>
      <c r="G47" s="139" t="str">
        <f t="shared" si="8"/>
        <v/>
      </c>
      <c r="H47" s="124" t="str">
        <f>IF(A11="relevant",IF(Matrix!N29&lt;Berechnung2!$G$37,Berechnung2!$L$37,""),"")</f>
        <v/>
      </c>
      <c r="I47" s="114" t="str">
        <f>IF(H47="","",VLOOKUP(F47,Berechnung2!$I$15:$J$25,2,FALSE))</f>
        <v/>
      </c>
      <c r="J47" s="125" t="str">
        <f t="shared" si="10"/>
        <v/>
      </c>
      <c r="L47" s="51" t="str">
        <f t="array" aca="1" ref="L47" ca="1">IF(ROW()-ROW($F$2:$F$111)+1&gt;ROWS($E$2:$E$111)-COUNTBLANK($E$2:$E$111),"",INDIRECT(ADDRESS(SMALL((IF($E$2:$E$111&gt;"",ROW($E$2:$E$111),ROW()+ROWS($E$2:$E$111))),ROW()-ROW($F$2:$F$111)+1),COLUMN($E$2:$E$111),4)))</f>
        <v/>
      </c>
      <c r="M47" s="51" t="str">
        <f t="array" aca="1" ref="M47" ca="1">IF(ROW()-ROW($G$2:$G$111)+1&gt;ROWS($F$2:$F$111)-COUNTBLANK($F$2:$F$111),"",INDIRECT(ADDRESS(SMALL((IF($F$2:$F$111&lt;&gt;"",ROW($F$2:$F$111),ROW()+ROWS($F$2:$F$111))),ROW()-ROW($G$2:$G$111)+1),COLUMN($F$2:$F$111),4)))</f>
        <v/>
      </c>
      <c r="N47" s="51" t="str">
        <f t="array" aca="1" ref="N47" ca="1">IF(ROW()-ROW($H$2:$H$111)+1&gt;ROWS($G$2:$G$111)-COUNTBLANK($G$2:$G$111),"",INDIRECT(ADDRESS(SMALL((IF($G$2:$G$111&lt;&gt;"",ROW($G$2:$G$111),ROW()+ROWS($G$2:$G$111))),ROW()-ROW($H$2:$H$111)+1),COLUMN($G$2:$G$111),4)))</f>
        <v/>
      </c>
      <c r="O47" s="114" t="str">
        <f t="array" aca="1" ref="O47" ca="1">IF(ROW()-ROW($I$2:$I$111)+1&gt;ROWS($H$2:$H$111)-COUNTBLANK($H$2:$H$111),"",INDIRECT(ADDRESS(SMALL((IF($H$2:$H$111&lt;&gt;"",ROW($H$2:$H$111),ROW()+ROWS($H$2:$H$111))),ROW()-ROW($I$2:$I$111)+1),COLUMN($H$2:$H$111),4)))</f>
        <v/>
      </c>
      <c r="P47" s="114" t="str">
        <f t="array" aca="1" ref="P47" ca="1">IF(ROW()-ROW($J$2:$J$111)+1&gt;ROWS($I$2:$I$111)-COUNTBLANK($I$2:$I$111),"",INDIRECT(ADDRESS(SMALL((IF($I$2:$I$111&lt;&gt;"",ROW($I$2:$I$111),ROW()+ROWS($I$2:$I$111))),ROW()-ROW($J$2:$J$111)+1),COLUMN($I$2:$I$111),4)))</f>
        <v/>
      </c>
    </row>
    <row r="48" spans="4:16" x14ac:dyDescent="0.25">
      <c r="D48" s="169"/>
      <c r="E48" s="138" t="str">
        <f>IF(H48="","","2018")</f>
        <v/>
      </c>
      <c r="F48" s="344"/>
      <c r="G48" s="344"/>
      <c r="H48" s="345"/>
      <c r="I48" s="346"/>
      <c r="J48" s="347"/>
      <c r="L48" s="51" t="str">
        <f t="array" aca="1" ref="L48" ca="1">IF(ROW()-ROW($F$2:$F$111)+1&gt;ROWS($E$2:$E$111)-COUNTBLANK($E$2:$E$111),"",INDIRECT(ADDRESS(SMALL((IF($E$2:$E$111&gt;"",ROW($E$2:$E$111),ROW()+ROWS($E$2:$E$111))),ROW()-ROW($F$2:$F$111)+1),COLUMN($E$2:$E$111),4)))</f>
        <v/>
      </c>
      <c r="M48" s="51" t="str">
        <f t="array" aca="1" ref="M48" ca="1">IF(ROW()-ROW($G$2:$G$111)+1&gt;ROWS($F$2:$F$111)-COUNTBLANK($F$2:$F$111),"",INDIRECT(ADDRESS(SMALL((IF($F$2:$F$111&lt;&gt;"",ROW($F$2:$F$111),ROW()+ROWS($F$2:$F$111))),ROW()-ROW($G$2:$G$111)+1),COLUMN($F$2:$F$111),4)))</f>
        <v/>
      </c>
      <c r="N48" s="51" t="str">
        <f t="array" aca="1" ref="N48" ca="1">IF(ROW()-ROW($H$2:$H$111)+1&gt;ROWS($G$2:$G$111)-COUNTBLANK($G$2:$G$111),"",INDIRECT(ADDRESS(SMALL((IF($G$2:$G$111&lt;&gt;"",ROW($G$2:$G$111),ROW()+ROWS($G$2:$G$111))),ROW()-ROW($H$2:$H$111)+1),COLUMN($G$2:$G$111),4)))</f>
        <v/>
      </c>
      <c r="O48" s="114" t="str">
        <f t="array" aca="1" ref="O48" ca="1">IF(ROW()-ROW($I$2:$I$111)+1&gt;ROWS($H$2:$H$111)-COUNTBLANK($H$2:$H$111),"",INDIRECT(ADDRESS(SMALL((IF($H$2:$H$111&lt;&gt;"",ROW($H$2:$H$111),ROW()+ROWS($H$2:$H$111))),ROW()-ROW($I$2:$I$111)+1),COLUMN($H$2:$H$111),4)))</f>
        <v/>
      </c>
      <c r="P48" s="114" t="str">
        <f t="array" aca="1" ref="P48" ca="1">IF(ROW()-ROW($J$2:$J$111)+1&gt;ROWS($I$2:$I$111)-COUNTBLANK($I$2:$I$111),"",INDIRECT(ADDRESS(SMALL((IF($I$2:$I$111&lt;&gt;"",ROW($I$2:$I$111),ROW()+ROWS($I$2:$I$111))),ROW()-ROW($J$2:$J$111)+1),COLUMN($I$2:$I$111),4)))</f>
        <v/>
      </c>
    </row>
    <row r="49" spans="4:16" ht="12" thickBot="1" x14ac:dyDescent="0.3">
      <c r="D49" s="170" t="s">
        <v>75</v>
      </c>
      <c r="E49" s="140" t="str">
        <f>IF(H49="","","2019")</f>
        <v/>
      </c>
      <c r="F49" s="340"/>
      <c r="G49" s="340"/>
      <c r="H49" s="349"/>
      <c r="I49" s="342"/>
      <c r="J49" s="343"/>
      <c r="L49" s="51" t="str">
        <f t="array" aca="1" ref="L49" ca="1">IF(ROW()-ROW($F$2:$F$111)+1&gt;ROWS($E$2:$E$111)-COUNTBLANK($E$2:$E$111),"",INDIRECT(ADDRESS(SMALL((IF($E$2:$E$111&gt;"",ROW($E$2:$E$111),ROW()+ROWS($E$2:$E$111))),ROW()-ROW($F$2:$F$111)+1),COLUMN($E$2:$E$111),4)))</f>
        <v/>
      </c>
      <c r="M49" s="51" t="str">
        <f t="array" aca="1" ref="M49" ca="1">IF(ROW()-ROW($G$2:$G$111)+1&gt;ROWS($F$2:$F$111)-COUNTBLANK($F$2:$F$111),"",INDIRECT(ADDRESS(SMALL((IF($F$2:$F$111&lt;&gt;"",ROW($F$2:$F$111),ROW()+ROWS($F$2:$F$111))),ROW()-ROW($G$2:$G$111)+1),COLUMN($F$2:$F$111),4)))</f>
        <v/>
      </c>
      <c r="N49" s="51" t="str">
        <f t="array" aca="1" ref="N49" ca="1">IF(ROW()-ROW($H$2:$H$111)+1&gt;ROWS($G$2:$G$111)-COUNTBLANK($G$2:$G$111),"",INDIRECT(ADDRESS(SMALL((IF($G$2:$G$111&lt;&gt;"",ROW($G$2:$G$111),ROW()+ROWS($G$2:$G$111))),ROW()-ROW($H$2:$H$111)+1),COLUMN($G$2:$G$111),4)))</f>
        <v/>
      </c>
      <c r="O49" s="114" t="str">
        <f t="array" aca="1" ref="O49" ca="1">IF(ROW()-ROW($I$2:$I$111)+1&gt;ROWS($H$2:$H$111)-COUNTBLANK($H$2:$H$111),"",INDIRECT(ADDRESS(SMALL((IF($H$2:$H$111&lt;&gt;"",ROW($H$2:$H$111),ROW()+ROWS($H$2:$H$111))),ROW()-ROW($I$2:$I$111)+1),COLUMN($H$2:$H$111),4)))</f>
        <v/>
      </c>
      <c r="P49" s="114" t="str">
        <f t="array" aca="1" ref="P49" ca="1">IF(ROW()-ROW($J$2:$J$111)+1&gt;ROWS($I$2:$I$111)-COUNTBLANK($I$2:$I$111),"",INDIRECT(ADDRESS(SMALL((IF($I$2:$I$111&lt;&gt;"",ROW($I$2:$I$111),ROW()+ROWS($I$2:$I$111))),ROW()-ROW($J$2:$J$111)+1),COLUMN($I$2:$I$111),4)))</f>
        <v/>
      </c>
    </row>
    <row r="50" spans="4:16" x14ac:dyDescent="0.25">
      <c r="D50" s="121" t="s">
        <v>202</v>
      </c>
      <c r="E50" s="136" t="str">
        <f>IF(H50="","","2008")</f>
        <v/>
      </c>
      <c r="F50" s="137" t="str">
        <f>IF(H50="","","o")</f>
        <v/>
      </c>
      <c r="G50" s="137" t="str">
        <f t="shared" si="8"/>
        <v/>
      </c>
      <c r="H50" s="339" t="str">
        <f>IF(A2="relevant",IF(Matrix!Q20&lt;Berechnung2!$G$38,Berechnung2!$L$38,""),"")</f>
        <v/>
      </c>
      <c r="I50" s="127" t="str">
        <f>IF(H50="","",VLOOKUP(F50,Berechnung2!$I$15:$J$25,2,FALSE))</f>
        <v/>
      </c>
      <c r="J50" s="126" t="str">
        <f t="shared" si="10"/>
        <v/>
      </c>
      <c r="L50" s="51" t="str">
        <f t="array" aca="1" ref="L50" ca="1">IF(ROW()-ROW($F$2:$F$111)+1&gt;ROWS($E$2:$E$111)-COUNTBLANK($E$2:$E$111),"",INDIRECT(ADDRESS(SMALL((IF($E$2:$E$111&gt;"",ROW($E$2:$E$111),ROW()+ROWS($E$2:$E$111))),ROW()-ROW($F$2:$F$111)+1),COLUMN($E$2:$E$111),4)))</f>
        <v/>
      </c>
      <c r="M50" s="51" t="str">
        <f t="array" aca="1" ref="M50" ca="1">IF(ROW()-ROW($G$2:$G$111)+1&gt;ROWS($F$2:$F$111)-COUNTBLANK($F$2:$F$111),"",INDIRECT(ADDRESS(SMALL((IF($F$2:$F$111&lt;&gt;"",ROW($F$2:$F$111),ROW()+ROWS($F$2:$F$111))),ROW()-ROW($G$2:$G$111)+1),COLUMN($F$2:$F$111),4)))</f>
        <v/>
      </c>
      <c r="N50" s="51" t="str">
        <f t="array" aca="1" ref="N50" ca="1">IF(ROW()-ROW($H$2:$H$111)+1&gt;ROWS($G$2:$G$111)-COUNTBLANK($G$2:$G$111),"",INDIRECT(ADDRESS(SMALL((IF($G$2:$G$111&lt;&gt;"",ROW($G$2:$G$111),ROW()+ROWS($G$2:$G$111))),ROW()-ROW($H$2:$H$111)+1),COLUMN($G$2:$G$111),4)))</f>
        <v/>
      </c>
      <c r="O50" s="114" t="str">
        <f t="array" aca="1" ref="O50" ca="1">IF(ROW()-ROW($I$2:$I$111)+1&gt;ROWS($H$2:$H$111)-COUNTBLANK($H$2:$H$111),"",INDIRECT(ADDRESS(SMALL((IF($H$2:$H$111&lt;&gt;"",ROW($H$2:$H$111),ROW()+ROWS($H$2:$H$111))),ROW()-ROW($I$2:$I$111)+1),COLUMN($H$2:$H$111),4)))</f>
        <v/>
      </c>
      <c r="P50" s="114" t="str">
        <f t="array" aca="1" ref="P50" ca="1">IF(ROW()-ROW($J$2:$J$111)+1&gt;ROWS($I$2:$I$111)-COUNTBLANK($I$2:$I$111),"",INDIRECT(ADDRESS(SMALL((IF($I$2:$I$111&lt;&gt;"",ROW($I$2:$I$111),ROW()+ROWS($I$2:$I$111))),ROW()-ROW($J$2:$J$111)+1),COLUMN($I$2:$I$111),4)))</f>
        <v/>
      </c>
    </row>
    <row r="51" spans="4:16" x14ac:dyDescent="0.25">
      <c r="D51" s="896" t="s">
        <v>68</v>
      </c>
      <c r="E51" s="138" t="str">
        <f>IF(H51="","","2009")</f>
        <v/>
      </c>
      <c r="F51" s="139" t="str">
        <f t="shared" ref="F51:F59" si="12">IF(H51="","","o")</f>
        <v/>
      </c>
      <c r="G51" s="139" t="str">
        <f t="shared" si="8"/>
        <v/>
      </c>
      <c r="H51" s="124" t="str">
        <f>IF(A3="relevant",IF(Matrix!Q21&lt;Berechnung2!$G$38,Berechnung2!$L$38,""),"")</f>
        <v/>
      </c>
      <c r="I51" s="114" t="str">
        <f>IF(H51="","",VLOOKUP(F51,Berechnung2!$I$15:$J$25,2,FALSE))</f>
        <v/>
      </c>
      <c r="J51" s="125" t="str">
        <f t="shared" si="10"/>
        <v/>
      </c>
      <c r="L51" s="51" t="str">
        <f t="array" aca="1" ref="L51" ca="1">IF(ROW()-ROW($F$2:$F$111)+1&gt;ROWS($E$2:$E$111)-COUNTBLANK($E$2:$E$111),"",INDIRECT(ADDRESS(SMALL((IF($E$2:$E$111&gt;"",ROW($E$2:$E$111),ROW()+ROWS($E$2:$E$111))),ROW()-ROW($F$2:$F$111)+1),COLUMN($E$2:$E$111),4)))</f>
        <v/>
      </c>
      <c r="M51" s="51" t="str">
        <f t="array" aca="1" ref="M51" ca="1">IF(ROW()-ROW($G$2:$G$111)+1&gt;ROWS($F$2:$F$111)-COUNTBLANK($F$2:$F$111),"",INDIRECT(ADDRESS(SMALL((IF($F$2:$F$111&lt;&gt;"",ROW($F$2:$F$111),ROW()+ROWS($F$2:$F$111))),ROW()-ROW($G$2:$G$111)+1),COLUMN($F$2:$F$111),4)))</f>
        <v/>
      </c>
      <c r="N51" s="51" t="str">
        <f t="array" aca="1" ref="N51" ca="1">IF(ROW()-ROW($H$2:$H$111)+1&gt;ROWS($G$2:$G$111)-COUNTBLANK($G$2:$G$111),"",INDIRECT(ADDRESS(SMALL((IF($G$2:$G$111&lt;&gt;"",ROW($G$2:$G$111),ROW()+ROWS($G$2:$G$111))),ROW()-ROW($H$2:$H$111)+1),COLUMN($G$2:$G$111),4)))</f>
        <v/>
      </c>
      <c r="O51" s="114" t="str">
        <f t="array" aca="1" ref="O51" ca="1">IF(ROW()-ROW($I$2:$I$111)+1&gt;ROWS($H$2:$H$111)-COUNTBLANK($H$2:$H$111),"",INDIRECT(ADDRESS(SMALL((IF($H$2:$H$111&lt;&gt;"",ROW($H$2:$H$111),ROW()+ROWS($H$2:$H$111))),ROW()-ROW($I$2:$I$111)+1),COLUMN($H$2:$H$111),4)))</f>
        <v/>
      </c>
      <c r="P51" s="114" t="str">
        <f t="array" aca="1" ref="P51" ca="1">IF(ROW()-ROW($J$2:$J$111)+1&gt;ROWS($I$2:$I$111)-COUNTBLANK($I$2:$I$111),"",INDIRECT(ADDRESS(SMALL((IF($I$2:$I$111&lt;&gt;"",ROW($I$2:$I$111),ROW()+ROWS($I$2:$I$111))),ROW()-ROW($J$2:$J$111)+1),COLUMN($I$2:$I$111),4)))</f>
        <v/>
      </c>
    </row>
    <row r="52" spans="4:16" x14ac:dyDescent="0.25">
      <c r="D52" s="896"/>
      <c r="E52" s="138" t="str">
        <f>IF(H52="","","2010")</f>
        <v/>
      </c>
      <c r="F52" s="139" t="str">
        <f t="shared" si="12"/>
        <v/>
      </c>
      <c r="G52" s="139" t="str">
        <f t="shared" si="8"/>
        <v/>
      </c>
      <c r="H52" s="124" t="str">
        <f>IF(A4="relevant",IF(Matrix!Q22&lt;Berechnung2!$G$38,Berechnung2!$L$38,""),"")</f>
        <v/>
      </c>
      <c r="I52" s="114" t="str">
        <f>IF(H52="","",VLOOKUP(F52,Berechnung2!$I$15:$J$25,2,FALSE))</f>
        <v/>
      </c>
      <c r="J52" s="125" t="str">
        <f t="shared" si="10"/>
        <v/>
      </c>
      <c r="L52" s="51" t="str">
        <f t="array" aca="1" ref="L52" ca="1">IF(ROW()-ROW($F$2:$F$111)+1&gt;ROWS($E$2:$E$111)-COUNTBLANK($E$2:$E$111),"",INDIRECT(ADDRESS(SMALL((IF($E$2:$E$111&gt;"",ROW($E$2:$E$111),ROW()+ROWS($E$2:$E$111))),ROW()-ROW($F$2:$F$111)+1),COLUMN($E$2:$E$111),4)))</f>
        <v/>
      </c>
      <c r="M52" s="51" t="str">
        <f t="array" aca="1" ref="M52" ca="1">IF(ROW()-ROW($G$2:$G$111)+1&gt;ROWS($F$2:$F$111)-COUNTBLANK($F$2:$F$111),"",INDIRECT(ADDRESS(SMALL((IF($F$2:$F$111&lt;&gt;"",ROW($F$2:$F$111),ROW()+ROWS($F$2:$F$111))),ROW()-ROW($G$2:$G$111)+1),COLUMN($F$2:$F$111),4)))</f>
        <v/>
      </c>
      <c r="N52" s="51" t="str">
        <f t="array" aca="1" ref="N52" ca="1">IF(ROW()-ROW($H$2:$H$111)+1&gt;ROWS($G$2:$G$111)-COUNTBLANK($G$2:$G$111),"",INDIRECT(ADDRESS(SMALL((IF($G$2:$G$111&lt;&gt;"",ROW($G$2:$G$111),ROW()+ROWS($G$2:$G$111))),ROW()-ROW($H$2:$H$111)+1),COLUMN($G$2:$G$111),4)))</f>
        <v/>
      </c>
      <c r="O52" s="114" t="str">
        <f t="array" aca="1" ref="O52" ca="1">IF(ROW()-ROW($I$2:$I$111)+1&gt;ROWS($H$2:$H$111)-COUNTBLANK($H$2:$H$111),"",INDIRECT(ADDRESS(SMALL((IF($H$2:$H$111&lt;&gt;"",ROW($H$2:$H$111),ROW()+ROWS($H$2:$H$111))),ROW()-ROW($I$2:$I$111)+1),COLUMN($H$2:$H$111),4)))</f>
        <v/>
      </c>
      <c r="P52" s="114" t="str">
        <f t="array" aca="1" ref="P52" ca="1">IF(ROW()-ROW($J$2:$J$111)+1&gt;ROWS($I$2:$I$111)-COUNTBLANK($I$2:$I$111),"",INDIRECT(ADDRESS(SMALL((IF($I$2:$I$111&lt;&gt;"",ROW($I$2:$I$111),ROW()+ROWS($I$2:$I$111))),ROW()-ROW($J$2:$J$111)+1),COLUMN($I$2:$I$111),4)))</f>
        <v/>
      </c>
    </row>
    <row r="53" spans="4:16" x14ac:dyDescent="0.25">
      <c r="D53" s="896"/>
      <c r="E53" s="138" t="str">
        <f>IF(H53="","","2011")</f>
        <v/>
      </c>
      <c r="F53" s="139" t="str">
        <f t="shared" si="12"/>
        <v/>
      </c>
      <c r="G53" s="139" t="str">
        <f t="shared" si="8"/>
        <v/>
      </c>
      <c r="H53" s="124" t="str">
        <f>IF(A5="relevant",IF(Matrix!Q23&lt;Berechnung2!$G$38,Berechnung2!$L$38,""),"")</f>
        <v/>
      </c>
      <c r="I53" s="114" t="str">
        <f>IF(H53="","",VLOOKUP(F53,Berechnung2!$I$15:$J$25,2,FALSE))</f>
        <v/>
      </c>
      <c r="J53" s="125" t="str">
        <f t="shared" si="10"/>
        <v/>
      </c>
      <c r="L53" s="51" t="str">
        <f t="array" aca="1" ref="L53" ca="1">IF(ROW()-ROW($F$2:$F$111)+1&gt;ROWS($E$2:$E$111)-COUNTBLANK($E$2:$E$111),"",INDIRECT(ADDRESS(SMALL((IF($E$2:$E$111&gt;"",ROW($E$2:$E$111),ROW()+ROWS($E$2:$E$111))),ROW()-ROW($F$2:$F$111)+1),COLUMN($E$2:$E$111),4)))</f>
        <v/>
      </c>
      <c r="M53" s="51" t="str">
        <f t="array" aca="1" ref="M53" ca="1">IF(ROW()-ROW($G$2:$G$111)+1&gt;ROWS($F$2:$F$111)-COUNTBLANK($F$2:$F$111),"",INDIRECT(ADDRESS(SMALL((IF($F$2:$F$111&lt;&gt;"",ROW($F$2:$F$111),ROW()+ROWS($F$2:$F$111))),ROW()-ROW($G$2:$G$111)+1),COLUMN($F$2:$F$111),4)))</f>
        <v/>
      </c>
      <c r="N53" s="51" t="str">
        <f t="array" aca="1" ref="N53" ca="1">IF(ROW()-ROW($H$2:$H$111)+1&gt;ROWS($G$2:$G$111)-COUNTBLANK($G$2:$G$111),"",INDIRECT(ADDRESS(SMALL((IF($G$2:$G$111&lt;&gt;"",ROW($G$2:$G$111),ROW()+ROWS($G$2:$G$111))),ROW()-ROW($H$2:$H$111)+1),COLUMN($G$2:$G$111),4)))</f>
        <v/>
      </c>
      <c r="O53" s="114" t="str">
        <f t="array" aca="1" ref="O53" ca="1">IF(ROW()-ROW($I$2:$I$111)+1&gt;ROWS($H$2:$H$111)-COUNTBLANK($H$2:$H$111),"",INDIRECT(ADDRESS(SMALL((IF($H$2:$H$111&lt;&gt;"",ROW($H$2:$H$111),ROW()+ROWS($H$2:$H$111))),ROW()-ROW($I$2:$I$111)+1),COLUMN($H$2:$H$111),4)))</f>
        <v/>
      </c>
      <c r="P53" s="114" t="str">
        <f t="array" aca="1" ref="P53" ca="1">IF(ROW()-ROW($J$2:$J$111)+1&gt;ROWS($I$2:$I$111)-COUNTBLANK($I$2:$I$111),"",INDIRECT(ADDRESS(SMALL((IF($I$2:$I$111&lt;&gt;"",ROW($I$2:$I$111),ROW()+ROWS($I$2:$I$111))),ROW()-ROW($J$2:$J$111)+1),COLUMN($I$2:$I$111),4)))</f>
        <v/>
      </c>
    </row>
    <row r="54" spans="4:16" x14ac:dyDescent="0.25">
      <c r="D54" s="896"/>
      <c r="E54" s="138" t="str">
        <f>IF(H54="","","2012")</f>
        <v/>
      </c>
      <c r="F54" s="139" t="str">
        <f t="shared" si="12"/>
        <v/>
      </c>
      <c r="G54" s="139" t="str">
        <f t="shared" si="8"/>
        <v/>
      </c>
      <c r="H54" s="124" t="str">
        <f>IF(A6="relevant",IF(Matrix!Q24&lt;Berechnung2!$G$38,Berechnung2!$L$38,""),"")</f>
        <v/>
      </c>
      <c r="I54" s="114" t="str">
        <f>IF(H54="","",VLOOKUP(F54,Berechnung2!$I$15:$J$25,2,FALSE))</f>
        <v/>
      </c>
      <c r="J54" s="125" t="str">
        <f t="shared" si="10"/>
        <v/>
      </c>
      <c r="L54" s="51" t="str">
        <f t="array" aca="1" ref="L54" ca="1">IF(ROW()-ROW($F$2:$F$111)+1&gt;ROWS($E$2:$E$111)-COUNTBLANK($E$2:$E$111),"",INDIRECT(ADDRESS(SMALL((IF($E$2:$E$111&gt;"",ROW($E$2:$E$111),ROW()+ROWS($E$2:$E$111))),ROW()-ROW($F$2:$F$111)+1),COLUMN($E$2:$E$111),4)))</f>
        <v/>
      </c>
      <c r="M54" s="51" t="str">
        <f t="array" aca="1" ref="M54" ca="1">IF(ROW()-ROW($G$2:$G$111)+1&gt;ROWS($F$2:$F$111)-COUNTBLANK($F$2:$F$111),"",INDIRECT(ADDRESS(SMALL((IF($F$2:$F$111&lt;&gt;"",ROW($F$2:$F$111),ROW()+ROWS($F$2:$F$111))),ROW()-ROW($G$2:$G$111)+1),COLUMN($F$2:$F$111),4)))</f>
        <v/>
      </c>
      <c r="N54" s="51" t="str">
        <f t="array" aca="1" ref="N54" ca="1">IF(ROW()-ROW($H$2:$H$111)+1&gt;ROWS($G$2:$G$111)-COUNTBLANK($G$2:$G$111),"",INDIRECT(ADDRESS(SMALL((IF($G$2:$G$111&lt;&gt;"",ROW($G$2:$G$111),ROW()+ROWS($G$2:$G$111))),ROW()-ROW($H$2:$H$111)+1),COLUMN($G$2:$G$111),4)))</f>
        <v/>
      </c>
      <c r="O54" s="114" t="str">
        <f t="array" aca="1" ref="O54" ca="1">IF(ROW()-ROW($I$2:$I$111)+1&gt;ROWS($H$2:$H$111)-COUNTBLANK($H$2:$H$111),"",INDIRECT(ADDRESS(SMALL((IF($H$2:$H$111&lt;&gt;"",ROW($H$2:$H$111),ROW()+ROWS($H$2:$H$111))),ROW()-ROW($I$2:$I$111)+1),COLUMN($H$2:$H$111),4)))</f>
        <v/>
      </c>
      <c r="P54" s="114" t="str">
        <f t="array" aca="1" ref="P54" ca="1">IF(ROW()-ROW($J$2:$J$111)+1&gt;ROWS($I$2:$I$111)-COUNTBLANK($I$2:$I$111),"",INDIRECT(ADDRESS(SMALL((IF($I$2:$I$111&lt;&gt;"",ROW($I$2:$I$111),ROW()+ROWS($I$2:$I$111))),ROW()-ROW($J$2:$J$111)+1),COLUMN($I$2:$I$111),4)))</f>
        <v/>
      </c>
    </row>
    <row r="55" spans="4:16" x14ac:dyDescent="0.25">
      <c r="D55" s="896"/>
      <c r="E55" s="138" t="str">
        <f>IF(H55="","","2013")</f>
        <v/>
      </c>
      <c r="F55" s="139" t="str">
        <f t="shared" si="12"/>
        <v/>
      </c>
      <c r="G55" s="139" t="str">
        <f t="shared" si="8"/>
        <v/>
      </c>
      <c r="H55" s="124" t="str">
        <f>IF(A7="relevant",IF(Matrix!Q25&lt;Berechnung2!$G$38,Berechnung2!$L$38,""),"")</f>
        <v/>
      </c>
      <c r="I55" s="114" t="str">
        <f>IF(H55="","",VLOOKUP(F55,Berechnung2!$I$15:$J$25,2,FALSE))</f>
        <v/>
      </c>
      <c r="J55" s="125" t="str">
        <f t="shared" si="10"/>
        <v/>
      </c>
      <c r="L55" s="51" t="str">
        <f t="array" aca="1" ref="L55" ca="1">IF(ROW()-ROW($F$2:$F$111)+1&gt;ROWS($E$2:$E$111)-COUNTBLANK($E$2:$E$111),"",INDIRECT(ADDRESS(SMALL((IF($E$2:$E$111&gt;"",ROW($E$2:$E$111),ROW()+ROWS($E$2:$E$111))),ROW()-ROW($F$2:$F$111)+1),COLUMN($E$2:$E$111),4)))</f>
        <v/>
      </c>
      <c r="M55" s="51" t="str">
        <f t="array" aca="1" ref="M55" ca="1">IF(ROW()-ROW($G$2:$G$111)+1&gt;ROWS($F$2:$F$111)-COUNTBLANK($F$2:$F$111),"",INDIRECT(ADDRESS(SMALL((IF($F$2:$F$111&lt;&gt;"",ROW($F$2:$F$111),ROW()+ROWS($F$2:$F$111))),ROW()-ROW($G$2:$G$111)+1),COLUMN($F$2:$F$111),4)))</f>
        <v/>
      </c>
      <c r="N55" s="51" t="str">
        <f t="array" aca="1" ref="N55" ca="1">IF(ROW()-ROW($H$2:$H$111)+1&gt;ROWS($G$2:$G$111)-COUNTBLANK($G$2:$G$111),"",INDIRECT(ADDRESS(SMALL((IF($G$2:$G$111&lt;&gt;"",ROW($G$2:$G$111),ROW()+ROWS($G$2:$G$111))),ROW()-ROW($H$2:$H$111)+1),COLUMN($G$2:$G$111),4)))</f>
        <v/>
      </c>
      <c r="O55" s="114" t="str">
        <f t="array" aca="1" ref="O55" ca="1">IF(ROW()-ROW($I$2:$I$111)+1&gt;ROWS($H$2:$H$111)-COUNTBLANK($H$2:$H$111),"",INDIRECT(ADDRESS(SMALL((IF($H$2:$H$111&lt;&gt;"",ROW($H$2:$H$111),ROW()+ROWS($H$2:$H$111))),ROW()-ROW($I$2:$I$111)+1),COLUMN($H$2:$H$111),4)))</f>
        <v/>
      </c>
      <c r="P55" s="114" t="str">
        <f t="array" aca="1" ref="P55" ca="1">IF(ROW()-ROW($J$2:$J$111)+1&gt;ROWS($I$2:$I$111)-COUNTBLANK($I$2:$I$111),"",INDIRECT(ADDRESS(SMALL((IF($I$2:$I$111&lt;&gt;"",ROW($I$2:$I$111),ROW()+ROWS($I$2:$I$111))),ROW()-ROW($J$2:$J$111)+1),COLUMN($I$2:$I$111),4)))</f>
        <v/>
      </c>
    </row>
    <row r="56" spans="4:16" x14ac:dyDescent="0.25">
      <c r="D56" s="896"/>
      <c r="E56" s="138" t="str">
        <f>IF(H56="","","2014")</f>
        <v/>
      </c>
      <c r="F56" s="139" t="str">
        <f t="shared" si="12"/>
        <v/>
      </c>
      <c r="G56" s="139" t="str">
        <f t="shared" si="8"/>
        <v/>
      </c>
      <c r="H56" s="124" t="str">
        <f>IF(A8="relevant",IF(Matrix!Q26&lt;Berechnung2!$G$38,Berechnung2!$L$38,""),"")</f>
        <v/>
      </c>
      <c r="I56" s="114" t="str">
        <f>IF(H56="","",VLOOKUP(F56,Berechnung2!$I$15:$J$25,2,FALSE))</f>
        <v/>
      </c>
      <c r="J56" s="125" t="str">
        <f t="shared" si="10"/>
        <v/>
      </c>
      <c r="L56" s="51" t="str">
        <f t="array" aca="1" ref="L56" ca="1">IF(ROW()-ROW($F$2:$F$111)+1&gt;ROWS($E$2:$E$111)-COUNTBLANK($E$2:$E$111),"",INDIRECT(ADDRESS(SMALL((IF($E$2:$E$111&gt;"",ROW($E$2:$E$111),ROW()+ROWS($E$2:$E$111))),ROW()-ROW($F$2:$F$111)+1),COLUMN($E$2:$E$111),4)))</f>
        <v/>
      </c>
      <c r="M56" s="51" t="str">
        <f t="array" aca="1" ref="M56" ca="1">IF(ROW()-ROW($G$2:$G$111)+1&gt;ROWS($F$2:$F$111)-COUNTBLANK($F$2:$F$111),"",INDIRECT(ADDRESS(SMALL((IF($F$2:$F$111&lt;&gt;"",ROW($F$2:$F$111),ROW()+ROWS($F$2:$F$111))),ROW()-ROW($G$2:$G$111)+1),COLUMN($F$2:$F$111),4)))</f>
        <v/>
      </c>
      <c r="N56" s="51" t="str">
        <f t="array" aca="1" ref="N56" ca="1">IF(ROW()-ROW($H$2:$H$111)+1&gt;ROWS($G$2:$G$111)-COUNTBLANK($G$2:$G$111),"",INDIRECT(ADDRESS(SMALL((IF($G$2:$G$111&lt;&gt;"",ROW($G$2:$G$111),ROW()+ROWS($G$2:$G$111))),ROW()-ROW($H$2:$H$111)+1),COLUMN($G$2:$G$111),4)))</f>
        <v/>
      </c>
      <c r="O56" s="114" t="str">
        <f t="array" aca="1" ref="O56" ca="1">IF(ROW()-ROW($I$2:$I$111)+1&gt;ROWS($H$2:$H$111)-COUNTBLANK($H$2:$H$111),"",INDIRECT(ADDRESS(SMALL((IF($H$2:$H$111&lt;&gt;"",ROW($H$2:$H$111),ROW()+ROWS($H$2:$H$111))),ROW()-ROW($I$2:$I$111)+1),COLUMN($H$2:$H$111),4)))</f>
        <v/>
      </c>
      <c r="P56" s="114" t="str">
        <f t="array" aca="1" ref="P56" ca="1">IF(ROW()-ROW($J$2:$J$111)+1&gt;ROWS($I$2:$I$111)-COUNTBLANK($I$2:$I$111),"",INDIRECT(ADDRESS(SMALL((IF($I$2:$I$111&lt;&gt;"",ROW($I$2:$I$111),ROW()+ROWS($I$2:$I$111))),ROW()-ROW($J$2:$J$111)+1),COLUMN($I$2:$I$111),4)))</f>
        <v/>
      </c>
    </row>
    <row r="57" spans="4:16" x14ac:dyDescent="0.25">
      <c r="D57" s="896"/>
      <c r="E57" s="138" t="str">
        <f>IF(H57="","","2015")</f>
        <v/>
      </c>
      <c r="F57" s="139" t="str">
        <f t="shared" si="12"/>
        <v/>
      </c>
      <c r="G57" s="139" t="str">
        <f t="shared" si="8"/>
        <v/>
      </c>
      <c r="H57" s="124" t="str">
        <f>IF(A9="relevant",IF(Matrix!Q27&lt;Berechnung2!$G$38,Berechnung2!$L$38,""),"")</f>
        <v/>
      </c>
      <c r="I57" s="114" t="str">
        <f>IF(H57="","",VLOOKUP(F57,Berechnung2!$I$15:$J$25,2,FALSE))</f>
        <v/>
      </c>
      <c r="J57" s="125" t="str">
        <f t="shared" si="10"/>
        <v/>
      </c>
      <c r="L57" s="51" t="str">
        <f t="array" aca="1" ref="L57" ca="1">IF(ROW()-ROW($F$2:$F$111)+1&gt;ROWS($E$2:$E$111)-COUNTBLANK($E$2:$E$111),"",INDIRECT(ADDRESS(SMALL((IF($E$2:$E$111&gt;"",ROW($E$2:$E$111),ROW()+ROWS($E$2:$E$111))),ROW()-ROW($F$2:$F$111)+1),COLUMN($E$2:$E$111),4)))</f>
        <v/>
      </c>
      <c r="M57" s="51" t="str">
        <f t="array" aca="1" ref="M57" ca="1">IF(ROW()-ROW($G$2:$G$111)+1&gt;ROWS($F$2:$F$111)-COUNTBLANK($F$2:$F$111),"",INDIRECT(ADDRESS(SMALL((IF($F$2:$F$111&lt;&gt;"",ROW($F$2:$F$111),ROW()+ROWS($F$2:$F$111))),ROW()-ROW($G$2:$G$111)+1),COLUMN($F$2:$F$111),4)))</f>
        <v/>
      </c>
      <c r="N57" s="51" t="str">
        <f t="array" aca="1" ref="N57" ca="1">IF(ROW()-ROW($H$2:$H$111)+1&gt;ROWS($G$2:$G$111)-COUNTBLANK($G$2:$G$111),"",INDIRECT(ADDRESS(SMALL((IF($G$2:$G$111&lt;&gt;"",ROW($G$2:$G$111),ROW()+ROWS($G$2:$G$111))),ROW()-ROW($H$2:$H$111)+1),COLUMN($G$2:$G$111),4)))</f>
        <v/>
      </c>
      <c r="O57" s="114" t="str">
        <f t="array" aca="1" ref="O57" ca="1">IF(ROW()-ROW($I$2:$I$111)+1&gt;ROWS($H$2:$H$111)-COUNTBLANK($H$2:$H$111),"",INDIRECT(ADDRESS(SMALL((IF($H$2:$H$111&lt;&gt;"",ROW($H$2:$H$111),ROW()+ROWS($H$2:$H$111))),ROW()-ROW($I$2:$I$111)+1),COLUMN($H$2:$H$111),4)))</f>
        <v/>
      </c>
      <c r="P57" s="114" t="str">
        <f t="array" aca="1" ref="P57" ca="1">IF(ROW()-ROW($J$2:$J$111)+1&gt;ROWS($I$2:$I$111)-COUNTBLANK($I$2:$I$111),"",INDIRECT(ADDRESS(SMALL((IF($I$2:$I$111&lt;&gt;"",ROW($I$2:$I$111),ROW()+ROWS($I$2:$I$111))),ROW()-ROW($J$2:$J$111)+1),COLUMN($I$2:$I$111),4)))</f>
        <v/>
      </c>
    </row>
    <row r="58" spans="4:16" ht="15" customHeight="1" x14ac:dyDescent="0.25">
      <c r="D58" s="896"/>
      <c r="E58" s="138" t="str">
        <f>IF(H58="","","2016")</f>
        <v/>
      </c>
      <c r="F58" s="139" t="str">
        <f t="shared" si="12"/>
        <v/>
      </c>
      <c r="G58" s="139" t="str">
        <f t="shared" si="8"/>
        <v/>
      </c>
      <c r="H58" s="124" t="str">
        <f>IF(A10="relevant",IF(Matrix!Q28&lt;Berechnung2!$G$38,Berechnung2!$L$38,""),"")</f>
        <v/>
      </c>
      <c r="I58" s="114" t="str">
        <f>IF(H58="","",VLOOKUP(F58,Berechnung2!$I$15:$J$25,2,FALSE))</f>
        <v/>
      </c>
      <c r="J58" s="125" t="str">
        <f t="shared" si="10"/>
        <v/>
      </c>
      <c r="L58" s="51" t="str">
        <f t="array" aca="1" ref="L58" ca="1">IF(ROW()-ROW($F$2:$F$111)+1&gt;ROWS($E$2:$E$111)-COUNTBLANK($E$2:$E$111),"",INDIRECT(ADDRESS(SMALL((IF($E$2:$E$111&gt;"",ROW($E$2:$E$111),ROW()+ROWS($E$2:$E$111))),ROW()-ROW($F$2:$F$111)+1),COLUMN($E$2:$E$111),4)))</f>
        <v/>
      </c>
      <c r="M58" s="51" t="str">
        <f t="array" aca="1" ref="M58" ca="1">IF(ROW()-ROW($G$2:$G$111)+1&gt;ROWS($F$2:$F$111)-COUNTBLANK($F$2:$F$111),"",INDIRECT(ADDRESS(SMALL((IF($F$2:$F$111&lt;&gt;"",ROW($F$2:$F$111),ROW()+ROWS($F$2:$F$111))),ROW()-ROW($G$2:$G$111)+1),COLUMN($F$2:$F$111),4)))</f>
        <v/>
      </c>
      <c r="N58" s="51" t="str">
        <f t="array" aca="1" ref="N58" ca="1">IF(ROW()-ROW($H$2:$H$111)+1&gt;ROWS($G$2:$G$111)-COUNTBLANK($G$2:$G$111),"",INDIRECT(ADDRESS(SMALL((IF($G$2:$G$111&lt;&gt;"",ROW($G$2:$G$111),ROW()+ROWS($G$2:$G$111))),ROW()-ROW($H$2:$H$111)+1),COLUMN($G$2:$G$111),4)))</f>
        <v/>
      </c>
      <c r="O58" s="114" t="str">
        <f t="array" aca="1" ref="O58" ca="1">IF(ROW()-ROW($I$2:$I$111)+1&gt;ROWS($H$2:$H$111)-COUNTBLANK($H$2:$H$111),"",INDIRECT(ADDRESS(SMALL((IF($H$2:$H$111&lt;&gt;"",ROW($H$2:$H$111),ROW()+ROWS($H$2:$H$111))),ROW()-ROW($I$2:$I$111)+1),COLUMN($H$2:$H$111),4)))</f>
        <v/>
      </c>
      <c r="P58" s="114" t="str">
        <f t="array" aca="1" ref="P58" ca="1">IF(ROW()-ROW($J$2:$J$111)+1&gt;ROWS($I$2:$I$111)-COUNTBLANK($I$2:$I$111),"",INDIRECT(ADDRESS(SMALL((IF($I$2:$I$111&lt;&gt;"",ROW($I$2:$I$111),ROW()+ROWS($I$2:$I$111))),ROW()-ROW($J$2:$J$111)+1),COLUMN($I$2:$I$111),4)))</f>
        <v/>
      </c>
    </row>
    <row r="59" spans="4:16" x14ac:dyDescent="0.25">
      <c r="D59" s="896"/>
      <c r="E59" s="138" t="str">
        <f>IF(H59="","","2017")</f>
        <v/>
      </c>
      <c r="F59" s="139" t="str">
        <f t="shared" si="12"/>
        <v/>
      </c>
      <c r="G59" s="139" t="str">
        <f t="shared" si="8"/>
        <v/>
      </c>
      <c r="H59" s="124" t="str">
        <f>IF(A11="relevant",IF(Matrix!Q29&lt;Berechnung2!$G$38,Berechnung2!$L$38,""),"")</f>
        <v/>
      </c>
      <c r="I59" s="114" t="str">
        <f>IF(H59="","",VLOOKUP(F59,Berechnung2!$I$15:$J$25,2,FALSE))</f>
        <v/>
      </c>
      <c r="J59" s="125" t="str">
        <f t="shared" si="10"/>
        <v/>
      </c>
      <c r="L59" s="51" t="str">
        <f t="array" aca="1" ref="L59" ca="1">IF(ROW()-ROW($F$2:$F$111)+1&gt;ROWS($E$2:$E$111)-COUNTBLANK($E$2:$E$111),"",INDIRECT(ADDRESS(SMALL((IF($E$2:$E$111&gt;"",ROW($E$2:$E$111),ROW()+ROWS($E$2:$E$111))),ROW()-ROW($F$2:$F$111)+1),COLUMN($E$2:$E$111),4)))</f>
        <v/>
      </c>
      <c r="M59" s="51" t="str">
        <f t="array" aca="1" ref="M59" ca="1">IF(ROW()-ROW($G$2:$G$111)+1&gt;ROWS($F$2:$F$111)-COUNTBLANK($F$2:$F$111),"",INDIRECT(ADDRESS(SMALL((IF($F$2:$F$111&lt;&gt;"",ROW($F$2:$F$111),ROW()+ROWS($F$2:$F$111))),ROW()-ROW($G$2:$G$111)+1),COLUMN($F$2:$F$111),4)))</f>
        <v/>
      </c>
      <c r="N59" s="51" t="str">
        <f t="array" aca="1" ref="N59" ca="1">IF(ROW()-ROW($H$2:$H$111)+1&gt;ROWS($G$2:$G$111)-COUNTBLANK($G$2:$G$111),"",INDIRECT(ADDRESS(SMALL((IF($G$2:$G$111&lt;&gt;"",ROW($G$2:$G$111),ROW()+ROWS($G$2:$G$111))),ROW()-ROW($H$2:$H$111)+1),COLUMN($G$2:$G$111),4)))</f>
        <v/>
      </c>
      <c r="O59" s="114" t="str">
        <f t="array" aca="1" ref="O59" ca="1">IF(ROW()-ROW($I$2:$I$111)+1&gt;ROWS($H$2:$H$111)-COUNTBLANK($H$2:$H$111),"",INDIRECT(ADDRESS(SMALL((IF($H$2:$H$111&lt;&gt;"",ROW($H$2:$H$111),ROW()+ROWS($H$2:$H$111))),ROW()-ROW($I$2:$I$111)+1),COLUMN($H$2:$H$111),4)))</f>
        <v/>
      </c>
      <c r="P59" s="114" t="str">
        <f t="array" aca="1" ref="P59" ca="1">IF(ROW()-ROW($J$2:$J$111)+1&gt;ROWS($I$2:$I$111)-COUNTBLANK($I$2:$I$111),"",INDIRECT(ADDRESS(SMALL((IF($I$2:$I$111&lt;&gt;"",ROW($I$2:$I$111),ROW()+ROWS($I$2:$I$111))),ROW()-ROW($J$2:$J$111)+1),COLUMN($I$2:$I$111),4)))</f>
        <v/>
      </c>
    </row>
    <row r="60" spans="4:16" x14ac:dyDescent="0.25">
      <c r="D60" s="169"/>
      <c r="E60" s="138" t="str">
        <f>IF(H60="","","2018")</f>
        <v/>
      </c>
      <c r="F60" s="344"/>
      <c r="G60" s="344"/>
      <c r="H60" s="345"/>
      <c r="I60" s="346"/>
      <c r="J60" s="347"/>
      <c r="L60" s="51" t="str">
        <f t="array" aca="1" ref="L60" ca="1">IF(ROW()-ROW($F$2:$F$111)+1&gt;ROWS($E$2:$E$111)-COUNTBLANK($E$2:$E$111),"",INDIRECT(ADDRESS(SMALL((IF($E$2:$E$111&gt;"",ROW($E$2:$E$111),ROW()+ROWS($E$2:$E$111))),ROW()-ROW($F$2:$F$111)+1),COLUMN($E$2:$E$111),4)))</f>
        <v/>
      </c>
      <c r="M60" s="51" t="str">
        <f t="array" aca="1" ref="M60" ca="1">IF(ROW()-ROW($G$2:$G$111)+1&gt;ROWS($F$2:$F$111)-COUNTBLANK($F$2:$F$111),"",INDIRECT(ADDRESS(SMALL((IF($F$2:$F$111&lt;&gt;"",ROW($F$2:$F$111),ROW()+ROWS($F$2:$F$111))),ROW()-ROW($G$2:$G$111)+1),COLUMN($F$2:$F$111),4)))</f>
        <v/>
      </c>
      <c r="N60" s="51" t="str">
        <f t="array" aca="1" ref="N60" ca="1">IF(ROW()-ROW($H$2:$H$111)+1&gt;ROWS($G$2:$G$111)-COUNTBLANK($G$2:$G$111),"",INDIRECT(ADDRESS(SMALL((IF($G$2:$G$111&lt;&gt;"",ROW($G$2:$G$111),ROW()+ROWS($G$2:$G$111))),ROW()-ROW($H$2:$H$111)+1),COLUMN($G$2:$G$111),4)))</f>
        <v/>
      </c>
      <c r="O60" s="114" t="str">
        <f t="array" aca="1" ref="O60" ca="1">IF(ROW()-ROW($I$2:$I$111)+1&gt;ROWS($H$2:$H$111)-COUNTBLANK($H$2:$H$111),"",INDIRECT(ADDRESS(SMALL((IF($H$2:$H$111&lt;&gt;"",ROW($H$2:$H$111),ROW()+ROWS($H$2:$H$111))),ROW()-ROW($I$2:$I$111)+1),COLUMN($H$2:$H$111),4)))</f>
        <v/>
      </c>
      <c r="P60" s="114" t="str">
        <f t="array" aca="1" ref="P60" ca="1">IF(ROW()-ROW($J$2:$J$111)+1&gt;ROWS($I$2:$I$111)-COUNTBLANK($I$2:$I$111),"",INDIRECT(ADDRESS(SMALL((IF($I$2:$I$111&lt;&gt;"",ROW($I$2:$I$111),ROW()+ROWS($I$2:$I$111))),ROW()-ROW($J$2:$J$111)+1),COLUMN($I$2:$I$111),4)))</f>
        <v/>
      </c>
    </row>
    <row r="61" spans="4:16" ht="11.25" customHeight="1" thickBot="1" x14ac:dyDescent="0.3">
      <c r="D61" s="170" t="s">
        <v>76</v>
      </c>
      <c r="E61" s="141" t="str">
        <f>IF(H61="","","2019")</f>
        <v/>
      </c>
      <c r="F61" s="340"/>
      <c r="G61" s="340"/>
      <c r="H61" s="352"/>
      <c r="I61" s="342"/>
      <c r="J61" s="343"/>
      <c r="L61" s="51" t="str">
        <f t="array" aca="1" ref="L61" ca="1">IF(ROW()-ROW($F$2:$F$111)+1&gt;ROWS($E$2:$E$111)-COUNTBLANK($E$2:$E$111),"",INDIRECT(ADDRESS(SMALL((IF($E$2:$E$111&gt;"",ROW($E$2:$E$111),ROW()+ROWS($E$2:$E$111))),ROW()-ROW($F$2:$F$111)+1),COLUMN($E$2:$E$111),4)))</f>
        <v/>
      </c>
      <c r="M61" s="51" t="str">
        <f t="array" aca="1" ref="M61" ca="1">IF(ROW()-ROW($G$2:$G$111)+1&gt;ROWS($F$2:$F$111)-COUNTBLANK($F$2:$F$111),"",INDIRECT(ADDRESS(SMALL((IF($F$2:$F$111&lt;&gt;"",ROW($F$2:$F$111),ROW()+ROWS($F$2:$F$111))),ROW()-ROW($G$2:$G$111)+1),COLUMN($F$2:$F$111),4)))</f>
        <v/>
      </c>
      <c r="N61" s="51" t="str">
        <f t="array" aca="1" ref="N61" ca="1">IF(ROW()-ROW($H$2:$H$111)+1&gt;ROWS($G$2:$G$111)-COUNTBLANK($G$2:$G$111),"",INDIRECT(ADDRESS(SMALL((IF($G$2:$G$111&lt;&gt;"",ROW($G$2:$G$111),ROW()+ROWS($G$2:$G$111))),ROW()-ROW($H$2:$H$111)+1),COLUMN($G$2:$G$111),4)))</f>
        <v/>
      </c>
      <c r="O61" s="114" t="str">
        <f t="array" aca="1" ref="O61" ca="1">IF(ROW()-ROW($I$2:$I$111)+1&gt;ROWS($H$2:$H$111)-COUNTBLANK($H$2:$H$111),"",INDIRECT(ADDRESS(SMALL((IF($H$2:$H$111&lt;&gt;"",ROW($H$2:$H$111),ROW()+ROWS($H$2:$H$111))),ROW()-ROW($I$2:$I$111)+1),COLUMN($H$2:$H$111),4)))</f>
        <v/>
      </c>
      <c r="P61" s="114" t="str">
        <f t="array" aca="1" ref="P61" ca="1">IF(ROW()-ROW($J$2:$J$111)+1&gt;ROWS($I$2:$I$111)-COUNTBLANK($I$2:$I$111),"",INDIRECT(ADDRESS(SMALL((IF($I$2:$I$111&lt;&gt;"",ROW($I$2:$I$111),ROW()+ROWS($I$2:$I$111))),ROW()-ROW($J$2:$J$111)+1),COLUMN($I$2:$I$111),4)))</f>
        <v/>
      </c>
    </row>
    <row r="62" spans="4:16" x14ac:dyDescent="0.25">
      <c r="D62" s="169" t="s">
        <v>202</v>
      </c>
      <c r="E62" s="164" t="str">
        <f>IF(H62="","","2008")</f>
        <v/>
      </c>
      <c r="F62" s="164" t="str">
        <f>IF(H62="","","p")</f>
        <v/>
      </c>
      <c r="G62" s="164" t="str">
        <f t="shared" si="8"/>
        <v/>
      </c>
      <c r="H62" s="339" t="str">
        <f>IF(A2="relevant",IF(AND(Matrix!U20="",Matrix!V20="",Matrix!W20="",Matrix!X20="",Matrix!Y20=""),"",IF(Matrix!U20&lt;MAX(Matrix!V20:Y20),Berechnung2!$L$40,"")),"")</f>
        <v/>
      </c>
      <c r="I62" s="166" t="str">
        <f>IF(H62="","",VLOOKUP(F62,Berechnung2!$I$15:$J$25,2,FALSE))</f>
        <v/>
      </c>
      <c r="J62" s="167" t="str">
        <f t="shared" ref="J62:J74" si="13">IF(H62&lt;&gt;"",1,"")</f>
        <v/>
      </c>
      <c r="L62" s="51" t="str">
        <f t="array" aca="1" ref="L62" ca="1">IF(ROW()-ROW($F$2:$F$111)+1&gt;ROWS($E$2:$E$111)-COUNTBLANK($E$2:$E$111),"",INDIRECT(ADDRESS(SMALL((IF($E$2:$E$111&gt;"",ROW($E$2:$E$111),ROW()+ROWS($E$2:$E$111))),ROW()-ROW($F$2:$F$111)+1),COLUMN($E$2:$E$111),4)))</f>
        <v/>
      </c>
      <c r="M62" s="51" t="str">
        <f t="array" aca="1" ref="M62" ca="1">IF(ROW()-ROW($G$2:$G$111)+1&gt;ROWS($F$2:$F$111)-COUNTBLANK($F$2:$F$111),"",INDIRECT(ADDRESS(SMALL((IF($F$2:$F$111&lt;&gt;"",ROW($F$2:$F$111),ROW()+ROWS($F$2:$F$111))),ROW()-ROW($G$2:$G$111)+1),COLUMN($F$2:$F$111),4)))</f>
        <v/>
      </c>
      <c r="N62" s="51" t="str">
        <f t="array" aca="1" ref="N62" ca="1">IF(ROW()-ROW($H$2:$H$111)+1&gt;ROWS($G$2:$G$111)-COUNTBLANK($G$2:$G$111),"",INDIRECT(ADDRESS(SMALL((IF($G$2:$G$111&lt;&gt;"",ROW($G$2:$G$111),ROW()+ROWS($G$2:$G$111))),ROW()-ROW($H$2:$H$111)+1),COLUMN($G$2:$G$111),4)))</f>
        <v/>
      </c>
      <c r="O62" s="114" t="str">
        <f t="array" aca="1" ref="O62" ca="1">IF(ROW()-ROW($I$2:$I$111)+1&gt;ROWS($H$2:$H$111)-COUNTBLANK($H$2:$H$111),"",INDIRECT(ADDRESS(SMALL((IF($H$2:$H$111&lt;&gt;"",ROW($H$2:$H$111),ROW()+ROWS($H$2:$H$111))),ROW()-ROW($I$2:$I$111)+1),COLUMN($H$2:$H$111),4)))</f>
        <v/>
      </c>
      <c r="P62" s="114" t="str">
        <f t="array" aca="1" ref="P62" ca="1">IF(ROW()-ROW($J$2:$J$111)+1&gt;ROWS($I$2:$I$111)-COUNTBLANK($I$2:$I$111),"",INDIRECT(ADDRESS(SMALL((IF($I$2:$I$111&lt;&gt;"",ROW($I$2:$I$111),ROW()+ROWS($I$2:$I$111))),ROW()-ROW($J$2:$J$111)+1),COLUMN($I$2:$I$111),4)))</f>
        <v/>
      </c>
    </row>
    <row r="63" spans="4:16" x14ac:dyDescent="0.25">
      <c r="D63" s="896" t="s">
        <v>72</v>
      </c>
      <c r="E63" s="182" t="str">
        <f>IF(H63="","","2009")</f>
        <v/>
      </c>
      <c r="F63" s="139" t="str">
        <f t="shared" ref="F63:F71" si="14">IF(H63="","","p")</f>
        <v/>
      </c>
      <c r="G63" s="139" t="str">
        <f t="shared" si="8"/>
        <v/>
      </c>
      <c r="H63" s="124" t="str">
        <f>IF(A3="relevant",IF(AND(Matrix!U21="",Matrix!V21="",Matrix!W21="",Matrix!X21="",Matrix!Y21=""),"",IF(Matrix!U21&lt;MAX(Matrix!V21:Y21),Berechnung2!$L$40,"")),"")</f>
        <v/>
      </c>
      <c r="I63" s="114" t="str">
        <f>IF(H63="","",VLOOKUP(F63,Berechnung2!$I$15:$J$25,2,FALSE))</f>
        <v/>
      </c>
      <c r="J63" s="125" t="str">
        <f t="shared" si="13"/>
        <v/>
      </c>
      <c r="L63" s="51" t="str">
        <f t="array" aca="1" ref="L63" ca="1">IF(ROW()-ROW($F$2:$F$111)+1&gt;ROWS($E$2:$E$111)-COUNTBLANK($E$2:$E$111),"",INDIRECT(ADDRESS(SMALL((IF($E$2:$E$111&gt;"",ROW($E$2:$E$111),ROW()+ROWS($E$2:$E$111))),ROW()-ROW($F$2:$F$111)+1),COLUMN($E$2:$E$111),4)))</f>
        <v/>
      </c>
      <c r="M63" s="51" t="str">
        <f t="array" aca="1" ref="M63" ca="1">IF(ROW()-ROW($G$2:$G$111)+1&gt;ROWS($F$2:$F$111)-COUNTBLANK($F$2:$F$111),"",INDIRECT(ADDRESS(SMALL((IF($F$2:$F$111&lt;&gt;"",ROW($F$2:$F$111),ROW()+ROWS($F$2:$F$111))),ROW()-ROW($G$2:$G$111)+1),COLUMN($F$2:$F$111),4)))</f>
        <v/>
      </c>
      <c r="N63" s="51" t="str">
        <f t="array" aca="1" ref="N63" ca="1">IF(ROW()-ROW($H$2:$H$111)+1&gt;ROWS($G$2:$G$111)-COUNTBLANK($G$2:$G$111),"",INDIRECT(ADDRESS(SMALL((IF($G$2:$G$111&lt;&gt;"",ROW($G$2:$G$111),ROW()+ROWS($G$2:$G$111))),ROW()-ROW($H$2:$H$111)+1),COLUMN($G$2:$G$111),4)))</f>
        <v/>
      </c>
      <c r="O63" s="114" t="str">
        <f t="array" aca="1" ref="O63" ca="1">IF(ROW()-ROW($I$2:$I$111)+1&gt;ROWS($H$2:$H$111)-COUNTBLANK($H$2:$H$111),"",INDIRECT(ADDRESS(SMALL((IF($H$2:$H$111&lt;&gt;"",ROW($H$2:$H$111),ROW()+ROWS($H$2:$H$111))),ROW()-ROW($I$2:$I$111)+1),COLUMN($H$2:$H$111),4)))</f>
        <v/>
      </c>
      <c r="P63" s="114" t="str">
        <f t="array" aca="1" ref="P63" ca="1">IF(ROW()-ROW($J$2:$J$111)+1&gt;ROWS($I$2:$I$111)-COUNTBLANK($I$2:$I$111),"",INDIRECT(ADDRESS(SMALL((IF($I$2:$I$111&lt;&gt;"",ROW($I$2:$I$111),ROW()+ROWS($I$2:$I$111))),ROW()-ROW($J$2:$J$111)+1),COLUMN($I$2:$I$111),4)))</f>
        <v/>
      </c>
    </row>
    <row r="64" spans="4:16" ht="15" customHeight="1" x14ac:dyDescent="0.25">
      <c r="D64" s="896"/>
      <c r="E64" s="182" t="str">
        <f>IF(H64="","","2010")</f>
        <v/>
      </c>
      <c r="F64" s="139" t="str">
        <f t="shared" si="14"/>
        <v/>
      </c>
      <c r="G64" s="139" t="str">
        <f t="shared" si="8"/>
        <v/>
      </c>
      <c r="H64" s="124" t="str">
        <f>IF(A4="relevant",IF(AND(Matrix!U22="",Matrix!V22="",Matrix!W22="",Matrix!X22="",Matrix!Y22=""),"",IF(Matrix!U22&lt;MAX(Matrix!V22:Y22),Berechnung2!$L$40,"")),"")</f>
        <v/>
      </c>
      <c r="I64" s="114" t="str">
        <f>IF(H64="","",VLOOKUP(F64,Berechnung2!$I$15:$J$25,2,FALSE))</f>
        <v/>
      </c>
      <c r="J64" s="125" t="str">
        <f t="shared" si="13"/>
        <v/>
      </c>
      <c r="L64" s="51" t="str">
        <f t="array" aca="1" ref="L64" ca="1">IF(ROW()-ROW($F$2:$F$111)+1&gt;ROWS($E$2:$E$111)-COUNTBLANK($E$2:$E$111),"",INDIRECT(ADDRESS(SMALL((IF($E$2:$E$111&gt;"",ROW($E$2:$E$111),ROW()+ROWS($E$2:$E$111))),ROW()-ROW($F$2:$F$111)+1),COLUMN($E$2:$E$111),4)))</f>
        <v/>
      </c>
      <c r="M64" s="51" t="str">
        <f t="array" aca="1" ref="M64" ca="1">IF(ROW()-ROW($G$2:$G$111)+1&gt;ROWS($F$2:$F$111)-COUNTBLANK($F$2:$F$111),"",INDIRECT(ADDRESS(SMALL((IF($F$2:$F$111&lt;&gt;"",ROW($F$2:$F$111),ROW()+ROWS($F$2:$F$111))),ROW()-ROW($G$2:$G$111)+1),COLUMN($F$2:$F$111),4)))</f>
        <v/>
      </c>
      <c r="N64" s="51" t="str">
        <f t="array" aca="1" ref="N64" ca="1">IF(ROW()-ROW($H$2:$H$111)+1&gt;ROWS($G$2:$G$111)-COUNTBLANK($G$2:$G$111),"",INDIRECT(ADDRESS(SMALL((IF($G$2:$G$111&lt;&gt;"",ROW($G$2:$G$111),ROW()+ROWS($G$2:$G$111))),ROW()-ROW($H$2:$H$111)+1),COLUMN($G$2:$G$111),4)))</f>
        <v/>
      </c>
      <c r="O64" s="114" t="str">
        <f t="array" aca="1" ref="O64" ca="1">IF(ROW()-ROW($I$2:$I$111)+1&gt;ROWS($H$2:$H$111)-COUNTBLANK($H$2:$H$111),"",INDIRECT(ADDRESS(SMALL((IF($H$2:$H$111&lt;&gt;"",ROW($H$2:$H$111),ROW()+ROWS($H$2:$H$111))),ROW()-ROW($I$2:$I$111)+1),COLUMN($H$2:$H$111),4)))</f>
        <v/>
      </c>
      <c r="P64" s="114" t="str">
        <f t="array" aca="1" ref="P64" ca="1">IF(ROW()-ROW($J$2:$J$111)+1&gt;ROWS($I$2:$I$111)-COUNTBLANK($I$2:$I$111),"",INDIRECT(ADDRESS(SMALL((IF($I$2:$I$111&lt;&gt;"",ROW($I$2:$I$111),ROW()+ROWS($I$2:$I$111))),ROW()-ROW($J$2:$J$111)+1),COLUMN($I$2:$I$111),4)))</f>
        <v/>
      </c>
    </row>
    <row r="65" spans="4:16" x14ac:dyDescent="0.25">
      <c r="D65" s="896"/>
      <c r="E65" s="182" t="str">
        <f>IF(H65="","","2011")</f>
        <v/>
      </c>
      <c r="F65" s="139" t="str">
        <f t="shared" si="14"/>
        <v/>
      </c>
      <c r="G65" s="139" t="str">
        <f t="shared" si="8"/>
        <v/>
      </c>
      <c r="H65" s="124" t="str">
        <f>IF(A5="relevant",IF(AND(Matrix!U23="",Matrix!V23="",Matrix!W23="",Matrix!X23="",Matrix!Y23=""),"",IF(Matrix!U23&lt;MAX(Matrix!V23:Y23),Berechnung2!$L$40,"")),"")</f>
        <v/>
      </c>
      <c r="I65" s="114" t="str">
        <f>IF(H65="","",VLOOKUP(F65,Berechnung2!$I$15:$J$25,2,FALSE))</f>
        <v/>
      </c>
      <c r="J65" s="125" t="str">
        <f t="shared" si="13"/>
        <v/>
      </c>
      <c r="L65" s="51" t="str">
        <f t="array" aca="1" ref="L65" ca="1">IF(ROW()-ROW($F$2:$F$111)+1&gt;ROWS($E$2:$E$111)-COUNTBLANK($E$2:$E$111),"",INDIRECT(ADDRESS(SMALL((IF($E$2:$E$111&gt;"",ROW($E$2:$E$111),ROW()+ROWS($E$2:$E$111))),ROW()-ROW($F$2:$F$111)+1),COLUMN($E$2:$E$111),4)))</f>
        <v/>
      </c>
      <c r="M65" s="51" t="str">
        <f t="array" aca="1" ref="M65" ca="1">IF(ROW()-ROW($G$2:$G$111)+1&gt;ROWS($F$2:$F$111)-COUNTBLANK($F$2:$F$111),"",INDIRECT(ADDRESS(SMALL((IF($F$2:$F$111&lt;&gt;"",ROW($F$2:$F$111),ROW()+ROWS($F$2:$F$111))),ROW()-ROW($G$2:$G$111)+1),COLUMN($F$2:$F$111),4)))</f>
        <v/>
      </c>
      <c r="N65" s="51" t="str">
        <f t="array" aca="1" ref="N65" ca="1">IF(ROW()-ROW($H$2:$H$111)+1&gt;ROWS($G$2:$G$111)-COUNTBLANK($G$2:$G$111),"",INDIRECT(ADDRESS(SMALL((IF($G$2:$G$111&lt;&gt;"",ROW($G$2:$G$111),ROW()+ROWS($G$2:$G$111))),ROW()-ROW($H$2:$H$111)+1),COLUMN($G$2:$G$111),4)))</f>
        <v/>
      </c>
      <c r="O65" s="114" t="str">
        <f t="array" aca="1" ref="O65" ca="1">IF(ROW()-ROW($I$2:$I$111)+1&gt;ROWS($H$2:$H$111)-COUNTBLANK($H$2:$H$111),"",INDIRECT(ADDRESS(SMALL((IF($H$2:$H$111&lt;&gt;"",ROW($H$2:$H$111),ROW()+ROWS($H$2:$H$111))),ROW()-ROW($I$2:$I$111)+1),COLUMN($H$2:$H$111),4)))</f>
        <v/>
      </c>
      <c r="P65" s="114" t="str">
        <f t="array" aca="1" ref="P65" ca="1">IF(ROW()-ROW($J$2:$J$111)+1&gt;ROWS($I$2:$I$111)-COUNTBLANK($I$2:$I$111),"",INDIRECT(ADDRESS(SMALL((IF($I$2:$I$111&lt;&gt;"",ROW($I$2:$I$111),ROW()+ROWS($I$2:$I$111))),ROW()-ROW($J$2:$J$111)+1),COLUMN($I$2:$I$111),4)))</f>
        <v/>
      </c>
    </row>
    <row r="66" spans="4:16" x14ac:dyDescent="0.25">
      <c r="D66" s="896"/>
      <c r="E66" s="182" t="str">
        <f>IF(H66="","","2012")</f>
        <v/>
      </c>
      <c r="F66" s="139" t="str">
        <f t="shared" si="14"/>
        <v/>
      </c>
      <c r="G66" s="139" t="str">
        <f t="shared" si="8"/>
        <v/>
      </c>
      <c r="H66" s="124" t="str">
        <f>IF(A6="relevant",IF(AND(Matrix!U24="",Matrix!V24="",Matrix!W24="",Matrix!X24="",Matrix!Y24=""),"",IF(Matrix!U24&lt;MAX(Matrix!V24:Y24),Berechnung2!$L$40,"")),"")</f>
        <v/>
      </c>
      <c r="I66" s="114" t="str">
        <f>IF(H66="","",VLOOKUP(F66,Berechnung2!$I$15:$J$25,2,FALSE))</f>
        <v/>
      </c>
      <c r="J66" s="125" t="str">
        <f t="shared" si="13"/>
        <v/>
      </c>
      <c r="L66" s="51" t="str">
        <f t="array" aca="1" ref="L66" ca="1">IF(ROW()-ROW($F$2:$F$111)+1&gt;ROWS($E$2:$E$111)-COUNTBLANK($E$2:$E$111),"",INDIRECT(ADDRESS(SMALL((IF($E$2:$E$111&gt;"",ROW($E$2:$E$111),ROW()+ROWS($E$2:$E$111))),ROW()-ROW($F$2:$F$111)+1),COLUMN($E$2:$E$111),4)))</f>
        <v/>
      </c>
      <c r="M66" s="51" t="str">
        <f t="array" aca="1" ref="M66" ca="1">IF(ROW()-ROW($G$2:$G$111)+1&gt;ROWS($F$2:$F$111)-COUNTBLANK($F$2:$F$111),"",INDIRECT(ADDRESS(SMALL((IF($F$2:$F$111&lt;&gt;"",ROW($F$2:$F$111),ROW()+ROWS($F$2:$F$111))),ROW()-ROW($G$2:$G$111)+1),COLUMN($F$2:$F$111),4)))</f>
        <v/>
      </c>
      <c r="N66" s="51" t="str">
        <f t="array" aca="1" ref="N66" ca="1">IF(ROW()-ROW($H$2:$H$111)+1&gt;ROWS($G$2:$G$111)-COUNTBLANK($G$2:$G$111),"",INDIRECT(ADDRESS(SMALL((IF($G$2:$G$111&lt;&gt;"",ROW($G$2:$G$111),ROW()+ROWS($G$2:$G$111))),ROW()-ROW($H$2:$H$111)+1),COLUMN($G$2:$G$111),4)))</f>
        <v/>
      </c>
      <c r="O66" s="114" t="str">
        <f t="array" aca="1" ref="O66" ca="1">IF(ROW()-ROW($I$2:$I$111)+1&gt;ROWS($H$2:$H$111)-COUNTBLANK($H$2:$H$111),"",INDIRECT(ADDRESS(SMALL((IF($H$2:$H$111&lt;&gt;"",ROW($H$2:$H$111),ROW()+ROWS($H$2:$H$111))),ROW()-ROW($I$2:$I$111)+1),COLUMN($H$2:$H$111),4)))</f>
        <v/>
      </c>
      <c r="P66" s="114" t="str">
        <f t="array" aca="1" ref="P66" ca="1">IF(ROW()-ROW($J$2:$J$111)+1&gt;ROWS($I$2:$I$111)-COUNTBLANK($I$2:$I$111),"",INDIRECT(ADDRESS(SMALL((IF($I$2:$I$111&lt;&gt;"",ROW($I$2:$I$111),ROW()+ROWS($I$2:$I$111))),ROW()-ROW($J$2:$J$111)+1),COLUMN($I$2:$I$111),4)))</f>
        <v/>
      </c>
    </row>
    <row r="67" spans="4:16" x14ac:dyDescent="0.25">
      <c r="D67" s="896"/>
      <c r="E67" s="182" t="str">
        <f>IF(H67="","","2013")</f>
        <v/>
      </c>
      <c r="F67" s="139" t="str">
        <f t="shared" si="14"/>
        <v/>
      </c>
      <c r="G67" s="139" t="str">
        <f t="shared" si="8"/>
        <v/>
      </c>
      <c r="H67" s="124" t="str">
        <f>IF(A7="relevant",IF(AND(Matrix!U25="",Matrix!V25="",Matrix!W25="",Matrix!X25="",Matrix!Y25=""),"",IF(Matrix!U25&lt;MAX(Matrix!V25:Y25),Berechnung2!$L$40,"")),"")</f>
        <v/>
      </c>
      <c r="I67" s="114" t="str">
        <f>IF(H67="","",VLOOKUP(F67,Berechnung2!$I$15:$J$25,2,FALSE))</f>
        <v/>
      </c>
      <c r="J67" s="125" t="str">
        <f t="shared" si="13"/>
        <v/>
      </c>
      <c r="L67" s="51" t="str">
        <f t="array" aca="1" ref="L67" ca="1">IF(ROW()-ROW($F$2:$F$111)+1&gt;ROWS($E$2:$E$111)-COUNTBLANK($E$2:$E$111),"",INDIRECT(ADDRESS(SMALL((IF($E$2:$E$111&gt;"",ROW($E$2:$E$111),ROW()+ROWS($E$2:$E$111))),ROW()-ROW($F$2:$F$111)+1),COLUMN($E$2:$E$111),4)))</f>
        <v/>
      </c>
      <c r="M67" s="51" t="str">
        <f t="array" aca="1" ref="M67" ca="1">IF(ROW()-ROW($G$2:$G$111)+1&gt;ROWS($F$2:$F$111)-COUNTBLANK($F$2:$F$111),"",INDIRECT(ADDRESS(SMALL((IF($F$2:$F$111&lt;&gt;"",ROW($F$2:$F$111),ROW()+ROWS($F$2:$F$111))),ROW()-ROW($G$2:$G$111)+1),COLUMN($F$2:$F$111),4)))</f>
        <v/>
      </c>
      <c r="N67" s="51" t="str">
        <f t="array" aca="1" ref="N67" ca="1">IF(ROW()-ROW($H$2:$H$111)+1&gt;ROWS($G$2:$G$111)-COUNTBLANK($G$2:$G$111),"",INDIRECT(ADDRESS(SMALL((IF($G$2:$G$111&lt;&gt;"",ROW($G$2:$G$111),ROW()+ROWS($G$2:$G$111))),ROW()-ROW($H$2:$H$111)+1),COLUMN($G$2:$G$111),4)))</f>
        <v/>
      </c>
      <c r="O67" s="114" t="str">
        <f t="array" aca="1" ref="O67" ca="1">IF(ROW()-ROW($I$2:$I$111)+1&gt;ROWS($H$2:$H$111)-COUNTBLANK($H$2:$H$111),"",INDIRECT(ADDRESS(SMALL((IF($H$2:$H$111&lt;&gt;"",ROW($H$2:$H$111),ROW()+ROWS($H$2:$H$111))),ROW()-ROW($I$2:$I$111)+1),COLUMN($H$2:$H$111),4)))</f>
        <v/>
      </c>
      <c r="P67" s="114" t="str">
        <f t="array" aca="1" ref="P67" ca="1">IF(ROW()-ROW($J$2:$J$111)+1&gt;ROWS($I$2:$I$111)-COUNTBLANK($I$2:$I$111),"",INDIRECT(ADDRESS(SMALL((IF($I$2:$I$111&lt;&gt;"",ROW($I$2:$I$111),ROW()+ROWS($I$2:$I$111))),ROW()-ROW($J$2:$J$111)+1),COLUMN($I$2:$I$111),4)))</f>
        <v/>
      </c>
    </row>
    <row r="68" spans="4:16" x14ac:dyDescent="0.25">
      <c r="D68" s="896"/>
      <c r="E68" s="182" t="str">
        <f>IF(H68="","","2014")</f>
        <v/>
      </c>
      <c r="F68" s="139" t="str">
        <f t="shared" si="14"/>
        <v/>
      </c>
      <c r="G68" s="139" t="str">
        <f t="shared" si="8"/>
        <v/>
      </c>
      <c r="H68" s="124" t="str">
        <f>IF(A8="relevant",IF(AND(Matrix!U26="",Matrix!V26="",Matrix!W26="",Matrix!X26="",Matrix!Y26=""),"",IF(Matrix!U26&lt;MAX(Matrix!V26:Y26),Berechnung2!$L$40,"")),"")</f>
        <v/>
      </c>
      <c r="I68" s="114" t="str">
        <f>IF(H68="","",VLOOKUP(F68,Berechnung2!$I$15:$J$25,2,FALSE))</f>
        <v/>
      </c>
      <c r="J68" s="125" t="str">
        <f t="shared" si="13"/>
        <v/>
      </c>
      <c r="L68" s="51" t="str">
        <f t="array" aca="1" ref="L68" ca="1">IF(ROW()-ROW($F$2:$F$111)+1&gt;ROWS($E$2:$E$111)-COUNTBLANK($E$2:$E$111),"",INDIRECT(ADDRESS(SMALL((IF($E$2:$E$111&gt;"",ROW($E$2:$E$111),ROW()+ROWS($E$2:$E$111))),ROW()-ROW($F$2:$F$111)+1),COLUMN($E$2:$E$111),4)))</f>
        <v/>
      </c>
      <c r="M68" s="51" t="str">
        <f t="array" aca="1" ref="M68" ca="1">IF(ROW()-ROW($G$2:$G$111)+1&gt;ROWS($F$2:$F$111)-COUNTBLANK($F$2:$F$111),"",INDIRECT(ADDRESS(SMALL((IF($F$2:$F$111&lt;&gt;"",ROW($F$2:$F$111),ROW()+ROWS($F$2:$F$111))),ROW()-ROW($G$2:$G$111)+1),COLUMN($F$2:$F$111),4)))</f>
        <v/>
      </c>
      <c r="N68" s="51" t="str">
        <f t="array" aca="1" ref="N68" ca="1">IF(ROW()-ROW($H$2:$H$111)+1&gt;ROWS($G$2:$G$111)-COUNTBLANK($G$2:$G$111),"",INDIRECT(ADDRESS(SMALL((IF($G$2:$G$111&lt;&gt;"",ROW($G$2:$G$111),ROW()+ROWS($G$2:$G$111))),ROW()-ROW($H$2:$H$111)+1),COLUMN($G$2:$G$111),4)))</f>
        <v/>
      </c>
      <c r="O68" s="114" t="str">
        <f t="array" aca="1" ref="O68" ca="1">IF(ROW()-ROW($I$2:$I$111)+1&gt;ROWS($H$2:$H$111)-COUNTBLANK($H$2:$H$111),"",INDIRECT(ADDRESS(SMALL((IF($H$2:$H$111&lt;&gt;"",ROW($H$2:$H$111),ROW()+ROWS($H$2:$H$111))),ROW()-ROW($I$2:$I$111)+1),COLUMN($H$2:$H$111),4)))</f>
        <v/>
      </c>
      <c r="P68" s="114" t="str">
        <f t="array" aca="1" ref="P68" ca="1">IF(ROW()-ROW($J$2:$J$111)+1&gt;ROWS($I$2:$I$111)-COUNTBLANK($I$2:$I$111),"",INDIRECT(ADDRESS(SMALL((IF($I$2:$I$111&lt;&gt;"",ROW($I$2:$I$111),ROW()+ROWS($I$2:$I$111))),ROW()-ROW($J$2:$J$111)+1),COLUMN($I$2:$I$111),4)))</f>
        <v/>
      </c>
    </row>
    <row r="69" spans="4:16" x14ac:dyDescent="0.25">
      <c r="D69" s="896"/>
      <c r="E69" s="182" t="str">
        <f>IF(H69="","","2015")</f>
        <v/>
      </c>
      <c r="F69" s="139" t="str">
        <f t="shared" si="14"/>
        <v/>
      </c>
      <c r="G69" s="139" t="str">
        <f t="shared" si="8"/>
        <v/>
      </c>
      <c r="H69" s="124" t="str">
        <f>IF(A9="relevant",IF(AND(Matrix!U27="",Matrix!V27="",Matrix!W27="",Matrix!X27="",Matrix!Y27=""),"",IF(Matrix!U27&lt;MAX(Matrix!V27:Y27),Berechnung2!$L$40,"")),"")</f>
        <v/>
      </c>
      <c r="I69" s="114" t="str">
        <f>IF(H69="","",VLOOKUP(F69,Berechnung2!$I$15:$J$25,2,FALSE))</f>
        <v/>
      </c>
      <c r="J69" s="125" t="str">
        <f t="shared" si="13"/>
        <v/>
      </c>
      <c r="L69" s="51" t="str">
        <f t="array" aca="1" ref="L69" ca="1">IF(ROW()-ROW($F$2:$F$111)+1&gt;ROWS($E$2:$E$111)-COUNTBLANK($E$2:$E$111),"",INDIRECT(ADDRESS(SMALL((IF($E$2:$E$111&gt;"",ROW($E$2:$E$111),ROW()+ROWS($E$2:$E$111))),ROW()-ROW($F$2:$F$111)+1),COLUMN($E$2:$E$111),4)))</f>
        <v/>
      </c>
      <c r="M69" s="51" t="str">
        <f t="array" aca="1" ref="M69" ca="1">IF(ROW()-ROW($G$2:$G$111)+1&gt;ROWS($F$2:$F$111)-COUNTBLANK($F$2:$F$111),"",INDIRECT(ADDRESS(SMALL((IF($F$2:$F$111&lt;&gt;"",ROW($F$2:$F$111),ROW()+ROWS($F$2:$F$111))),ROW()-ROW($G$2:$G$111)+1),COLUMN($F$2:$F$111),4)))</f>
        <v/>
      </c>
      <c r="N69" s="51" t="str">
        <f t="array" aca="1" ref="N69" ca="1">IF(ROW()-ROW($H$2:$H$111)+1&gt;ROWS($G$2:$G$111)-COUNTBLANK($G$2:$G$111),"",INDIRECT(ADDRESS(SMALL((IF($G$2:$G$111&lt;&gt;"",ROW($G$2:$G$111),ROW()+ROWS($G$2:$G$111))),ROW()-ROW($H$2:$H$111)+1),COLUMN($G$2:$G$111),4)))</f>
        <v/>
      </c>
      <c r="O69" s="114" t="str">
        <f t="array" aca="1" ref="O69" ca="1">IF(ROW()-ROW($I$2:$I$111)+1&gt;ROWS($H$2:$H$111)-COUNTBLANK($H$2:$H$111),"",INDIRECT(ADDRESS(SMALL((IF($H$2:$H$111&lt;&gt;"",ROW($H$2:$H$111),ROW()+ROWS($H$2:$H$111))),ROW()-ROW($I$2:$I$111)+1),COLUMN($H$2:$H$111),4)))</f>
        <v/>
      </c>
      <c r="P69" s="114" t="str">
        <f t="array" aca="1" ref="P69" ca="1">IF(ROW()-ROW($J$2:$J$111)+1&gt;ROWS($I$2:$I$111)-COUNTBLANK($I$2:$I$111),"",INDIRECT(ADDRESS(SMALL((IF($I$2:$I$111&lt;&gt;"",ROW($I$2:$I$111),ROW()+ROWS($I$2:$I$111))),ROW()-ROW($J$2:$J$111)+1),COLUMN($I$2:$I$111),4)))</f>
        <v/>
      </c>
    </row>
    <row r="70" spans="4:16" x14ac:dyDescent="0.25">
      <c r="D70" s="896"/>
      <c r="E70" s="182" t="str">
        <f>IF(H70="","","2016")</f>
        <v/>
      </c>
      <c r="F70" s="139" t="str">
        <f t="shared" si="14"/>
        <v/>
      </c>
      <c r="G70" s="139" t="str">
        <f t="shared" si="8"/>
        <v/>
      </c>
      <c r="H70" s="124" t="str">
        <f>IF(A10="relevant",IF(AND(Matrix!U28="",Matrix!V28="",Matrix!W28="",Matrix!X28="",Matrix!Y28=""),"",IF(Matrix!U28&lt;MAX(Matrix!V28:Y28),Berechnung2!$L$40,"")),"")</f>
        <v/>
      </c>
      <c r="I70" s="114" t="str">
        <f>IF(H70="","",VLOOKUP(F70,Berechnung2!$I$15:$J$25,2,FALSE))</f>
        <v/>
      </c>
      <c r="J70" s="125" t="str">
        <f t="shared" si="13"/>
        <v/>
      </c>
      <c r="L70" s="51" t="str">
        <f t="array" aca="1" ref="L70" ca="1">IF(ROW()-ROW($F$2:$F$111)+1&gt;ROWS($E$2:$E$111)-COUNTBLANK($E$2:$E$111),"",INDIRECT(ADDRESS(SMALL((IF($E$2:$E$111&gt;"",ROW($E$2:$E$111),ROW()+ROWS($E$2:$E$111))),ROW()-ROW($F$2:$F$111)+1),COLUMN($E$2:$E$111),4)))</f>
        <v/>
      </c>
      <c r="M70" s="51" t="str">
        <f t="array" aca="1" ref="M70" ca="1">IF(ROW()-ROW($G$2:$G$111)+1&gt;ROWS($F$2:$F$111)-COUNTBLANK($F$2:$F$111),"",INDIRECT(ADDRESS(SMALL((IF($F$2:$F$111&lt;&gt;"",ROW($F$2:$F$111),ROW()+ROWS($F$2:$F$111))),ROW()-ROW($G$2:$G$111)+1),COLUMN($F$2:$F$111),4)))</f>
        <v/>
      </c>
      <c r="N70" s="51" t="str">
        <f t="array" aca="1" ref="N70" ca="1">IF(ROW()-ROW($H$2:$H$111)+1&gt;ROWS($G$2:$G$111)-COUNTBLANK($G$2:$G$111),"",INDIRECT(ADDRESS(SMALL((IF($G$2:$G$111&lt;&gt;"",ROW($G$2:$G$111),ROW()+ROWS($G$2:$G$111))),ROW()-ROW($H$2:$H$111)+1),COLUMN($G$2:$G$111),4)))</f>
        <v/>
      </c>
      <c r="O70" s="114" t="str">
        <f t="array" aca="1" ref="O70" ca="1">IF(ROW()-ROW($I$2:$I$111)+1&gt;ROWS($H$2:$H$111)-COUNTBLANK($H$2:$H$111),"",INDIRECT(ADDRESS(SMALL((IF($H$2:$H$111&lt;&gt;"",ROW($H$2:$H$111),ROW()+ROWS($H$2:$H$111))),ROW()-ROW($I$2:$I$111)+1),COLUMN($H$2:$H$111),4)))</f>
        <v/>
      </c>
      <c r="P70" s="114" t="str">
        <f t="array" aca="1" ref="P70" ca="1">IF(ROW()-ROW($J$2:$J$111)+1&gt;ROWS($I$2:$I$111)-COUNTBLANK($I$2:$I$111),"",INDIRECT(ADDRESS(SMALL((IF($I$2:$I$111&lt;&gt;"",ROW($I$2:$I$111),ROW()+ROWS($I$2:$I$111))),ROW()-ROW($J$2:$J$111)+1),COLUMN($I$2:$I$111),4)))</f>
        <v/>
      </c>
    </row>
    <row r="71" spans="4:16" x14ac:dyDescent="0.25">
      <c r="D71" s="896"/>
      <c r="E71" s="182" t="str">
        <f>IF(H71="","","2017")</f>
        <v/>
      </c>
      <c r="F71" s="139" t="str">
        <f t="shared" si="14"/>
        <v/>
      </c>
      <c r="G71" s="139" t="str">
        <f t="shared" si="8"/>
        <v/>
      </c>
      <c r="H71" s="124" t="str">
        <f>IF(A11="relevant",IF(AND(Matrix!U29="",Matrix!V29="",Matrix!W29="",Matrix!X29="",Matrix!Y29=""),"",IF(Matrix!U29&lt;MAX(Matrix!V29:Y29),Berechnung2!$L$40,"")),"")</f>
        <v/>
      </c>
      <c r="I71" s="114" t="str">
        <f>IF(H71="","",VLOOKUP(F71,Berechnung2!$I$15:$J$25,2,FALSE))</f>
        <v/>
      </c>
      <c r="J71" s="125" t="str">
        <f t="shared" si="13"/>
        <v/>
      </c>
      <c r="L71" s="51" t="str">
        <f t="array" aca="1" ref="L71" ca="1">IF(ROW()-ROW($F$2:$F$111)+1&gt;ROWS($E$2:$E$111)-COUNTBLANK($E$2:$E$111),"",INDIRECT(ADDRESS(SMALL((IF($E$2:$E$111&gt;"",ROW($E$2:$E$111),ROW()+ROWS($E$2:$E$111))),ROW()-ROW($F$2:$F$111)+1),COLUMN($E$2:$E$111),4)))</f>
        <v/>
      </c>
      <c r="M71" s="51" t="str">
        <f t="array" aca="1" ref="M71" ca="1">IF(ROW()-ROW($G$2:$G$111)+1&gt;ROWS($F$2:$F$111)-COUNTBLANK($F$2:$F$111),"",INDIRECT(ADDRESS(SMALL((IF($F$2:$F$111&lt;&gt;"",ROW($F$2:$F$111),ROW()+ROWS($F$2:$F$111))),ROW()-ROW($G$2:$G$111)+1),COLUMN($F$2:$F$111),4)))</f>
        <v/>
      </c>
      <c r="N71" s="51" t="str">
        <f t="array" aca="1" ref="N71" ca="1">IF(ROW()-ROW($H$2:$H$111)+1&gt;ROWS($G$2:$G$111)-COUNTBLANK($G$2:$G$111),"",INDIRECT(ADDRESS(SMALL((IF($G$2:$G$111&lt;&gt;"",ROW($G$2:$G$111),ROW()+ROWS($G$2:$G$111))),ROW()-ROW($H$2:$H$111)+1),COLUMN($G$2:$G$111),4)))</f>
        <v/>
      </c>
      <c r="O71" s="114" t="str">
        <f t="array" aca="1" ref="O71" ca="1">IF(ROW()-ROW($I$2:$I$111)+1&gt;ROWS($H$2:$H$111)-COUNTBLANK($H$2:$H$111),"",INDIRECT(ADDRESS(SMALL((IF($H$2:$H$111&lt;&gt;"",ROW($H$2:$H$111),ROW()+ROWS($H$2:$H$111))),ROW()-ROW($I$2:$I$111)+1),COLUMN($H$2:$H$111),4)))</f>
        <v/>
      </c>
      <c r="P71" s="114" t="str">
        <f t="array" aca="1" ref="P71" ca="1">IF(ROW()-ROW($J$2:$J$111)+1&gt;ROWS($I$2:$I$111)-COUNTBLANK($I$2:$I$111),"",INDIRECT(ADDRESS(SMALL((IF($I$2:$I$111&lt;&gt;"",ROW($I$2:$I$111),ROW()+ROWS($I$2:$I$111))),ROW()-ROW($J$2:$J$111)+1),COLUMN($I$2:$I$111),4)))</f>
        <v/>
      </c>
    </row>
    <row r="72" spans="4:16" x14ac:dyDescent="0.25">
      <c r="D72" s="169"/>
      <c r="E72" s="182" t="str">
        <f>IF(H72="","","2018")</f>
        <v/>
      </c>
      <c r="F72" s="344"/>
      <c r="G72" s="344"/>
      <c r="H72" s="345"/>
      <c r="I72" s="346"/>
      <c r="J72" s="347"/>
      <c r="L72" s="51" t="str">
        <f t="array" aca="1" ref="L72" ca="1">IF(ROW()-ROW($F$2:$F$111)+1&gt;ROWS($E$2:$E$111)-COUNTBLANK($E$2:$E$111),"",INDIRECT(ADDRESS(SMALL((IF($E$2:$E$111&gt;"",ROW($E$2:$E$111),ROW()+ROWS($E$2:$E$111))),ROW()-ROW($F$2:$F$111)+1),COLUMN($E$2:$E$111),4)))</f>
        <v/>
      </c>
      <c r="M72" s="51" t="str">
        <f t="array" aca="1" ref="M72" ca="1">IF(ROW()-ROW($G$2:$G$111)+1&gt;ROWS($F$2:$F$111)-COUNTBLANK($F$2:$F$111),"",INDIRECT(ADDRESS(SMALL((IF($F$2:$F$111&lt;&gt;"",ROW($F$2:$F$111),ROW()+ROWS($F$2:$F$111))),ROW()-ROW($G$2:$G$111)+1),COLUMN($F$2:$F$111),4)))</f>
        <v/>
      </c>
      <c r="N72" s="51" t="str">
        <f t="array" aca="1" ref="N72" ca="1">IF(ROW()-ROW($H$2:$H$111)+1&gt;ROWS($G$2:$G$111)-COUNTBLANK($G$2:$G$111),"",INDIRECT(ADDRESS(SMALL((IF($G$2:$G$111&lt;&gt;"",ROW($G$2:$G$111),ROW()+ROWS($G$2:$G$111))),ROW()-ROW($H$2:$H$111)+1),COLUMN($G$2:$G$111),4)))</f>
        <v/>
      </c>
      <c r="O72" s="114" t="str">
        <f t="array" aca="1" ref="O72" ca="1">IF(ROW()-ROW($I$2:$I$111)+1&gt;ROWS($H$2:$H$111)-COUNTBLANK($H$2:$H$111),"",INDIRECT(ADDRESS(SMALL((IF($H$2:$H$111&lt;&gt;"",ROW($H$2:$H$111),ROW()+ROWS($H$2:$H$111))),ROW()-ROW($I$2:$I$111)+1),COLUMN($H$2:$H$111),4)))</f>
        <v/>
      </c>
      <c r="P72" s="114" t="str">
        <f t="array" aca="1" ref="P72" ca="1">IF(ROW()-ROW($J$2:$J$111)+1&gt;ROWS($I$2:$I$111)-COUNTBLANK($I$2:$I$111),"",INDIRECT(ADDRESS(SMALL((IF($I$2:$I$111&lt;&gt;"",ROW($I$2:$I$111),ROW()+ROWS($I$2:$I$111))),ROW()-ROW($J$2:$J$111)+1),COLUMN($I$2:$I$111),4)))</f>
        <v/>
      </c>
    </row>
    <row r="73" spans="4:16" ht="15" customHeight="1" thickBot="1" x14ac:dyDescent="0.3">
      <c r="D73" s="170" t="s">
        <v>74</v>
      </c>
      <c r="E73" s="182" t="str">
        <f>IF(H73="","","2019")</f>
        <v/>
      </c>
      <c r="F73" s="340"/>
      <c r="G73" s="340"/>
      <c r="H73" s="341"/>
      <c r="I73" s="342"/>
      <c r="J73" s="343"/>
      <c r="L73" s="51" t="str">
        <f t="array" aca="1" ref="L73" ca="1">IF(ROW()-ROW($F$2:$F$111)+1&gt;ROWS($E$2:$E$111)-COUNTBLANK($E$2:$E$111),"",INDIRECT(ADDRESS(SMALL((IF($E$2:$E$111&gt;"",ROW($E$2:$E$111),ROW()+ROWS($E$2:$E$111))),ROW()-ROW($F$2:$F$111)+1),COLUMN($E$2:$E$111),4)))</f>
        <v/>
      </c>
      <c r="M73" s="51" t="str">
        <f t="array" aca="1" ref="M73" ca="1">IF(ROW()-ROW($G$2:$G$111)+1&gt;ROWS($F$2:$F$111)-COUNTBLANK($F$2:$F$111),"",INDIRECT(ADDRESS(SMALL((IF($F$2:$F$111&lt;&gt;"",ROW($F$2:$F$111),ROW()+ROWS($F$2:$F$111))),ROW()-ROW($G$2:$G$111)+1),COLUMN($F$2:$F$111),4)))</f>
        <v/>
      </c>
      <c r="N73" s="51" t="str">
        <f t="array" aca="1" ref="N73" ca="1">IF(ROW()-ROW($H$2:$H$111)+1&gt;ROWS($G$2:$G$111)-COUNTBLANK($G$2:$G$111),"",INDIRECT(ADDRESS(SMALL((IF($G$2:$G$111&lt;&gt;"",ROW($G$2:$G$111),ROW()+ROWS($G$2:$G$111))),ROW()-ROW($H$2:$H$111)+1),COLUMN($G$2:$G$111),4)))</f>
        <v/>
      </c>
      <c r="O73" s="114" t="str">
        <f t="array" aca="1" ref="O73" ca="1">IF(ROW()-ROW($I$2:$I$111)+1&gt;ROWS($H$2:$H$111)-COUNTBLANK($H$2:$H$111),"",INDIRECT(ADDRESS(SMALL((IF($H$2:$H$111&lt;&gt;"",ROW($H$2:$H$111),ROW()+ROWS($H$2:$H$111))),ROW()-ROW($I$2:$I$111)+1),COLUMN($H$2:$H$111),4)))</f>
        <v/>
      </c>
      <c r="P73" s="114" t="str">
        <f t="array" aca="1" ref="P73" ca="1">IF(ROW()-ROW($J$2:$J$111)+1&gt;ROWS($I$2:$I$111)-COUNTBLANK($I$2:$I$111),"",INDIRECT(ADDRESS(SMALL((IF($I$2:$I$111&lt;&gt;"",ROW($I$2:$I$111),ROW()+ROWS($I$2:$I$111))),ROW()-ROW($J$2:$J$111)+1),COLUMN($I$2:$I$111),4)))</f>
        <v/>
      </c>
    </row>
    <row r="74" spans="4:16" ht="20.25" customHeight="1" x14ac:dyDescent="0.25">
      <c r="D74" s="121" t="s">
        <v>202</v>
      </c>
      <c r="E74" s="181" t="str">
        <f>IF(H74="","","2008")</f>
        <v/>
      </c>
      <c r="F74" s="137" t="str">
        <f>IF(H74="","","q")</f>
        <v/>
      </c>
      <c r="G74" s="137" t="str">
        <f>IF(H74="","","1")</f>
        <v/>
      </c>
      <c r="H74" s="339" t="str">
        <f>IF(A2="relevant",IF(AND(Matrix!Z20="",Matrix!AA20="",Matrix!AB20="",Matrix!AC20="",Matrix!AD20=""),"",IF(Matrix!Z20&lt;MAX(Matrix!AA20:AD20),Berechnung2!$L$41,"")),"")</f>
        <v/>
      </c>
      <c r="I74" s="127" t="str">
        <f>IF(H74="","",VLOOKUP(F74,Berechnung2!$I$15:$J$25,2,FALSE))</f>
        <v/>
      </c>
      <c r="J74" s="126" t="str">
        <f t="shared" si="13"/>
        <v/>
      </c>
      <c r="L74" s="51" t="str">
        <f t="array" aca="1" ref="L74" ca="1">IF(ROW()-ROW($F$2:$F$111)+1&gt;ROWS($E$2:$E$111)-COUNTBLANK($E$2:$E$111),"",INDIRECT(ADDRESS(SMALL((IF($E$2:$E$111&gt;"",ROW($E$2:$E$111),ROW()+ROWS($E$2:$E$111))),ROW()-ROW($F$2:$F$111)+1),COLUMN($E$2:$E$111),4)))</f>
        <v/>
      </c>
      <c r="M74" s="51" t="str">
        <f t="array" aca="1" ref="M74" ca="1">IF(ROW()-ROW($G$2:$G$111)+1&gt;ROWS($F$2:$F$111)-COUNTBLANK($F$2:$F$111),"",INDIRECT(ADDRESS(SMALL((IF($F$2:$F$111&lt;&gt;"",ROW($F$2:$F$111),ROW()+ROWS($F$2:$F$111))),ROW()-ROW($G$2:$G$111)+1),COLUMN($F$2:$F$111),4)))</f>
        <v/>
      </c>
      <c r="N74" s="51" t="str">
        <f t="array" aca="1" ref="N74" ca="1">IF(ROW()-ROW($H$2:$H$111)+1&gt;ROWS($G$2:$G$111)-COUNTBLANK($G$2:$G$111),"",INDIRECT(ADDRESS(SMALL((IF($G$2:$G$111&lt;&gt;"",ROW($G$2:$G$111),ROW()+ROWS($G$2:$G$111))),ROW()-ROW($H$2:$H$111)+1),COLUMN($G$2:$G$111),4)))</f>
        <v/>
      </c>
      <c r="O74" s="114" t="str">
        <f t="array" aca="1" ref="O74" ca="1">IF(ROW()-ROW($I$2:$I$111)+1&gt;ROWS($H$2:$H$111)-COUNTBLANK($H$2:$H$111),"",INDIRECT(ADDRESS(SMALL((IF($H$2:$H$111&lt;&gt;"",ROW($H$2:$H$111),ROW()+ROWS($H$2:$H$111))),ROW()-ROW($I$2:$I$111)+1),COLUMN($H$2:$H$111),4)))</f>
        <v/>
      </c>
      <c r="P74" s="114" t="str">
        <f t="array" aca="1" ref="P74" ca="1">IF(ROW()-ROW($J$2:$J$111)+1&gt;ROWS($I$2:$I$111)-COUNTBLANK($I$2:$I$111),"",INDIRECT(ADDRESS(SMALL((IF($I$2:$I$111&lt;&gt;"",ROW($I$2:$I$111),ROW()+ROWS($I$2:$I$111))),ROW()-ROW($J$2:$J$111)+1),COLUMN($I$2:$I$111),4)))</f>
        <v/>
      </c>
    </row>
    <row r="75" spans="4:16" ht="15" customHeight="1" x14ac:dyDescent="0.25">
      <c r="D75" s="896" t="s">
        <v>71</v>
      </c>
      <c r="E75" s="182" t="str">
        <f>IF(H75="","","2009")</f>
        <v/>
      </c>
      <c r="F75" s="164" t="str">
        <f t="shared" ref="F75:F83" si="15">IF(H75="","","q")</f>
        <v/>
      </c>
      <c r="G75" s="164" t="str">
        <f t="shared" ref="G75:G83" si="16">IF(H75="","","1")</f>
        <v/>
      </c>
      <c r="H75" s="124" t="str">
        <f>IF(A3="relevant",IF(AND(Matrix!Z21="",Matrix!AA21="",Matrix!AB21="",Matrix!AC21="",Matrix!AD21=""),"",IF(Matrix!Z21&lt;MAX(Matrix!AA21:AD21),Berechnung2!$L$41,"")),"")</f>
        <v/>
      </c>
      <c r="I75" s="166" t="str">
        <f>IF(H75="","",VLOOKUP(F75,Berechnung2!$I$15:$J$25,2,FALSE))</f>
        <v/>
      </c>
      <c r="J75" s="167" t="str">
        <f t="shared" ref="J75:J83" si="17">IF(H75&lt;&gt;"",1,"")</f>
        <v/>
      </c>
      <c r="L75" s="51" t="str">
        <f t="array" aca="1" ref="L75" ca="1">IF(ROW()-ROW($F$2:$F$111)+1&gt;ROWS($E$2:$E$111)-COUNTBLANK($E$2:$E$111),"",INDIRECT(ADDRESS(SMALL((IF($E$2:$E$111&gt;"",ROW($E$2:$E$111),ROW()+ROWS($E$2:$E$111))),ROW()-ROW($F$2:$F$111)+1),COLUMN($E$2:$E$111),4)))</f>
        <v/>
      </c>
      <c r="M75" s="51" t="str">
        <f t="array" aca="1" ref="M75" ca="1">IF(ROW()-ROW($G$2:$G$111)+1&gt;ROWS($F$2:$F$111)-COUNTBLANK($F$2:$F$111),"",INDIRECT(ADDRESS(SMALL((IF($F$2:$F$111&lt;&gt;"",ROW($F$2:$F$111),ROW()+ROWS($F$2:$F$111))),ROW()-ROW($G$2:$G$111)+1),COLUMN($F$2:$F$111),4)))</f>
        <v/>
      </c>
      <c r="N75" s="51" t="str">
        <f t="array" aca="1" ref="N75" ca="1">IF(ROW()-ROW($H$2:$H$111)+1&gt;ROWS($G$2:$G$111)-COUNTBLANK($G$2:$G$111),"",INDIRECT(ADDRESS(SMALL((IF($G$2:$G$111&lt;&gt;"",ROW($G$2:$G$111),ROW()+ROWS($G$2:$G$111))),ROW()-ROW($H$2:$H$111)+1),COLUMN($G$2:$G$111),4)))</f>
        <v/>
      </c>
      <c r="O75" s="114" t="str">
        <f t="array" aca="1" ref="O75" ca="1">IF(ROW()-ROW($I$2:$I$111)+1&gt;ROWS($H$2:$H$111)-COUNTBLANK($H$2:$H$111),"",INDIRECT(ADDRESS(SMALL((IF($H$2:$H$111&lt;&gt;"",ROW($H$2:$H$111),ROW()+ROWS($H$2:$H$111))),ROW()-ROW($I$2:$I$111)+1),COLUMN($H$2:$H$111),4)))</f>
        <v/>
      </c>
      <c r="P75" s="114" t="str">
        <f t="array" aca="1" ref="P75" ca="1">IF(ROW()-ROW($J$2:$J$111)+1&gt;ROWS($I$2:$I$111)-COUNTBLANK($I$2:$I$111),"",INDIRECT(ADDRESS(SMALL((IF($I$2:$I$111&lt;&gt;"",ROW($I$2:$I$111),ROW()+ROWS($I$2:$I$111))),ROW()-ROW($J$2:$J$111)+1),COLUMN($I$2:$I$111),4)))</f>
        <v/>
      </c>
    </row>
    <row r="76" spans="4:16" ht="11.25" customHeight="1" x14ac:dyDescent="0.25">
      <c r="D76" s="896"/>
      <c r="E76" s="182" t="str">
        <f>IF(H76="","","2010")</f>
        <v/>
      </c>
      <c r="F76" s="164" t="str">
        <f t="shared" si="15"/>
        <v/>
      </c>
      <c r="G76" s="164" t="str">
        <f t="shared" si="16"/>
        <v/>
      </c>
      <c r="H76" s="124" t="str">
        <f>IF(A4="relevant",IF(AND(Matrix!Z22="",Matrix!AA22="",Matrix!AB22="",Matrix!AC22="",Matrix!AD22=""),"",IF(Matrix!Z22&lt;MAX(Matrix!AA22:AD22),Berechnung2!$L$41,"")),"")</f>
        <v/>
      </c>
      <c r="I76" s="166" t="str">
        <f>IF(H76="","",VLOOKUP(F76,Berechnung2!$I$15:$J$25,2,FALSE))</f>
        <v/>
      </c>
      <c r="J76" s="167" t="str">
        <f t="shared" si="17"/>
        <v/>
      </c>
      <c r="L76" s="51" t="str">
        <f t="array" aca="1" ref="L76" ca="1">IF(ROW()-ROW($F$2:$F$111)+1&gt;ROWS($E$2:$E$111)-COUNTBLANK($E$2:$E$111),"",INDIRECT(ADDRESS(SMALL((IF($E$2:$E$111&gt;"",ROW($E$2:$E$111),ROW()+ROWS($E$2:$E$111))),ROW()-ROW($F$2:$F$111)+1),COLUMN($E$2:$E$111),4)))</f>
        <v/>
      </c>
      <c r="M76" s="51" t="str">
        <f t="array" aca="1" ref="M76" ca="1">IF(ROW()-ROW($G$2:$G$111)+1&gt;ROWS($F$2:$F$111)-COUNTBLANK($F$2:$F$111),"",INDIRECT(ADDRESS(SMALL((IF($F$2:$F$111&lt;&gt;"",ROW($F$2:$F$111),ROW()+ROWS($F$2:$F$111))),ROW()-ROW($G$2:$G$111)+1),COLUMN($F$2:$F$111),4)))</f>
        <v/>
      </c>
      <c r="N76" s="51" t="str">
        <f t="array" aca="1" ref="N76" ca="1">IF(ROW()-ROW($H$2:$H$111)+1&gt;ROWS($G$2:$G$111)-COUNTBLANK($G$2:$G$111),"",INDIRECT(ADDRESS(SMALL((IF($G$2:$G$111&lt;&gt;"",ROW($G$2:$G$111),ROW()+ROWS($G$2:$G$111))),ROW()-ROW($H$2:$H$111)+1),COLUMN($G$2:$G$111),4)))</f>
        <v/>
      </c>
      <c r="O76" s="114" t="str">
        <f t="array" aca="1" ref="O76" ca="1">IF(ROW()-ROW($I$2:$I$111)+1&gt;ROWS($H$2:$H$111)-COUNTBLANK($H$2:$H$111),"",INDIRECT(ADDRESS(SMALL((IF($H$2:$H$111&lt;&gt;"",ROW($H$2:$H$111),ROW()+ROWS($H$2:$H$111))),ROW()-ROW($I$2:$I$111)+1),COLUMN($H$2:$H$111),4)))</f>
        <v/>
      </c>
      <c r="P76" s="114" t="str">
        <f t="array" aca="1" ref="P76" ca="1">IF(ROW()-ROW($J$2:$J$111)+1&gt;ROWS($I$2:$I$111)-COUNTBLANK($I$2:$I$111),"",INDIRECT(ADDRESS(SMALL((IF($I$2:$I$111&lt;&gt;"",ROW($I$2:$I$111),ROW()+ROWS($I$2:$I$111))),ROW()-ROW($J$2:$J$111)+1),COLUMN($I$2:$I$111),4)))</f>
        <v/>
      </c>
    </row>
    <row r="77" spans="4:16" ht="15" customHeight="1" x14ac:dyDescent="0.25">
      <c r="D77" s="896"/>
      <c r="E77" s="182" t="str">
        <f>IF(H77="","","2011")</f>
        <v/>
      </c>
      <c r="F77" s="164" t="str">
        <f t="shared" si="15"/>
        <v/>
      </c>
      <c r="G77" s="164" t="str">
        <f t="shared" si="16"/>
        <v/>
      </c>
      <c r="H77" s="124" t="str">
        <f>IF(A5="relevant",IF(AND(Matrix!Z23="",Matrix!AA23="",Matrix!AB23="",Matrix!AC23="",Matrix!AD23=""),"",IF(Matrix!Z23&lt;MAX(Matrix!AA23:AD23),Berechnung2!$L$41,"")),"")</f>
        <v/>
      </c>
      <c r="I77" s="166" t="str">
        <f>IF(H77="","",VLOOKUP(F77,Berechnung2!$I$15:$J$25,2,FALSE))</f>
        <v/>
      </c>
      <c r="J77" s="167" t="str">
        <f t="shared" si="17"/>
        <v/>
      </c>
      <c r="L77" s="51" t="str">
        <f t="array" aca="1" ref="L77" ca="1">IF(ROW()-ROW($F$2:$F$111)+1&gt;ROWS($E$2:$E$111)-COUNTBLANK($E$2:$E$111),"",INDIRECT(ADDRESS(SMALL((IF($E$2:$E$111&gt;"",ROW($E$2:$E$111),ROW()+ROWS($E$2:$E$111))),ROW()-ROW($F$2:$F$111)+1),COLUMN($E$2:$E$111),4)))</f>
        <v/>
      </c>
      <c r="M77" s="51" t="str">
        <f t="array" aca="1" ref="M77" ca="1">IF(ROW()-ROW($G$2:$G$111)+1&gt;ROWS($F$2:$F$111)-COUNTBLANK($F$2:$F$111),"",INDIRECT(ADDRESS(SMALL((IF($F$2:$F$111&lt;&gt;"",ROW($F$2:$F$111),ROW()+ROWS($F$2:$F$111))),ROW()-ROW($G$2:$G$111)+1),COLUMN($F$2:$F$111),4)))</f>
        <v/>
      </c>
      <c r="N77" s="51" t="str">
        <f t="array" aca="1" ref="N77" ca="1">IF(ROW()-ROW($H$2:$H$111)+1&gt;ROWS($G$2:$G$111)-COUNTBLANK($G$2:$G$111),"",INDIRECT(ADDRESS(SMALL((IF($G$2:$G$111&lt;&gt;"",ROW($G$2:$G$111),ROW()+ROWS($G$2:$G$111))),ROW()-ROW($H$2:$H$111)+1),COLUMN($G$2:$G$111),4)))</f>
        <v/>
      </c>
      <c r="O77" s="114" t="str">
        <f t="array" aca="1" ref="O77" ca="1">IF(ROW()-ROW($I$2:$I$111)+1&gt;ROWS($H$2:$H$111)-COUNTBLANK($H$2:$H$111),"",INDIRECT(ADDRESS(SMALL((IF($H$2:$H$111&lt;&gt;"",ROW($H$2:$H$111),ROW()+ROWS($H$2:$H$111))),ROW()-ROW($I$2:$I$111)+1),COLUMN($H$2:$H$111),4)))</f>
        <v/>
      </c>
      <c r="P77" s="114" t="str">
        <f t="array" aca="1" ref="P77" ca="1">IF(ROW()-ROW($J$2:$J$111)+1&gt;ROWS($I$2:$I$111)-COUNTBLANK($I$2:$I$111),"",INDIRECT(ADDRESS(SMALL((IF($I$2:$I$111&lt;&gt;"",ROW($I$2:$I$111),ROW()+ROWS($I$2:$I$111))),ROW()-ROW($J$2:$J$111)+1),COLUMN($I$2:$I$111),4)))</f>
        <v/>
      </c>
    </row>
    <row r="78" spans="4:16" ht="15" customHeight="1" x14ac:dyDescent="0.25">
      <c r="D78" s="896"/>
      <c r="E78" s="182" t="str">
        <f>IF(H78="","","2012")</f>
        <v/>
      </c>
      <c r="F78" s="164" t="str">
        <f t="shared" si="15"/>
        <v/>
      </c>
      <c r="G78" s="164" t="str">
        <f t="shared" si="16"/>
        <v/>
      </c>
      <c r="H78" s="124" t="str">
        <f>IF(A6="relevant",IF(AND(Matrix!Z24="",Matrix!AA24="",Matrix!AB24="",Matrix!AC24="",Matrix!AD24=""),"",IF(Matrix!Z24&lt;MAX(Matrix!AA24:AD24),Berechnung2!$L$41,"")),"")</f>
        <v/>
      </c>
      <c r="I78" s="166" t="str">
        <f>IF(H78="","",VLOOKUP(F78,Berechnung2!$I$15:$J$25,2,FALSE))</f>
        <v/>
      </c>
      <c r="J78" s="167" t="str">
        <f t="shared" si="17"/>
        <v/>
      </c>
      <c r="L78" s="51" t="str">
        <f t="array" aca="1" ref="L78" ca="1">IF(ROW()-ROW($F$2:$F$111)+1&gt;ROWS($E$2:$E$111)-COUNTBLANK($E$2:$E$111),"",INDIRECT(ADDRESS(SMALL((IF($E$2:$E$111&gt;"",ROW($E$2:$E$111),ROW()+ROWS($E$2:$E$111))),ROW()-ROW($F$2:$F$111)+1),COLUMN($E$2:$E$111),4)))</f>
        <v/>
      </c>
      <c r="M78" s="51" t="str">
        <f t="array" aca="1" ref="M78" ca="1">IF(ROW()-ROW($G$2:$G$111)+1&gt;ROWS($F$2:$F$111)-COUNTBLANK($F$2:$F$111),"",INDIRECT(ADDRESS(SMALL((IF($F$2:$F$111&lt;&gt;"",ROW($F$2:$F$111),ROW()+ROWS($F$2:$F$111))),ROW()-ROW($G$2:$G$111)+1),COLUMN($F$2:$F$111),4)))</f>
        <v/>
      </c>
      <c r="N78" s="51" t="str">
        <f t="array" aca="1" ref="N78" ca="1">IF(ROW()-ROW($H$2:$H$111)+1&gt;ROWS($G$2:$G$111)-COUNTBLANK($G$2:$G$111),"",INDIRECT(ADDRESS(SMALL((IF($G$2:$G$111&lt;&gt;"",ROW($G$2:$G$111),ROW()+ROWS($G$2:$G$111))),ROW()-ROW($H$2:$H$111)+1),COLUMN($G$2:$G$111),4)))</f>
        <v/>
      </c>
      <c r="O78" s="114" t="str">
        <f t="array" aca="1" ref="O78" ca="1">IF(ROW()-ROW($I$2:$I$111)+1&gt;ROWS($H$2:$H$111)-COUNTBLANK($H$2:$H$111),"",INDIRECT(ADDRESS(SMALL((IF($H$2:$H$111&lt;&gt;"",ROW($H$2:$H$111),ROW()+ROWS($H$2:$H$111))),ROW()-ROW($I$2:$I$111)+1),COLUMN($H$2:$H$111),4)))</f>
        <v/>
      </c>
      <c r="P78" s="114" t="str">
        <f t="array" aca="1" ref="P78" ca="1">IF(ROW()-ROW($J$2:$J$111)+1&gt;ROWS($I$2:$I$111)-COUNTBLANK($I$2:$I$111),"",INDIRECT(ADDRESS(SMALL((IF($I$2:$I$111&lt;&gt;"",ROW($I$2:$I$111),ROW()+ROWS($I$2:$I$111))),ROW()-ROW($J$2:$J$111)+1),COLUMN($I$2:$I$111),4)))</f>
        <v/>
      </c>
    </row>
    <row r="79" spans="4:16" ht="40.5" customHeight="1" x14ac:dyDescent="0.25">
      <c r="D79" s="896"/>
      <c r="E79" s="182" t="str">
        <f>IF(H79="","","2013")</f>
        <v/>
      </c>
      <c r="F79" s="164" t="str">
        <f t="shared" si="15"/>
        <v/>
      </c>
      <c r="G79" s="164" t="str">
        <f t="shared" si="16"/>
        <v/>
      </c>
      <c r="H79" s="124" t="str">
        <f>IF(A7="relevant",IF(AND(Matrix!Z25="",Matrix!AA25="",Matrix!AB25="",Matrix!AC25="",Matrix!AD25=""),"",IF(Matrix!Z25&lt;MAX(Matrix!AA25:AD25),Berechnung2!$L$41,"")),"")</f>
        <v/>
      </c>
      <c r="I79" s="166" t="str">
        <f>IF(H79="","",VLOOKUP(F79,Berechnung2!$I$15:$J$25,2,FALSE))</f>
        <v/>
      </c>
      <c r="J79" s="167" t="str">
        <f t="shared" si="17"/>
        <v/>
      </c>
      <c r="L79" s="51" t="str">
        <f t="array" aca="1" ref="L79" ca="1">IF(ROW()-ROW($F$2:$F$111)+1&gt;ROWS($E$2:$E$111)-COUNTBLANK($E$2:$E$111),"",INDIRECT(ADDRESS(SMALL((IF($E$2:$E$111&gt;"",ROW($E$2:$E$111),ROW()+ROWS($E$2:$E$111))),ROW()-ROW($F$2:$F$111)+1),COLUMN($E$2:$E$111),4)))</f>
        <v/>
      </c>
      <c r="M79" s="51" t="str">
        <f t="array" aca="1" ref="M79" ca="1">IF(ROW()-ROW($G$2:$G$111)+1&gt;ROWS($F$2:$F$111)-COUNTBLANK($F$2:$F$111),"",INDIRECT(ADDRESS(SMALL((IF($F$2:$F$111&lt;&gt;"",ROW($F$2:$F$111),ROW()+ROWS($F$2:$F$111))),ROW()-ROW($G$2:$G$111)+1),COLUMN($F$2:$F$111),4)))</f>
        <v/>
      </c>
      <c r="N79" s="51" t="str">
        <f t="array" aca="1" ref="N79" ca="1">IF(ROW()-ROW($H$2:$H$111)+1&gt;ROWS($G$2:$G$111)-COUNTBLANK($G$2:$G$111),"",INDIRECT(ADDRESS(SMALL((IF($G$2:$G$111&lt;&gt;"",ROW($G$2:$G$111),ROW()+ROWS($G$2:$G$111))),ROW()-ROW($H$2:$H$111)+1),COLUMN($G$2:$G$111),4)))</f>
        <v/>
      </c>
      <c r="O79" s="114" t="str">
        <f t="array" aca="1" ref="O79" ca="1">IF(ROW()-ROW($I$2:$I$111)+1&gt;ROWS($H$2:$H$111)-COUNTBLANK($H$2:$H$111),"",INDIRECT(ADDRESS(SMALL((IF($H$2:$H$111&lt;&gt;"",ROW($H$2:$H$111),ROW()+ROWS($H$2:$H$111))),ROW()-ROW($I$2:$I$111)+1),COLUMN($H$2:$H$111),4)))</f>
        <v/>
      </c>
      <c r="P79" s="114" t="str">
        <f t="array" aca="1" ref="P79" ca="1">IF(ROW()-ROW($J$2:$J$111)+1&gt;ROWS($I$2:$I$111)-COUNTBLANK($I$2:$I$111),"",INDIRECT(ADDRESS(SMALL((IF($I$2:$I$111&lt;&gt;"",ROW($I$2:$I$111),ROW()+ROWS($I$2:$I$111))),ROW()-ROW($J$2:$J$111)+1),COLUMN($I$2:$I$111),4)))</f>
        <v/>
      </c>
    </row>
    <row r="80" spans="4:16" ht="15" customHeight="1" x14ac:dyDescent="0.25">
      <c r="D80" s="896"/>
      <c r="E80" s="182" t="str">
        <f>IF(H80="","","2014")</f>
        <v/>
      </c>
      <c r="F80" s="164" t="str">
        <f t="shared" si="15"/>
        <v/>
      </c>
      <c r="G80" s="164" t="str">
        <f t="shared" si="16"/>
        <v/>
      </c>
      <c r="H80" s="124" t="str">
        <f>IF(A8="relevant",IF(AND(Matrix!Z26="",Matrix!AA26="",Matrix!AB26="",Matrix!AC26="",Matrix!AD26=""),"",IF(Matrix!Z26&lt;MAX(Matrix!AA26:AD26),Berechnung2!$L$41,"")),"")</f>
        <v/>
      </c>
      <c r="I80" s="166" t="str">
        <f>IF(H80="","",VLOOKUP(F80,Berechnung2!$I$15:$J$25,2,FALSE))</f>
        <v/>
      </c>
      <c r="J80" s="167" t="str">
        <f t="shared" si="17"/>
        <v/>
      </c>
      <c r="L80" s="51" t="str">
        <f t="array" aca="1" ref="L80" ca="1">IF(ROW()-ROW($F$2:$F$111)+1&gt;ROWS($E$2:$E$111)-COUNTBLANK($E$2:$E$111),"",INDIRECT(ADDRESS(SMALL((IF($E$2:$E$111&gt;"",ROW($E$2:$E$111),ROW()+ROWS($E$2:$E$111))),ROW()-ROW($F$2:$F$111)+1),COLUMN($E$2:$E$111),4)))</f>
        <v/>
      </c>
      <c r="M80" s="51" t="str">
        <f t="array" aca="1" ref="M80" ca="1">IF(ROW()-ROW($G$2:$G$111)+1&gt;ROWS($F$2:$F$111)-COUNTBLANK($F$2:$F$111),"",INDIRECT(ADDRESS(SMALL((IF($F$2:$F$111&lt;&gt;"",ROW($F$2:$F$111),ROW()+ROWS($F$2:$F$111))),ROW()-ROW($G$2:$G$111)+1),COLUMN($F$2:$F$111),4)))</f>
        <v/>
      </c>
      <c r="N80" s="51" t="str">
        <f t="array" aca="1" ref="N80" ca="1">IF(ROW()-ROW($H$2:$H$111)+1&gt;ROWS($G$2:$G$111)-COUNTBLANK($G$2:$G$111),"",INDIRECT(ADDRESS(SMALL((IF($G$2:$G$111&lt;&gt;"",ROW($G$2:$G$111),ROW()+ROWS($G$2:$G$111))),ROW()-ROW($H$2:$H$111)+1),COLUMN($G$2:$G$111),4)))</f>
        <v/>
      </c>
      <c r="O80" s="114" t="str">
        <f t="array" aca="1" ref="O80" ca="1">IF(ROW()-ROW($I$2:$I$111)+1&gt;ROWS($H$2:$H$111)-COUNTBLANK($H$2:$H$111),"",INDIRECT(ADDRESS(SMALL((IF($H$2:$H$111&lt;&gt;"",ROW($H$2:$H$111),ROW()+ROWS($H$2:$H$111))),ROW()-ROW($I$2:$I$111)+1),COLUMN($H$2:$H$111),4)))</f>
        <v/>
      </c>
      <c r="P80" s="114" t="str">
        <f t="array" aca="1" ref="P80" ca="1">IF(ROW()-ROW($J$2:$J$111)+1&gt;ROWS($I$2:$I$111)-COUNTBLANK($I$2:$I$111),"",INDIRECT(ADDRESS(SMALL((IF($I$2:$I$111&lt;&gt;"",ROW($I$2:$I$111),ROW()+ROWS($I$2:$I$111))),ROW()-ROW($J$2:$J$111)+1),COLUMN($I$2:$I$111),4)))</f>
        <v/>
      </c>
    </row>
    <row r="81" spans="4:16" ht="11.25" customHeight="1" x14ac:dyDescent="0.25">
      <c r="D81" s="896"/>
      <c r="E81" s="182" t="str">
        <f>IF(H81="","","2015")</f>
        <v/>
      </c>
      <c r="F81" s="164" t="str">
        <f t="shared" si="15"/>
        <v/>
      </c>
      <c r="G81" s="164" t="str">
        <f t="shared" si="16"/>
        <v/>
      </c>
      <c r="H81" s="124" t="str">
        <f>IF(A9="relevant",IF(AND(Matrix!Z27="",Matrix!AA27="",Matrix!AB27="",Matrix!AC27="",Matrix!AD27=""),"",IF(Matrix!Z27&lt;MAX(Matrix!AA27:AD27),Berechnung2!$L$41,"")),"")</f>
        <v/>
      </c>
      <c r="I81" s="166" t="str">
        <f>IF(H81="","",VLOOKUP(F81,Berechnung2!$I$15:$J$25,2,FALSE))</f>
        <v/>
      </c>
      <c r="J81" s="167" t="str">
        <f t="shared" si="17"/>
        <v/>
      </c>
      <c r="L81" s="51" t="str">
        <f t="array" aca="1" ref="L81" ca="1">IF(ROW()-ROW($F$2:$F$111)+1&gt;ROWS($E$2:$E$111)-COUNTBLANK($E$2:$E$111),"",INDIRECT(ADDRESS(SMALL((IF($E$2:$E$111&gt;"",ROW($E$2:$E$111),ROW()+ROWS($E$2:$E$111))),ROW()-ROW($F$2:$F$111)+1),COLUMN($E$2:$E$111),4)))</f>
        <v/>
      </c>
      <c r="M81" s="51" t="str">
        <f t="array" aca="1" ref="M81" ca="1">IF(ROW()-ROW($G$2:$G$111)+1&gt;ROWS($F$2:$F$111)-COUNTBLANK($F$2:$F$111),"",INDIRECT(ADDRESS(SMALL((IF($F$2:$F$111&lt;&gt;"",ROW($F$2:$F$111),ROW()+ROWS($F$2:$F$111))),ROW()-ROW($G$2:$G$111)+1),COLUMN($F$2:$F$111),4)))</f>
        <v/>
      </c>
      <c r="N81" s="51" t="str">
        <f t="array" aca="1" ref="N81" ca="1">IF(ROW()-ROW($H$2:$H$111)+1&gt;ROWS($G$2:$G$111)-COUNTBLANK($G$2:$G$111),"",INDIRECT(ADDRESS(SMALL((IF($G$2:$G$111&lt;&gt;"",ROW($G$2:$G$111),ROW()+ROWS($G$2:$G$111))),ROW()-ROW($H$2:$H$111)+1),COLUMN($G$2:$G$111),4)))</f>
        <v/>
      </c>
      <c r="O81" s="114" t="str">
        <f t="array" aca="1" ref="O81" ca="1">IF(ROW()-ROW($I$2:$I$111)+1&gt;ROWS($H$2:$H$111)-COUNTBLANK($H$2:$H$111),"",INDIRECT(ADDRESS(SMALL((IF($H$2:$H$111&lt;&gt;"",ROW($H$2:$H$111),ROW()+ROWS($H$2:$H$111))),ROW()-ROW($I$2:$I$111)+1),COLUMN($H$2:$H$111),4)))</f>
        <v/>
      </c>
      <c r="P81" s="114" t="str">
        <f t="array" aca="1" ref="P81" ca="1">IF(ROW()-ROW($J$2:$J$111)+1&gt;ROWS($I$2:$I$111)-COUNTBLANK($I$2:$I$111),"",INDIRECT(ADDRESS(SMALL((IF($I$2:$I$111&lt;&gt;"",ROW($I$2:$I$111),ROW()+ROWS($I$2:$I$111))),ROW()-ROW($J$2:$J$111)+1),COLUMN($I$2:$I$111),4)))</f>
        <v/>
      </c>
    </row>
    <row r="82" spans="4:16" x14ac:dyDescent="0.25">
      <c r="D82" s="896"/>
      <c r="E82" s="182" t="str">
        <f>IF(H82="","","2016")</f>
        <v/>
      </c>
      <c r="F82" s="164" t="str">
        <f t="shared" si="15"/>
        <v/>
      </c>
      <c r="G82" s="164" t="str">
        <f t="shared" si="16"/>
        <v/>
      </c>
      <c r="H82" s="124" t="str">
        <f>IF(A10="relevant",IF(AND(Matrix!Z28="",Matrix!AA28="",Matrix!AB28="",Matrix!AC28="",Matrix!AD28=""),"",IF(Matrix!Z28&lt;MAX(Matrix!AA28:AD28),Berechnung2!$L$41,"")),"")</f>
        <v/>
      </c>
      <c r="I82" s="166" t="str">
        <f>IF(H82="","",VLOOKUP(F82,Berechnung2!$I$15:$J$25,2,FALSE))</f>
        <v/>
      </c>
      <c r="J82" s="167" t="str">
        <f t="shared" si="17"/>
        <v/>
      </c>
      <c r="L82" s="51" t="str">
        <f t="array" aca="1" ref="L82" ca="1">IF(ROW()-ROW($F$2:$F$111)+1&gt;ROWS($E$2:$E$111)-COUNTBLANK($E$2:$E$111),"",INDIRECT(ADDRESS(SMALL((IF($E$2:$E$111&gt;"",ROW($E$2:$E$111),ROW()+ROWS($E$2:$E$111))),ROW()-ROW($F$2:$F$111)+1),COLUMN($E$2:$E$111),4)))</f>
        <v/>
      </c>
      <c r="M82" s="51" t="str">
        <f t="array" aca="1" ref="M82" ca="1">IF(ROW()-ROW($G$2:$G$111)+1&gt;ROWS($F$2:$F$111)-COUNTBLANK($F$2:$F$111),"",INDIRECT(ADDRESS(SMALL((IF($F$2:$F$111&lt;&gt;"",ROW($F$2:$F$111),ROW()+ROWS($F$2:$F$111))),ROW()-ROW($G$2:$G$111)+1),COLUMN($F$2:$F$111),4)))</f>
        <v/>
      </c>
      <c r="N82" s="51" t="str">
        <f t="array" aca="1" ref="N82" ca="1">IF(ROW()-ROW($H$2:$H$111)+1&gt;ROWS($G$2:$G$111)-COUNTBLANK($G$2:$G$111),"",INDIRECT(ADDRESS(SMALL((IF($G$2:$G$111&lt;&gt;"",ROW($G$2:$G$111),ROW()+ROWS($G$2:$G$111))),ROW()-ROW($H$2:$H$111)+1),COLUMN($G$2:$G$111),4)))</f>
        <v/>
      </c>
      <c r="O82" s="114" t="str">
        <f t="array" aca="1" ref="O82" ca="1">IF(ROW()-ROW($I$2:$I$111)+1&gt;ROWS($H$2:$H$111)-COUNTBLANK($H$2:$H$111),"",INDIRECT(ADDRESS(SMALL((IF($H$2:$H$111&lt;&gt;"",ROW($H$2:$H$111),ROW()+ROWS($H$2:$H$111))),ROW()-ROW($I$2:$I$111)+1),COLUMN($H$2:$H$111),4)))</f>
        <v/>
      </c>
      <c r="P82" s="114" t="str">
        <f t="array" aca="1" ref="P82" ca="1">IF(ROW()-ROW($J$2:$J$111)+1&gt;ROWS($I$2:$I$111)-COUNTBLANK($I$2:$I$111),"",INDIRECT(ADDRESS(SMALL((IF($I$2:$I$111&lt;&gt;"",ROW($I$2:$I$111),ROW()+ROWS($I$2:$I$111))),ROW()-ROW($J$2:$J$111)+1),COLUMN($I$2:$I$111),4)))</f>
        <v/>
      </c>
    </row>
    <row r="83" spans="4:16" x14ac:dyDescent="0.25">
      <c r="D83" s="896"/>
      <c r="E83" s="182" t="str">
        <f>IF(H83="","","2017")</f>
        <v/>
      </c>
      <c r="F83" s="164" t="str">
        <f t="shared" si="15"/>
        <v/>
      </c>
      <c r="G83" s="164" t="str">
        <f t="shared" si="16"/>
        <v/>
      </c>
      <c r="H83" s="124" t="str">
        <f>IF(A11="relevant",IF(AND(Matrix!Z29="",Matrix!AA29="",Matrix!AB29="",Matrix!AC29="",Matrix!AD29=""),"",IF(Matrix!Z29&lt;MAX(Matrix!AA29:AD29),Berechnung2!$L$41,"")),"")</f>
        <v/>
      </c>
      <c r="I83" s="166" t="str">
        <f>IF(H83="","",VLOOKUP(F83,Berechnung2!$I$15:$J$25,2,FALSE))</f>
        <v/>
      </c>
      <c r="J83" s="167" t="str">
        <f t="shared" si="17"/>
        <v/>
      </c>
      <c r="L83" s="51" t="str">
        <f t="array" aca="1" ref="L83" ca="1">IF(ROW()-ROW($F$2:$F$111)+1&gt;ROWS($E$2:$E$111)-COUNTBLANK($E$2:$E$111),"",INDIRECT(ADDRESS(SMALL((IF($E$2:$E$111&gt;"",ROW($E$2:$E$111),ROW()+ROWS($E$2:$E$111))),ROW()-ROW($F$2:$F$111)+1),COLUMN($E$2:$E$111),4)))</f>
        <v/>
      </c>
      <c r="M83" s="51" t="str">
        <f t="array" aca="1" ref="M83" ca="1">IF(ROW()-ROW($G$2:$G$111)+1&gt;ROWS($F$2:$F$111)-COUNTBLANK($F$2:$F$111),"",INDIRECT(ADDRESS(SMALL((IF($F$2:$F$111&lt;&gt;"",ROW($F$2:$F$111),ROW()+ROWS($F$2:$F$111))),ROW()-ROW($G$2:$G$111)+1),COLUMN($F$2:$F$111),4)))</f>
        <v/>
      </c>
      <c r="N83" s="51" t="str">
        <f t="array" aca="1" ref="N83" ca="1">IF(ROW()-ROW($H$2:$H$111)+1&gt;ROWS($G$2:$G$111)-COUNTBLANK($G$2:$G$111),"",INDIRECT(ADDRESS(SMALL((IF($G$2:$G$111&lt;&gt;"",ROW($G$2:$G$111),ROW()+ROWS($G$2:$G$111))),ROW()-ROW($H$2:$H$111)+1),COLUMN($G$2:$G$111),4)))</f>
        <v/>
      </c>
      <c r="O83" s="114" t="str">
        <f t="array" aca="1" ref="O83" ca="1">IF(ROW()-ROW($I$2:$I$111)+1&gt;ROWS($H$2:$H$111)-COUNTBLANK($H$2:$H$111),"",INDIRECT(ADDRESS(SMALL((IF($H$2:$H$111&lt;&gt;"",ROW($H$2:$H$111),ROW()+ROWS($H$2:$H$111))),ROW()-ROW($I$2:$I$111)+1),COLUMN($H$2:$H$111),4)))</f>
        <v/>
      </c>
      <c r="P83" s="114" t="str">
        <f t="array" aca="1" ref="P83" ca="1">IF(ROW()-ROW($J$2:$J$111)+1&gt;ROWS($I$2:$I$111)-COUNTBLANK($I$2:$I$111),"",INDIRECT(ADDRESS(SMALL((IF($I$2:$I$111&lt;&gt;"",ROW($I$2:$I$111),ROW()+ROWS($I$2:$I$111))),ROW()-ROW($J$2:$J$111)+1),COLUMN($I$2:$I$111),4)))</f>
        <v/>
      </c>
    </row>
    <row r="84" spans="4:16" x14ac:dyDescent="0.25">
      <c r="D84" s="169"/>
      <c r="E84" s="182" t="str">
        <f>IF(H84="","","2018")</f>
        <v/>
      </c>
      <c r="F84" s="353"/>
      <c r="G84" s="353"/>
      <c r="H84" s="345"/>
      <c r="I84" s="354"/>
      <c r="J84" s="355"/>
      <c r="L84" s="51" t="str">
        <f t="array" aca="1" ref="L84" ca="1">IF(ROW()-ROW($F$2:$F$111)+1&gt;ROWS($E$2:$E$111)-COUNTBLANK($E$2:$E$111),"",INDIRECT(ADDRESS(SMALL((IF($E$2:$E$111&gt;"",ROW($E$2:$E$111),ROW()+ROWS($E$2:$E$111))),ROW()-ROW($F$2:$F$111)+1),COLUMN($E$2:$E$111),4)))</f>
        <v/>
      </c>
      <c r="M84" s="51" t="str">
        <f t="array" aca="1" ref="M84" ca="1">IF(ROW()-ROW($G$2:$G$111)+1&gt;ROWS($F$2:$F$111)-COUNTBLANK($F$2:$F$111),"",INDIRECT(ADDRESS(SMALL((IF($F$2:$F$111&lt;&gt;"",ROW($F$2:$F$111),ROW()+ROWS($F$2:$F$111))),ROW()-ROW($G$2:$G$111)+1),COLUMN($F$2:$F$111),4)))</f>
        <v/>
      </c>
      <c r="N84" s="51" t="str">
        <f t="array" aca="1" ref="N84" ca="1">IF(ROW()-ROW($H$2:$H$111)+1&gt;ROWS($G$2:$G$111)-COUNTBLANK($G$2:$G$111),"",INDIRECT(ADDRESS(SMALL((IF($G$2:$G$111&lt;&gt;"",ROW($G$2:$G$111),ROW()+ROWS($G$2:$G$111))),ROW()-ROW($H$2:$H$111)+1),COLUMN($G$2:$G$111),4)))</f>
        <v/>
      </c>
      <c r="O84" s="114" t="str">
        <f t="array" aca="1" ref="O84" ca="1">IF(ROW()-ROW($I$2:$I$111)+1&gt;ROWS($H$2:$H$111)-COUNTBLANK($H$2:$H$111),"",INDIRECT(ADDRESS(SMALL((IF($H$2:$H$111&lt;&gt;"",ROW($H$2:$H$111),ROW()+ROWS($H$2:$H$111))),ROW()-ROW($I$2:$I$111)+1),COLUMN($H$2:$H$111),4)))</f>
        <v/>
      </c>
      <c r="P84" s="114" t="str">
        <f t="array" aca="1" ref="P84" ca="1">IF(ROW()-ROW($J$2:$J$111)+1&gt;ROWS($I$2:$I$111)-COUNTBLANK($I$2:$I$111),"",INDIRECT(ADDRESS(SMALL((IF($I$2:$I$111&lt;&gt;"",ROW($I$2:$I$111),ROW()+ROWS($I$2:$I$111))),ROW()-ROW($J$2:$J$111)+1),COLUMN($I$2:$I$111),4)))</f>
        <v/>
      </c>
    </row>
    <row r="85" spans="4:16" ht="18" customHeight="1" thickBot="1" x14ac:dyDescent="0.3">
      <c r="D85" s="170" t="s">
        <v>86</v>
      </c>
      <c r="E85" s="183" t="str">
        <f>IF(H85="","","2019")</f>
        <v/>
      </c>
      <c r="F85" s="356"/>
      <c r="G85" s="356"/>
      <c r="H85" s="357"/>
      <c r="I85" s="358"/>
      <c r="J85" s="359"/>
      <c r="L85" s="51" t="str">
        <f t="array" aca="1" ref="L85" ca="1">IF(ROW()-ROW($F$2:$F$111)+1&gt;ROWS($E$2:$E$111)-COUNTBLANK($E$2:$E$111),"",INDIRECT(ADDRESS(SMALL((IF($E$2:$E$111&gt;"",ROW($E$2:$E$111),ROW()+ROWS($E$2:$E$111))),ROW()-ROW($F$2:$F$111)+1),COLUMN($E$2:$E$111),4)))</f>
        <v/>
      </c>
      <c r="M85" s="51" t="str">
        <f t="array" aca="1" ref="M85" ca="1">IF(ROW()-ROW($G$2:$G$111)+1&gt;ROWS($F$2:$F$111)-COUNTBLANK($F$2:$F$111),"",INDIRECT(ADDRESS(SMALL((IF($F$2:$F$111&lt;&gt;"",ROW($F$2:$F$111),ROW()+ROWS($F$2:$F$111))),ROW()-ROW($G$2:$G$111)+1),COLUMN($F$2:$F$111),4)))</f>
        <v/>
      </c>
      <c r="N85" s="51" t="str">
        <f t="array" aca="1" ref="N85" ca="1">IF(ROW()-ROW($H$2:$H$111)+1&gt;ROWS($G$2:$G$111)-COUNTBLANK($G$2:$G$111),"",INDIRECT(ADDRESS(SMALL((IF($G$2:$G$111&lt;&gt;"",ROW($G$2:$G$111),ROW()+ROWS($G$2:$G$111))),ROW()-ROW($H$2:$H$111)+1),COLUMN($G$2:$G$111),4)))</f>
        <v/>
      </c>
      <c r="O85" s="114" t="str">
        <f t="array" aca="1" ref="O85" ca="1">IF(ROW()-ROW($I$2:$I$111)+1&gt;ROWS($H$2:$H$111)-COUNTBLANK($H$2:$H$111),"",INDIRECT(ADDRESS(SMALL((IF($H$2:$H$111&lt;&gt;"",ROW($H$2:$H$111),ROW()+ROWS($H$2:$H$111))),ROW()-ROW($I$2:$I$111)+1),COLUMN($H$2:$H$111),4)))</f>
        <v/>
      </c>
      <c r="P85" s="114" t="str">
        <f t="array" aca="1" ref="P85" ca="1">IF(ROW()-ROW($J$2:$J$111)+1&gt;ROWS($I$2:$I$111)-COUNTBLANK($I$2:$I$111),"",INDIRECT(ADDRESS(SMALL((IF($I$2:$I$111&lt;&gt;"",ROW($I$2:$I$111),ROW()+ROWS($I$2:$I$111))),ROW()-ROW($J$2:$J$111)+1),COLUMN($I$2:$I$111),4)))</f>
        <v/>
      </c>
    </row>
    <row r="86" spans="4:16" ht="34.5" thickBot="1" x14ac:dyDescent="0.3">
      <c r="D86" s="185" t="s">
        <v>22</v>
      </c>
      <c r="E86" s="142" t="str">
        <f>IF(H86="","","2015-2017")</f>
        <v/>
      </c>
      <c r="F86" s="142" t="str">
        <f>IF(H86="","","e")</f>
        <v/>
      </c>
      <c r="G86" s="142" t="str">
        <f>IF(H86="","","5")</f>
        <v/>
      </c>
      <c r="H86" s="132" t="str">
        <f>IF(OR(Matrix!$R$33="-----",Matrix!$R$33=""),"",IF(AND(ROUND(Matrix!R33,4)&gt;=Berechnung2!G42,ROUND(Matrix!R33,4)&lt;Berechnung2!J42),Berechnung2!L42,""))</f>
        <v/>
      </c>
      <c r="I86" s="133" t="str">
        <f>IF(H86="","",VLOOKUP(F86,Berechnung2!$I$15:$J$25,2,FALSE))</f>
        <v/>
      </c>
      <c r="J86" s="134" t="str">
        <f t="shared" ref="J86:J99" si="18">IF(H86&lt;&gt;"",1,"")</f>
        <v/>
      </c>
      <c r="L86" s="51" t="str">
        <f t="array" aca="1" ref="L86" ca="1">IF(ROW()-ROW($F$2:$F$111)+1&gt;ROWS($E$2:$E$111)-COUNTBLANK($E$2:$E$111),"",INDIRECT(ADDRESS(SMALL((IF($E$2:$E$111&gt;"",ROW($E$2:$E$111),ROW()+ROWS($E$2:$E$111))),ROW()-ROW($F$2:$F$111)+1),COLUMN($E$2:$E$111),4)))</f>
        <v/>
      </c>
      <c r="M86" s="51" t="str">
        <f t="array" aca="1" ref="M86" ca="1">IF(ROW()-ROW($G$2:$G$111)+1&gt;ROWS($F$2:$F$111)-COUNTBLANK($F$2:$F$111),"",INDIRECT(ADDRESS(SMALL((IF($F$2:$F$111&lt;&gt;"",ROW($F$2:$F$111),ROW()+ROWS($F$2:$F$111))),ROW()-ROW($G$2:$G$111)+1),COLUMN($F$2:$F$111),4)))</f>
        <v/>
      </c>
      <c r="N86" s="51" t="str">
        <f t="array" aca="1" ref="N86" ca="1">IF(ROW()-ROW($H$2:$H$111)+1&gt;ROWS($G$2:$G$111)-COUNTBLANK($G$2:$G$111),"",INDIRECT(ADDRESS(SMALL((IF($G$2:$G$111&lt;&gt;"",ROW($G$2:$G$111),ROW()+ROWS($G$2:$G$111))),ROW()-ROW($H$2:$H$111)+1),COLUMN($G$2:$G$111),4)))</f>
        <v/>
      </c>
      <c r="O86" s="114" t="str">
        <f t="array" aca="1" ref="O86" ca="1">IF(ROW()-ROW($I$2:$I$111)+1&gt;ROWS($H$2:$H$111)-COUNTBLANK($H$2:$H$111),"",INDIRECT(ADDRESS(SMALL((IF($H$2:$H$111&lt;&gt;"",ROW($H$2:$H$111),ROW()+ROWS($H$2:$H$111))),ROW()-ROW($I$2:$I$111)+1),COLUMN($H$2:$H$111),4)))</f>
        <v/>
      </c>
      <c r="P86" s="114" t="str">
        <f t="array" aca="1" ref="P86" ca="1">IF(ROW()-ROW($J$2:$J$111)+1&gt;ROWS($I$2:$I$111)-COUNTBLANK($I$2:$I$111),"",INDIRECT(ADDRESS(SMALL((IF($I$2:$I$111&lt;&gt;"",ROW($I$2:$I$111),ROW()+ROWS($I$2:$I$111))),ROW()-ROW($J$2:$J$111)+1),COLUMN($I$2:$I$111),4)))</f>
        <v/>
      </c>
    </row>
    <row r="87" spans="4:16" x14ac:dyDescent="0.25">
      <c r="D87" s="168" t="s">
        <v>192</v>
      </c>
      <c r="E87" s="184" t="str">
        <f>IF(H87="","","2008")</f>
        <v/>
      </c>
      <c r="F87" s="164" t="str">
        <f>IF(H87="","","f")</f>
        <v/>
      </c>
      <c r="G87" s="164" t="str">
        <f>IF(H87="","","6")</f>
        <v/>
      </c>
      <c r="H87" s="165" t="str">
        <f>IF(A2="relevant",IF(Matrix!C20="","",IF(Matrix!C20&lt;Berechnung2!$G$43,Berechnung2!$L$43,"")),"")</f>
        <v/>
      </c>
      <c r="I87" s="166" t="str">
        <f>IF(H87="","",VLOOKUP(F87,Berechnung2!$I$15:$J$25,2,FALSE))</f>
        <v/>
      </c>
      <c r="J87" s="167" t="str">
        <f t="shared" si="18"/>
        <v/>
      </c>
      <c r="L87" s="51" t="str">
        <f t="array" aca="1" ref="L87" ca="1">IF(ROW()-ROW($F$2:$F$111)+1&gt;ROWS($E$2:$E$111)-COUNTBLANK($E$2:$E$111),"",INDIRECT(ADDRESS(SMALL((IF($E$2:$E$111&gt;"",ROW($E$2:$E$111),ROW()+ROWS($E$2:$E$111))),ROW()-ROW($F$2:$F$111)+1),COLUMN($E$2:$E$111),4)))</f>
        <v/>
      </c>
      <c r="M87" s="51" t="str">
        <f t="array" aca="1" ref="M87" ca="1">IF(ROW()-ROW($G$2:$G$111)+1&gt;ROWS($F$2:$F$111)-COUNTBLANK($F$2:$F$111),"",INDIRECT(ADDRESS(SMALL((IF($F$2:$F$111&lt;&gt;"",ROW($F$2:$F$111),ROW()+ROWS($F$2:$F$111))),ROW()-ROW($G$2:$G$111)+1),COLUMN($F$2:$F$111),4)))</f>
        <v/>
      </c>
      <c r="N87" s="51" t="str">
        <f t="array" aca="1" ref="N87" ca="1">IF(ROW()-ROW($H$2:$H$111)+1&gt;ROWS($G$2:$G$111)-COUNTBLANK($G$2:$G$111),"",INDIRECT(ADDRESS(SMALL((IF($G$2:$G$111&lt;&gt;"",ROW($G$2:$G$111),ROW()+ROWS($G$2:$G$111))),ROW()-ROW($H$2:$H$111)+1),COLUMN($G$2:$G$111),4)))</f>
        <v/>
      </c>
      <c r="O87" s="114" t="str">
        <f t="array" aca="1" ref="O87" ca="1">IF(ROW()-ROW($I$2:$I$111)+1&gt;ROWS($H$2:$H$111)-COUNTBLANK($H$2:$H$111),"",INDIRECT(ADDRESS(SMALL((IF($H$2:$H$111&lt;&gt;"",ROW($H$2:$H$111),ROW()+ROWS($H$2:$H$111))),ROW()-ROW($I$2:$I$111)+1),COLUMN($H$2:$H$111),4)))</f>
        <v/>
      </c>
      <c r="P87" s="114" t="str">
        <f t="array" aca="1" ref="P87" ca="1">IF(ROW()-ROW($J$2:$J$111)+1&gt;ROWS($I$2:$I$111)-COUNTBLANK($I$2:$I$111),"",INDIRECT(ADDRESS(SMALL((IF($I$2:$I$111&lt;&gt;"",ROW($I$2:$I$111),ROW()+ROWS($I$2:$I$111))),ROW()-ROW($J$2:$J$111)+1),COLUMN($I$2:$I$111),4)))</f>
        <v/>
      </c>
    </row>
    <row r="88" spans="4:16" x14ac:dyDescent="0.25">
      <c r="D88" s="895" t="s">
        <v>242</v>
      </c>
      <c r="E88" s="182" t="str">
        <f>IF(H88="","","2009")</f>
        <v/>
      </c>
      <c r="F88" s="139" t="str">
        <f>IF(H88="","","f")</f>
        <v/>
      </c>
      <c r="G88" s="139" t="str">
        <f>IF(H88="","","6")</f>
        <v/>
      </c>
      <c r="H88" s="165" t="str">
        <f>IF(A3="relevant",IF(Matrix!C21="","",IF(Matrix!C21&lt;Berechnung2!$G$43,Berechnung2!$L$43,"")),"")</f>
        <v/>
      </c>
      <c r="I88" s="114" t="str">
        <f>IF(H88="","",VLOOKUP(F88,Berechnung2!$I$15:$J$25,2,FALSE))</f>
        <v/>
      </c>
      <c r="J88" s="125" t="str">
        <f t="shared" si="18"/>
        <v/>
      </c>
      <c r="L88" s="51" t="str">
        <f t="array" aca="1" ref="L88" ca="1">IF(ROW()-ROW($F$2:$F$111)+1&gt;ROWS($E$2:$E$111)-COUNTBLANK($E$2:$E$111),"",INDIRECT(ADDRESS(SMALL((IF($E$2:$E$111&gt;"",ROW($E$2:$E$111),ROW()+ROWS($E$2:$E$111))),ROW()-ROW($F$2:$F$111)+1),COLUMN($E$2:$E$111),4)))</f>
        <v/>
      </c>
      <c r="M88" s="51" t="str">
        <f t="array" aca="1" ref="M88" ca="1">IF(ROW()-ROW($G$2:$G$111)+1&gt;ROWS($F$2:$F$111)-COUNTBLANK($F$2:$F$111),"",INDIRECT(ADDRESS(SMALL((IF($F$2:$F$111&lt;&gt;"",ROW($F$2:$F$111),ROW()+ROWS($F$2:$F$111))),ROW()-ROW($G$2:$G$111)+1),COLUMN($F$2:$F$111),4)))</f>
        <v/>
      </c>
      <c r="N88" s="51" t="str">
        <f t="array" aca="1" ref="N88" ca="1">IF(ROW()-ROW($H$2:$H$111)+1&gt;ROWS($G$2:$G$111)-COUNTBLANK($G$2:$G$111),"",INDIRECT(ADDRESS(SMALL((IF($G$2:$G$111&lt;&gt;"",ROW($G$2:$G$111),ROW()+ROWS($G$2:$G$111))),ROW()-ROW($H$2:$H$111)+1),COLUMN($G$2:$G$111),4)))</f>
        <v/>
      </c>
      <c r="O88" s="114" t="str">
        <f t="array" aca="1" ref="O88" ca="1">IF(ROW()-ROW($I$2:$I$111)+1&gt;ROWS($H$2:$H$111)-COUNTBLANK($H$2:$H$111),"",INDIRECT(ADDRESS(SMALL((IF($H$2:$H$111&lt;&gt;"",ROW($H$2:$H$111),ROW()+ROWS($H$2:$H$111))),ROW()-ROW($I$2:$I$111)+1),COLUMN($H$2:$H$111),4)))</f>
        <v/>
      </c>
      <c r="P88" s="114" t="str">
        <f t="array" aca="1" ref="P88" ca="1">IF(ROW()-ROW($J$2:$J$111)+1&gt;ROWS($I$2:$I$111)-COUNTBLANK($I$2:$I$111),"",INDIRECT(ADDRESS(SMALL((IF($I$2:$I$111&lt;&gt;"",ROW($I$2:$I$111),ROW()+ROWS($I$2:$I$111))),ROW()-ROW($J$2:$J$111)+1),COLUMN($I$2:$I$111),4)))</f>
        <v/>
      </c>
    </row>
    <row r="89" spans="4:16" x14ac:dyDescent="0.25">
      <c r="D89" s="895"/>
      <c r="E89" s="182" t="str">
        <f>IF(H89="","","2010")</f>
        <v/>
      </c>
      <c r="F89" s="139" t="str">
        <f>IF(H89="","","f")</f>
        <v/>
      </c>
      <c r="G89" s="139" t="str">
        <f>IF(H89="","","6")</f>
        <v/>
      </c>
      <c r="H89" s="165" t="str">
        <f>IF(A4="relevant",IF(Matrix!C22="","",IF(Matrix!C22&lt;Berechnung2!$G$43,Berechnung2!$L$43,"")),"")</f>
        <v/>
      </c>
      <c r="I89" s="114" t="str">
        <f>IF(H89="","",VLOOKUP(F89,Berechnung2!$I$15:$J$25,2,FALSE))</f>
        <v/>
      </c>
      <c r="J89" s="125" t="str">
        <f t="shared" si="18"/>
        <v/>
      </c>
      <c r="L89" s="51" t="str">
        <f t="array" aca="1" ref="L89" ca="1">IF(ROW()-ROW($F$2:$F$111)+1&gt;ROWS($E$2:$E$111)-COUNTBLANK($E$2:$E$111),"",INDIRECT(ADDRESS(SMALL((IF($E$2:$E$111&gt;"",ROW($E$2:$E$111),ROW()+ROWS($E$2:$E$111))),ROW()-ROW($F$2:$F$111)+1),COLUMN($E$2:$E$111),4)))</f>
        <v/>
      </c>
      <c r="M89" s="51" t="str">
        <f t="array" aca="1" ref="M89" ca="1">IF(ROW()-ROW($G$2:$G$111)+1&gt;ROWS($F$2:$F$111)-COUNTBLANK($F$2:$F$111),"",INDIRECT(ADDRESS(SMALL((IF($F$2:$F$111&lt;&gt;"",ROW($F$2:$F$111),ROW()+ROWS($F$2:$F$111))),ROW()-ROW($G$2:$G$111)+1),COLUMN($F$2:$F$111),4)))</f>
        <v/>
      </c>
      <c r="N89" s="51" t="str">
        <f t="array" aca="1" ref="N89" ca="1">IF(ROW()-ROW($H$2:$H$111)+1&gt;ROWS($G$2:$G$111)-COUNTBLANK($G$2:$G$111),"",INDIRECT(ADDRESS(SMALL((IF($G$2:$G$111&lt;&gt;"",ROW($G$2:$G$111),ROW()+ROWS($G$2:$G$111))),ROW()-ROW($H$2:$H$111)+1),COLUMN($G$2:$G$111),4)))</f>
        <v/>
      </c>
      <c r="O89" s="114" t="str">
        <f t="array" aca="1" ref="O89" ca="1">IF(ROW()-ROW($I$2:$I$111)+1&gt;ROWS($H$2:$H$111)-COUNTBLANK($H$2:$H$111),"",INDIRECT(ADDRESS(SMALL((IF($H$2:$H$111&lt;&gt;"",ROW($H$2:$H$111),ROW()+ROWS($H$2:$H$111))),ROW()-ROW($I$2:$I$111)+1),COLUMN($H$2:$H$111),4)))</f>
        <v/>
      </c>
      <c r="P89" s="114" t="str">
        <f t="array" aca="1" ref="P89" ca="1">IF(ROW()-ROW($J$2:$J$111)+1&gt;ROWS($I$2:$I$111)-COUNTBLANK($I$2:$I$111),"",INDIRECT(ADDRESS(SMALL((IF($I$2:$I$111&lt;&gt;"",ROW($I$2:$I$111),ROW()+ROWS($I$2:$I$111))),ROW()-ROW($J$2:$J$111)+1),COLUMN($I$2:$I$111),4)))</f>
        <v/>
      </c>
    </row>
    <row r="90" spans="4:16" x14ac:dyDescent="0.25">
      <c r="D90" s="895"/>
      <c r="E90" s="182" t="str">
        <f>IF(H90="","","2011")</f>
        <v/>
      </c>
      <c r="F90" s="139" t="str">
        <f>IF(H90="","","f")</f>
        <v/>
      </c>
      <c r="G90" s="139" t="str">
        <f>IF(H90="","","6")</f>
        <v/>
      </c>
      <c r="H90" s="165" t="str">
        <f>IF(A5="relevant",IF(Matrix!C23="","",IF(Matrix!C23&lt;Berechnung2!$G$43,Berechnung2!$L$43,"")),"")</f>
        <v/>
      </c>
      <c r="I90" s="114" t="str">
        <f>IF(H90="","",VLOOKUP(F90,Berechnung2!$I$15:$J$25,2,FALSE))</f>
        <v/>
      </c>
      <c r="J90" s="125" t="str">
        <f t="shared" si="18"/>
        <v/>
      </c>
      <c r="L90" s="51" t="str">
        <f t="array" aca="1" ref="L90" ca="1">IF(ROW()-ROW($F$2:$F$111)+1&gt;ROWS($E$2:$E$111)-COUNTBLANK($E$2:$E$111),"",INDIRECT(ADDRESS(SMALL((IF($E$2:$E$111&gt;"",ROW($E$2:$E$111),ROW()+ROWS($E$2:$E$111))),ROW()-ROW($F$2:$F$111)+1),COLUMN($E$2:$E$111),4)))</f>
        <v/>
      </c>
      <c r="M90" s="51" t="str">
        <f t="array" aca="1" ref="M90" ca="1">IF(ROW()-ROW($G$2:$G$111)+1&gt;ROWS($F$2:$F$111)-COUNTBLANK($F$2:$F$111),"",INDIRECT(ADDRESS(SMALL((IF($F$2:$F$111&lt;&gt;"",ROW($F$2:$F$111),ROW()+ROWS($F$2:$F$111))),ROW()-ROW($G$2:$G$111)+1),COLUMN($F$2:$F$111),4)))</f>
        <v/>
      </c>
      <c r="N90" s="51" t="str">
        <f t="array" aca="1" ref="N90" ca="1">IF(ROW()-ROW($H$2:$H$111)+1&gt;ROWS($G$2:$G$111)-COUNTBLANK($G$2:$G$111),"",INDIRECT(ADDRESS(SMALL((IF($G$2:$G$111&lt;&gt;"",ROW($G$2:$G$111),ROW()+ROWS($G$2:$G$111))),ROW()-ROW($H$2:$H$111)+1),COLUMN($G$2:$G$111),4)))</f>
        <v/>
      </c>
      <c r="O90" s="114" t="str">
        <f t="array" aca="1" ref="O90" ca="1">IF(ROW()-ROW($I$2:$I$111)+1&gt;ROWS($H$2:$H$111)-COUNTBLANK($H$2:$H$111),"",INDIRECT(ADDRESS(SMALL((IF($H$2:$H$111&lt;&gt;"",ROW($H$2:$H$111),ROW()+ROWS($H$2:$H$111))),ROW()-ROW($I$2:$I$111)+1),COLUMN($H$2:$H$111),4)))</f>
        <v/>
      </c>
      <c r="P90" s="114" t="str">
        <f t="array" aca="1" ref="P90" ca="1">IF(ROW()-ROW($J$2:$J$111)+1&gt;ROWS($I$2:$I$111)-COUNTBLANK($I$2:$I$111),"",INDIRECT(ADDRESS(SMALL((IF($I$2:$I$111&lt;&gt;"",ROW($I$2:$I$111),ROW()+ROWS($I$2:$I$111))),ROW()-ROW($J$2:$J$111)+1),COLUMN($I$2:$I$111),4)))</f>
        <v/>
      </c>
    </row>
    <row r="91" spans="4:16" x14ac:dyDescent="0.25">
      <c r="D91" s="895"/>
      <c r="E91" s="182" t="str">
        <f>IF(H91="","","2012")</f>
        <v/>
      </c>
      <c r="F91" s="139" t="str">
        <f t="shared" ref="F91:F98" si="19">IF(H91="","","f")</f>
        <v/>
      </c>
      <c r="G91" s="139" t="str">
        <f t="shared" ref="G91:G109" si="20">IF(H91="","","6")</f>
        <v/>
      </c>
      <c r="H91" s="165" t="str">
        <f>IF(A6="relevant",IF(Matrix!C24="","",IF(Matrix!C24&lt;Berechnung2!$G$43,Berechnung2!$L$43,"")),"")</f>
        <v/>
      </c>
      <c r="I91" s="114" t="str">
        <f>IF(H91="","",VLOOKUP(F91,Berechnung2!$I$15:$J$25,2,FALSE))</f>
        <v/>
      </c>
      <c r="J91" s="125" t="str">
        <f t="shared" si="18"/>
        <v/>
      </c>
      <c r="L91" s="51" t="str">
        <f t="array" aca="1" ref="L91" ca="1">IF(ROW()-ROW($F$2:$F$111)+1&gt;ROWS($E$2:$E$111)-COUNTBLANK($E$2:$E$111),"",INDIRECT(ADDRESS(SMALL((IF($E$2:$E$111&gt;"",ROW($E$2:$E$111),ROW()+ROWS($E$2:$E$111))),ROW()-ROW($F$2:$F$111)+1),COLUMN($E$2:$E$111),4)))</f>
        <v/>
      </c>
      <c r="M91" s="51" t="str">
        <f t="array" aca="1" ref="M91" ca="1">IF(ROW()-ROW($G$2:$G$111)+1&gt;ROWS($F$2:$F$111)-COUNTBLANK($F$2:$F$111),"",INDIRECT(ADDRESS(SMALL((IF($F$2:$F$111&lt;&gt;"",ROW($F$2:$F$111),ROW()+ROWS($F$2:$F$111))),ROW()-ROW($G$2:$G$111)+1),COLUMN($F$2:$F$111),4)))</f>
        <v/>
      </c>
      <c r="N91" s="51" t="str">
        <f t="array" aca="1" ref="N91" ca="1">IF(ROW()-ROW($H$2:$H$111)+1&gt;ROWS($G$2:$G$111)-COUNTBLANK($G$2:$G$111),"",INDIRECT(ADDRESS(SMALL((IF($G$2:$G$111&lt;&gt;"",ROW($G$2:$G$111),ROW()+ROWS($G$2:$G$111))),ROW()-ROW($H$2:$H$111)+1),COLUMN($G$2:$G$111),4)))</f>
        <v/>
      </c>
      <c r="O91" s="114" t="str">
        <f t="array" aca="1" ref="O91" ca="1">IF(ROW()-ROW($I$2:$I$111)+1&gt;ROWS($H$2:$H$111)-COUNTBLANK($H$2:$H$111),"",INDIRECT(ADDRESS(SMALL((IF($H$2:$H$111&lt;&gt;"",ROW($H$2:$H$111),ROW()+ROWS($H$2:$H$111))),ROW()-ROW($I$2:$I$111)+1),COLUMN($H$2:$H$111),4)))</f>
        <v/>
      </c>
      <c r="P91" s="114" t="str">
        <f t="array" aca="1" ref="P91" ca="1">IF(ROW()-ROW($J$2:$J$111)+1&gt;ROWS($I$2:$I$111)-COUNTBLANK($I$2:$I$111),"",INDIRECT(ADDRESS(SMALL((IF($I$2:$I$111&lt;&gt;"",ROW($I$2:$I$111),ROW()+ROWS($I$2:$I$111))),ROW()-ROW($J$2:$J$111)+1),COLUMN($I$2:$I$111),4)))</f>
        <v/>
      </c>
    </row>
    <row r="92" spans="4:16" x14ac:dyDescent="0.25">
      <c r="D92" s="895"/>
      <c r="E92" s="182" t="str">
        <f>IF(H92="","","2013")</f>
        <v/>
      </c>
      <c r="F92" s="139" t="str">
        <f t="shared" si="19"/>
        <v/>
      </c>
      <c r="G92" s="139" t="str">
        <f t="shared" si="20"/>
        <v/>
      </c>
      <c r="H92" s="165" t="str">
        <f>IF(A7="relevant",IF(Matrix!C25="","",IF(Matrix!C25&lt;Berechnung2!$G$43,Berechnung2!$L$43,"")),"")</f>
        <v/>
      </c>
      <c r="I92" s="114" t="str">
        <f>IF(H92="","",VLOOKUP(F92,Berechnung2!$I$15:$J$25,2,FALSE))</f>
        <v/>
      </c>
      <c r="J92" s="125" t="str">
        <f t="shared" si="18"/>
        <v/>
      </c>
      <c r="L92" s="51" t="str">
        <f t="array" aca="1" ref="L92" ca="1">IF(ROW()-ROW($F$2:$F$111)+1&gt;ROWS($E$2:$E$111)-COUNTBLANK($E$2:$E$111),"",INDIRECT(ADDRESS(SMALL((IF($E$2:$E$111&gt;"",ROW($E$2:$E$111),ROW()+ROWS($E$2:$E$111))),ROW()-ROW($F$2:$F$111)+1),COLUMN($E$2:$E$111),4)))</f>
        <v/>
      </c>
      <c r="M92" s="51" t="str">
        <f t="array" aca="1" ref="M92" ca="1">IF(ROW()-ROW($G$2:$G$111)+1&gt;ROWS($F$2:$F$111)-COUNTBLANK($F$2:$F$111),"",INDIRECT(ADDRESS(SMALL((IF($F$2:$F$111&lt;&gt;"",ROW($F$2:$F$111),ROW()+ROWS($F$2:$F$111))),ROW()-ROW($G$2:$G$111)+1),COLUMN($F$2:$F$111),4)))</f>
        <v/>
      </c>
      <c r="N92" s="51" t="str">
        <f t="array" aca="1" ref="N92" ca="1">IF(ROW()-ROW($H$2:$H$111)+1&gt;ROWS($G$2:$G$111)-COUNTBLANK($G$2:$G$111),"",INDIRECT(ADDRESS(SMALL((IF($G$2:$G$111&lt;&gt;"",ROW($G$2:$G$111),ROW()+ROWS($G$2:$G$111))),ROW()-ROW($H$2:$H$111)+1),COLUMN($G$2:$G$111),4)))</f>
        <v/>
      </c>
      <c r="O92" s="114" t="str">
        <f t="array" aca="1" ref="O92" ca="1">IF(ROW()-ROW($I$2:$I$111)+1&gt;ROWS($H$2:$H$111)-COUNTBLANK($H$2:$H$111),"",INDIRECT(ADDRESS(SMALL((IF($H$2:$H$111&lt;&gt;"",ROW($H$2:$H$111),ROW()+ROWS($H$2:$H$111))),ROW()-ROW($I$2:$I$111)+1),COLUMN($H$2:$H$111),4)))</f>
        <v/>
      </c>
      <c r="P92" s="114" t="str">
        <f t="array" aca="1" ref="P92" ca="1">IF(ROW()-ROW($J$2:$J$111)+1&gt;ROWS($I$2:$I$111)-COUNTBLANK($I$2:$I$111),"",INDIRECT(ADDRESS(SMALL((IF($I$2:$I$111&lt;&gt;"",ROW($I$2:$I$111),ROW()+ROWS($I$2:$I$111))),ROW()-ROW($J$2:$J$111)+1),COLUMN($I$2:$I$111),4)))</f>
        <v/>
      </c>
    </row>
    <row r="93" spans="4:16" x14ac:dyDescent="0.25">
      <c r="D93" s="895"/>
      <c r="E93" s="182" t="str">
        <f>IF(H93="","","2014")</f>
        <v/>
      </c>
      <c r="F93" s="139" t="str">
        <f t="shared" si="19"/>
        <v/>
      </c>
      <c r="G93" s="139" t="str">
        <f t="shared" si="20"/>
        <v/>
      </c>
      <c r="H93" s="165" t="str">
        <f>IF(A8="relevant",IF(Matrix!C26="","",IF(Matrix!C26&lt;Berechnung2!$G$43,Berechnung2!$L$43,"")),"")</f>
        <v/>
      </c>
      <c r="I93" s="114" t="str">
        <f>IF(H93="","",VLOOKUP(F93,Berechnung2!$I$15:$J$25,2,FALSE))</f>
        <v/>
      </c>
      <c r="J93" s="125" t="str">
        <f t="shared" si="18"/>
        <v/>
      </c>
      <c r="L93" s="51" t="str">
        <f t="array" aca="1" ref="L93" ca="1">IF(ROW()-ROW($F$2:$F$111)+1&gt;ROWS($E$2:$E$111)-COUNTBLANK($E$2:$E$111),"",INDIRECT(ADDRESS(SMALL((IF($E$2:$E$111&gt;"",ROW($E$2:$E$111),ROW()+ROWS($E$2:$E$111))),ROW()-ROW($F$2:$F$111)+1),COLUMN($E$2:$E$111),4)))</f>
        <v/>
      </c>
      <c r="M93" s="51" t="str">
        <f t="array" aca="1" ref="M93" ca="1">IF(ROW()-ROW($G$2:$G$111)+1&gt;ROWS($F$2:$F$111)-COUNTBLANK($F$2:$F$111),"",INDIRECT(ADDRESS(SMALL((IF($F$2:$F$111&lt;&gt;"",ROW($F$2:$F$111),ROW()+ROWS($F$2:$F$111))),ROW()-ROW($G$2:$G$111)+1),COLUMN($F$2:$F$111),4)))</f>
        <v/>
      </c>
      <c r="N93" s="51" t="str">
        <f t="array" aca="1" ref="N93" ca="1">IF(ROW()-ROW($H$2:$H$111)+1&gt;ROWS($G$2:$G$111)-COUNTBLANK($G$2:$G$111),"",INDIRECT(ADDRESS(SMALL((IF($G$2:$G$111&lt;&gt;"",ROW($G$2:$G$111),ROW()+ROWS($G$2:$G$111))),ROW()-ROW($H$2:$H$111)+1),COLUMN($G$2:$G$111),4)))</f>
        <v/>
      </c>
      <c r="O93" s="114" t="str">
        <f t="array" aca="1" ref="O93" ca="1">IF(ROW()-ROW($I$2:$I$111)+1&gt;ROWS($H$2:$H$111)-COUNTBLANK($H$2:$H$111),"",INDIRECT(ADDRESS(SMALL((IF($H$2:$H$111&lt;&gt;"",ROW($H$2:$H$111),ROW()+ROWS($H$2:$H$111))),ROW()-ROW($I$2:$I$111)+1),COLUMN($H$2:$H$111),4)))</f>
        <v/>
      </c>
      <c r="P93" s="114" t="str">
        <f t="array" aca="1" ref="P93" ca="1">IF(ROW()-ROW($J$2:$J$111)+1&gt;ROWS($I$2:$I$111)-COUNTBLANK($I$2:$I$111),"",INDIRECT(ADDRESS(SMALL((IF($I$2:$I$111&lt;&gt;"",ROW($I$2:$I$111),ROW()+ROWS($I$2:$I$111))),ROW()-ROW($J$2:$J$111)+1),COLUMN($I$2:$I$111),4)))</f>
        <v/>
      </c>
    </row>
    <row r="94" spans="4:16" x14ac:dyDescent="0.25">
      <c r="D94" s="895"/>
      <c r="E94" s="182" t="str">
        <f>IF(H94="","","2015")</f>
        <v/>
      </c>
      <c r="F94" s="139" t="str">
        <f t="shared" si="19"/>
        <v/>
      </c>
      <c r="G94" s="139" t="str">
        <f t="shared" si="20"/>
        <v/>
      </c>
      <c r="H94" s="165" t="str">
        <f>IF(A9="relevant",IF(Matrix!C27="","",IF(Matrix!C27&lt;Berechnung2!$G$43,Berechnung2!$L$43,"")),"")</f>
        <v/>
      </c>
      <c r="I94" s="114" t="str">
        <f>IF(H94="","",VLOOKUP(F94,Berechnung2!$I$15:$J$25,2,FALSE))</f>
        <v/>
      </c>
      <c r="J94" s="125" t="str">
        <f t="shared" si="18"/>
        <v/>
      </c>
      <c r="L94" s="51" t="str">
        <f t="array" aca="1" ref="L94" ca="1">IF(ROW()-ROW($F$2:$F$111)+1&gt;ROWS($E$2:$E$111)-COUNTBLANK($E$2:$E$111),"",INDIRECT(ADDRESS(SMALL((IF($E$2:$E$111&gt;"",ROW($E$2:$E$111),ROW()+ROWS($E$2:$E$111))),ROW()-ROW($F$2:$F$111)+1),COLUMN($E$2:$E$111),4)))</f>
        <v/>
      </c>
      <c r="M94" s="51" t="str">
        <f t="array" aca="1" ref="M94" ca="1">IF(ROW()-ROW($G$2:$G$111)+1&gt;ROWS($F$2:$F$111)-COUNTBLANK($F$2:$F$111),"",INDIRECT(ADDRESS(SMALL((IF($F$2:$F$111&lt;&gt;"",ROW($F$2:$F$111),ROW()+ROWS($F$2:$F$111))),ROW()-ROW($G$2:$G$111)+1),COLUMN($F$2:$F$111),4)))</f>
        <v/>
      </c>
      <c r="N94" s="51" t="str">
        <f t="array" aca="1" ref="N94" ca="1">IF(ROW()-ROW($H$2:$H$111)+1&gt;ROWS($G$2:$G$111)-COUNTBLANK($G$2:$G$111),"",INDIRECT(ADDRESS(SMALL((IF($G$2:$G$111&lt;&gt;"",ROW($G$2:$G$111),ROW()+ROWS($G$2:$G$111))),ROW()-ROW($H$2:$H$111)+1),COLUMN($G$2:$G$111),4)))</f>
        <v/>
      </c>
      <c r="O94" s="114" t="str">
        <f t="array" aca="1" ref="O94" ca="1">IF(ROW()-ROW($I$2:$I$111)+1&gt;ROWS($H$2:$H$111)-COUNTBLANK($H$2:$H$111),"",INDIRECT(ADDRESS(SMALL((IF($H$2:$H$111&lt;&gt;"",ROW($H$2:$H$111),ROW()+ROWS($H$2:$H$111))),ROW()-ROW($I$2:$I$111)+1),COLUMN($H$2:$H$111),4)))</f>
        <v/>
      </c>
      <c r="P94" s="114" t="str">
        <f t="array" aca="1" ref="P94" ca="1">IF(ROW()-ROW($J$2:$J$111)+1&gt;ROWS($I$2:$I$111)-COUNTBLANK($I$2:$I$111),"",INDIRECT(ADDRESS(SMALL((IF($I$2:$I$111&lt;&gt;"",ROW($I$2:$I$111),ROW()+ROWS($I$2:$I$111))),ROW()-ROW($J$2:$J$111)+1),COLUMN($I$2:$I$111),4)))</f>
        <v/>
      </c>
    </row>
    <row r="95" spans="4:16" x14ac:dyDescent="0.25">
      <c r="D95" s="895"/>
      <c r="E95" s="182" t="str">
        <f>IF(H95="","","2016")</f>
        <v/>
      </c>
      <c r="F95" s="139" t="str">
        <f t="shared" si="19"/>
        <v/>
      </c>
      <c r="G95" s="139" t="str">
        <f t="shared" si="20"/>
        <v/>
      </c>
      <c r="H95" s="165" t="str">
        <f>IF(A10="relevant",IF(Matrix!C28="","",IF(Matrix!C28&lt;Berechnung2!$G$43,Berechnung2!$L$43,"")),"")</f>
        <v/>
      </c>
      <c r="I95" s="114" t="str">
        <f>IF(H95="","",VLOOKUP(F95,Berechnung2!$I$15:$J$25,2,FALSE))</f>
        <v/>
      </c>
      <c r="J95" s="125" t="str">
        <f t="shared" si="18"/>
        <v/>
      </c>
      <c r="L95" s="51" t="str">
        <f t="array" aca="1" ref="L95" ca="1">IF(ROW()-ROW($F$2:$F$111)+1&gt;ROWS($E$2:$E$111)-COUNTBLANK($E$2:$E$111),"",INDIRECT(ADDRESS(SMALL((IF($E$2:$E$111&gt;"",ROW($E$2:$E$111),ROW()+ROWS($E$2:$E$111))),ROW()-ROW($F$2:$F$111)+1),COLUMN($E$2:$E$111),4)))</f>
        <v/>
      </c>
      <c r="M95" s="51" t="str">
        <f t="array" aca="1" ref="M95" ca="1">IF(ROW()-ROW($G$2:$G$111)+1&gt;ROWS($F$2:$F$111)-COUNTBLANK($F$2:$F$111),"",INDIRECT(ADDRESS(SMALL((IF($F$2:$F$111&lt;&gt;"",ROW($F$2:$F$111),ROW()+ROWS($F$2:$F$111))),ROW()-ROW($G$2:$G$111)+1),COLUMN($F$2:$F$111),4)))</f>
        <v/>
      </c>
      <c r="N95" s="51" t="str">
        <f t="array" aca="1" ref="N95" ca="1">IF(ROW()-ROW($H$2:$H$111)+1&gt;ROWS($G$2:$G$111)-COUNTBLANK($G$2:$G$111),"",INDIRECT(ADDRESS(SMALL((IF($G$2:$G$111&lt;&gt;"",ROW($G$2:$G$111),ROW()+ROWS($G$2:$G$111))),ROW()-ROW($H$2:$H$111)+1),COLUMN($G$2:$G$111),4)))</f>
        <v/>
      </c>
      <c r="O95" s="114" t="str">
        <f t="array" aca="1" ref="O95" ca="1">IF(ROW()-ROW($I$2:$I$111)+1&gt;ROWS($H$2:$H$111)-COUNTBLANK($H$2:$H$111),"",INDIRECT(ADDRESS(SMALL((IF($H$2:$H$111&lt;&gt;"",ROW($H$2:$H$111),ROW()+ROWS($H$2:$H$111))),ROW()-ROW($I$2:$I$111)+1),COLUMN($H$2:$H$111),4)))</f>
        <v/>
      </c>
      <c r="P95" s="114" t="str">
        <f t="array" aca="1" ref="P95" ca="1">IF(ROW()-ROW($J$2:$J$111)+1&gt;ROWS($I$2:$I$111)-COUNTBLANK($I$2:$I$111),"",INDIRECT(ADDRESS(SMALL((IF($I$2:$I$111&lt;&gt;"",ROW($I$2:$I$111),ROW()+ROWS($I$2:$I$111))),ROW()-ROW($J$2:$J$111)+1),COLUMN($I$2:$I$111),4)))</f>
        <v/>
      </c>
    </row>
    <row r="96" spans="4:16" x14ac:dyDescent="0.25">
      <c r="D96" s="895"/>
      <c r="E96" s="182" t="str">
        <f>IF(H96="","","2017")</f>
        <v/>
      </c>
      <c r="F96" s="139" t="str">
        <f t="shared" si="19"/>
        <v/>
      </c>
      <c r="G96" s="139" t="str">
        <f t="shared" si="20"/>
        <v/>
      </c>
      <c r="H96" s="165" t="str">
        <f>IF(A11="relevant",IF(Matrix!C29="","",IF(Matrix!C29&lt;Berechnung2!$G$43,Berechnung2!$L$43,"")),"")</f>
        <v/>
      </c>
      <c r="I96" s="114" t="str">
        <f>IF(H96="","",VLOOKUP(F96,Berechnung2!$I$15:$J$25,2,FALSE))</f>
        <v/>
      </c>
      <c r="J96" s="125" t="str">
        <f t="shared" si="18"/>
        <v/>
      </c>
      <c r="L96" s="51" t="str">
        <f t="array" aca="1" ref="L96" ca="1">IF(ROW()-ROW($F$2:$F$111)+1&gt;ROWS($E$2:$E$111)-COUNTBLANK($E$2:$E$111),"",INDIRECT(ADDRESS(SMALL((IF($E$2:$E$111&gt;"",ROW($E$2:$E$111),ROW()+ROWS($E$2:$E$111))),ROW()-ROW($F$2:$F$111)+1),COLUMN($E$2:$E$111),4)))</f>
        <v/>
      </c>
      <c r="M96" s="51" t="str">
        <f t="array" aca="1" ref="M96" ca="1">IF(ROW()-ROW($G$2:$G$111)+1&gt;ROWS($F$2:$F$111)-COUNTBLANK($F$2:$F$111),"",INDIRECT(ADDRESS(SMALL((IF($F$2:$F$111&lt;&gt;"",ROW($F$2:$F$111),ROW()+ROWS($F$2:$F$111))),ROW()-ROW($G$2:$G$111)+1),COLUMN($F$2:$F$111),4)))</f>
        <v/>
      </c>
      <c r="N96" s="51" t="str">
        <f t="array" aca="1" ref="N96" ca="1">IF(ROW()-ROW($H$2:$H$111)+1&gt;ROWS($G$2:$G$111)-COUNTBLANK($G$2:$G$111),"",INDIRECT(ADDRESS(SMALL((IF($G$2:$G$111&lt;&gt;"",ROW($G$2:$G$111),ROW()+ROWS($G$2:$G$111))),ROW()-ROW($H$2:$H$111)+1),COLUMN($G$2:$G$111),4)))</f>
        <v/>
      </c>
      <c r="O96" s="114" t="str">
        <f t="array" aca="1" ref="O96" ca="1">IF(ROW()-ROW($I$2:$I$111)+1&gt;ROWS($H$2:$H$111)-COUNTBLANK($H$2:$H$111),"",INDIRECT(ADDRESS(SMALL((IF($H$2:$H$111&lt;&gt;"",ROW($H$2:$H$111),ROW()+ROWS($H$2:$H$111))),ROW()-ROW($I$2:$I$111)+1),COLUMN($H$2:$H$111),4)))</f>
        <v/>
      </c>
      <c r="P96" s="114" t="str">
        <f t="array" aca="1" ref="P96" ca="1">IF(ROW()-ROW($J$2:$J$111)+1&gt;ROWS($I$2:$I$111)-COUNTBLANK($I$2:$I$111),"",INDIRECT(ADDRESS(SMALL((IF($I$2:$I$111&lt;&gt;"",ROW($I$2:$I$111),ROW()+ROWS($I$2:$I$111))),ROW()-ROW($J$2:$J$111)+1),COLUMN($I$2:$I$111),4)))</f>
        <v/>
      </c>
    </row>
    <row r="97" spans="4:16" x14ac:dyDescent="0.25">
      <c r="D97" s="168"/>
      <c r="E97" s="182" t="str">
        <f>IF(H97="","","2018")</f>
        <v/>
      </c>
      <c r="F97" s="139" t="str">
        <f t="shared" ref="F97" si="21">IF(H97="","","f")</f>
        <v/>
      </c>
      <c r="G97" s="139" t="str">
        <f t="shared" ref="G97" si="22">IF(H97="","","6")</f>
        <v/>
      </c>
      <c r="H97" s="165" t="str">
        <f>IF(A12="relevant",IF(Matrix!C30="","",IF(Matrix!C30&lt;Berechnung2!$G$43,Berechnung2!$L$43,"")),"")</f>
        <v/>
      </c>
      <c r="I97" s="114" t="str">
        <f>IF(H97="","",VLOOKUP(F97,Berechnung2!$I$15:$J$25,2,FALSE))</f>
        <v/>
      </c>
      <c r="J97" s="125" t="str">
        <f t="shared" ref="J97" si="23">IF(H97&lt;&gt;"",1,"")</f>
        <v/>
      </c>
      <c r="L97" s="51" t="str">
        <f t="array" aca="1" ref="L97" ca="1">IF(ROW()-ROW($F$2:$F$111)+1&gt;ROWS($E$2:$E$111)-COUNTBLANK($E$2:$E$111),"",INDIRECT(ADDRESS(SMALL((IF($E$2:$E$111&gt;"",ROW($E$2:$E$111),ROW()+ROWS($E$2:$E$111))),ROW()-ROW($F$2:$F$111)+1),COLUMN($E$2:$E$111),4)))</f>
        <v/>
      </c>
      <c r="M97" s="51" t="str">
        <f t="array" aca="1" ref="M97" ca="1">IF(ROW()-ROW($G$2:$G$111)+1&gt;ROWS($F$2:$F$111)-COUNTBLANK($F$2:$F$111),"",INDIRECT(ADDRESS(SMALL((IF($F$2:$F$111&lt;&gt;"",ROW($F$2:$F$111),ROW()+ROWS($F$2:$F$111))),ROW()-ROW($G$2:$G$111)+1),COLUMN($F$2:$F$111),4)))</f>
        <v/>
      </c>
      <c r="N97" s="51" t="str">
        <f t="array" aca="1" ref="N97" ca="1">IF(ROW()-ROW($H$2:$H$111)+1&gt;ROWS($G$2:$G$111)-COUNTBLANK($G$2:$G$111),"",INDIRECT(ADDRESS(SMALL((IF($G$2:$G$111&lt;&gt;"",ROW($G$2:$G$111),ROW()+ROWS($G$2:$G$111))),ROW()-ROW($H$2:$H$111)+1),COLUMN($G$2:$G$111),4)))</f>
        <v/>
      </c>
      <c r="O97" s="114" t="str">
        <f t="array" aca="1" ref="O97" ca="1">IF(ROW()-ROW($I$2:$I$111)+1&gt;ROWS($H$2:$H$111)-COUNTBLANK($H$2:$H$111),"",INDIRECT(ADDRESS(SMALL((IF($H$2:$H$111&lt;&gt;"",ROW($H$2:$H$111),ROW()+ROWS($H$2:$H$111))),ROW()-ROW($I$2:$I$111)+1),COLUMN($H$2:$H$111),4)))</f>
        <v/>
      </c>
      <c r="P97" s="114" t="str">
        <f t="array" aca="1" ref="P97" ca="1">IF(ROW()-ROW($J$2:$J$111)+1&gt;ROWS($I$2:$I$111)-COUNTBLANK($I$2:$I$111),"",INDIRECT(ADDRESS(SMALL((IF($I$2:$I$111&lt;&gt;"",ROW($I$2:$I$111),ROW()+ROWS($I$2:$I$111))),ROW()-ROW($J$2:$J$111)+1),COLUMN($I$2:$I$111),4)))</f>
        <v/>
      </c>
    </row>
    <row r="98" spans="4:16" ht="12" thickBot="1" x14ac:dyDescent="0.3">
      <c r="D98" s="122" t="s">
        <v>19</v>
      </c>
      <c r="E98" s="183" t="str">
        <f>IF(H98="","","2019")</f>
        <v/>
      </c>
      <c r="F98" s="141" t="str">
        <f t="shared" si="19"/>
        <v/>
      </c>
      <c r="G98" s="141" t="str">
        <f t="shared" si="20"/>
        <v/>
      </c>
      <c r="H98" s="180" t="str">
        <f>IF(A13="relevant",IF(Matrix!C31="","",IF(Matrix!C31&lt;Berechnung2!$G$43,Berechnung2!$L$43,"")),"")</f>
        <v/>
      </c>
      <c r="I98" s="81" t="str">
        <f>IF(H98="","",VLOOKUP(F98,Berechnung2!$I$15:$J$25,2,FALSE))</f>
        <v/>
      </c>
      <c r="J98" s="82" t="str">
        <f t="shared" si="18"/>
        <v/>
      </c>
      <c r="L98" s="51" t="str">
        <f t="array" aca="1" ref="L98" ca="1">IF(ROW()-ROW($F$2:$F$111)+1&gt;ROWS($E$2:$E$111)-COUNTBLANK($E$2:$E$111),"",INDIRECT(ADDRESS(SMALL((IF($E$2:$E$111&gt;"",ROW($E$2:$E$111),ROW()+ROWS($E$2:$E$111))),ROW()-ROW($F$2:$F$111)+1),COLUMN($E$2:$E$111),4)))</f>
        <v/>
      </c>
      <c r="M98" s="51" t="str">
        <f t="array" aca="1" ref="M98" ca="1">IF(ROW()-ROW($G$2:$G$111)+1&gt;ROWS($F$2:$F$111)-COUNTBLANK($F$2:$F$111),"",INDIRECT(ADDRESS(SMALL((IF($F$2:$F$111&lt;&gt;"",ROW($F$2:$F$111),ROW()+ROWS($F$2:$F$111))),ROW()-ROW($G$2:$G$111)+1),COLUMN($F$2:$F$111),4)))</f>
        <v/>
      </c>
      <c r="N98" s="51" t="str">
        <f t="array" aca="1" ref="N98" ca="1">IF(ROW()-ROW($H$2:$H$111)+1&gt;ROWS($G$2:$G$111)-COUNTBLANK($G$2:$G$111),"",INDIRECT(ADDRESS(SMALL((IF($G$2:$G$111&lt;&gt;"",ROW($G$2:$G$111),ROW()+ROWS($G$2:$G$111))),ROW()-ROW($H$2:$H$111)+1),COLUMN($G$2:$G$111),4)))</f>
        <v/>
      </c>
      <c r="O98" s="114" t="str">
        <f t="array" aca="1" ref="O98" ca="1">IF(ROW()-ROW($I$2:$I$111)+1&gt;ROWS($H$2:$H$111)-COUNTBLANK($H$2:$H$111),"",INDIRECT(ADDRESS(SMALL((IF($H$2:$H$111&lt;&gt;"",ROW($H$2:$H$111),ROW()+ROWS($H$2:$H$111))),ROW()-ROW($I$2:$I$111)+1),COLUMN($H$2:$H$111),4)))</f>
        <v/>
      </c>
      <c r="P98" s="114" t="str">
        <f t="array" aca="1" ref="P98" ca="1">IF(ROW()-ROW($J$2:$J$111)+1&gt;ROWS($I$2:$I$111)-COUNTBLANK($I$2:$I$111),"",INDIRECT(ADDRESS(SMALL((IF($I$2:$I$111&lt;&gt;"",ROW($I$2:$I$111),ROW()+ROWS($I$2:$I$111))),ROW()-ROW($J$2:$J$111)+1),COLUMN($I$2:$I$111),4)))</f>
        <v/>
      </c>
    </row>
    <row r="99" spans="4:16" ht="23.25" thickBot="1" x14ac:dyDescent="0.3">
      <c r="D99" s="192" t="s">
        <v>20</v>
      </c>
      <c r="E99" s="366" t="str">
        <f>IF(H99="","","2015-2017")</f>
        <v/>
      </c>
      <c r="F99" s="142" t="str">
        <f>IF(H99="","","g")</f>
        <v/>
      </c>
      <c r="G99" s="142" t="str">
        <f t="shared" si="20"/>
        <v/>
      </c>
      <c r="H99" s="360" t="str">
        <f>IF(OR(Matrix!R33="-----",Matrix!R33=""),"",IF(Matrix!R33="",0,IF(ROUND(Matrix!R33,4)&gt;Berechnung2!J44,Berechnung2!L44,"")))</f>
        <v/>
      </c>
      <c r="I99" s="133" t="str">
        <f>IF(H99="","",VLOOKUP(F99,Berechnung2!$I$15:$J$25,2,FALSE))</f>
        <v/>
      </c>
      <c r="J99" s="134" t="str">
        <f t="shared" si="18"/>
        <v/>
      </c>
      <c r="L99" s="51" t="str">
        <f t="array" aca="1" ref="L99" ca="1">IF(ROW()-ROW($F$2:$F$111)+1&gt;ROWS($E$2:$E$111)-COUNTBLANK($E$2:$E$111),"",INDIRECT(ADDRESS(SMALL((IF($E$2:$E$111&gt;"",ROW($E$2:$E$111),ROW()+ROWS($E$2:$E$111))),ROW()-ROW($F$2:$F$111)+1),COLUMN($E$2:$E$111),4)))</f>
        <v/>
      </c>
      <c r="M99" s="51" t="str">
        <f t="array" aca="1" ref="M99" ca="1">IF(ROW()-ROW($G$2:$G$111)+1&gt;ROWS($F$2:$F$111)-COUNTBLANK($F$2:$F$111),"",INDIRECT(ADDRESS(SMALL((IF($F$2:$F$111&lt;&gt;"",ROW($F$2:$F$111),ROW()+ROWS($F$2:$F$111))),ROW()-ROW($G$2:$G$111)+1),COLUMN($F$2:$F$111),4)))</f>
        <v/>
      </c>
      <c r="N99" s="51" t="str">
        <f t="array" aca="1" ref="N99" ca="1">IF(ROW()-ROW($H$2:$H$111)+1&gt;ROWS($G$2:$G$111)-COUNTBLANK($G$2:$G$111),"",INDIRECT(ADDRESS(SMALL((IF($G$2:$G$111&lt;&gt;"",ROW($G$2:$G$111),ROW()+ROWS($G$2:$G$111))),ROW()-ROW($H$2:$H$111)+1),COLUMN($G$2:$G$111),4)))</f>
        <v/>
      </c>
      <c r="O99" s="114" t="str">
        <f t="array" aca="1" ref="O99" ca="1">IF(ROW()-ROW($I$2:$I$111)+1&gt;ROWS($H$2:$H$111)-COUNTBLANK($H$2:$H$111),"",INDIRECT(ADDRESS(SMALL((IF($H$2:$H$111&lt;&gt;"",ROW($H$2:$H$111),ROW()+ROWS($H$2:$H$111))),ROW()-ROW($I$2:$I$111)+1),COLUMN($H$2:$H$111),4)))</f>
        <v/>
      </c>
      <c r="P99" s="114" t="str">
        <f t="array" aca="1" ref="P99" ca="1">IF(ROW()-ROW($J$2:$J$111)+1&gt;ROWS($I$2:$I$111)-COUNTBLANK($I$2:$I$111),"",INDIRECT(ADDRESS(SMALL((IF($I$2:$I$111&lt;&gt;"",ROW($I$2:$I$111),ROW()+ROWS($I$2:$I$111))),ROW()-ROW($J$2:$J$111)+1),COLUMN($I$2:$I$111),4)))</f>
        <v/>
      </c>
    </row>
    <row r="100" spans="4:16" x14ac:dyDescent="0.25">
      <c r="D100" s="123" t="s">
        <v>192</v>
      </c>
      <c r="E100" s="138" t="str">
        <f>IF(H100="","","2008")</f>
        <v/>
      </c>
      <c r="F100" s="362"/>
      <c r="G100" s="362"/>
      <c r="H100" s="363"/>
      <c r="I100" s="364"/>
      <c r="J100" s="365"/>
      <c r="L100" s="51" t="str">
        <f t="array" aca="1" ref="L100" ca="1">IF(ROW()-ROW($F$2:$F$111)+1&gt;ROWS($E$2:$E$111)-COUNTBLANK($E$2:$E$111),"",INDIRECT(ADDRESS(SMALL((IF($E$2:$E$111&gt;"",ROW($E$2:$E$111),ROW()+ROWS($E$2:$E$111))),ROW()-ROW($F$2:$F$111)+1),COLUMN($E$2:$E$111),4)))</f>
        <v/>
      </c>
      <c r="M100" s="51" t="str">
        <f t="array" aca="1" ref="M100" ca="1">IF(ROW()-ROW($G$2:$G$111)+1&gt;ROWS($F$2:$F$111)-COUNTBLANK($F$2:$F$111),"",INDIRECT(ADDRESS(SMALL((IF($F$2:$F$111&lt;&gt;"",ROW($F$2:$F$111),ROW()+ROWS($F$2:$F$111))),ROW()-ROW($G$2:$G$111)+1),COLUMN($F$2:$F$111),4)))</f>
        <v/>
      </c>
      <c r="N100" s="51" t="str">
        <f t="array" aca="1" ref="N100" ca="1">IF(ROW()-ROW($H$2:$H$111)+1&gt;ROWS($G$2:$G$111)-COUNTBLANK($G$2:$G$111),"",INDIRECT(ADDRESS(SMALL((IF($G$2:$G$111&lt;&gt;"",ROW($G$2:$G$111),ROW()+ROWS($G$2:$G$111))),ROW()-ROW($H$2:$H$111)+1),COLUMN($G$2:$G$111),4)))</f>
        <v/>
      </c>
      <c r="O100" s="114" t="str">
        <f t="array" aca="1" ref="O100" ca="1">IF(ROW()-ROW($I$2:$I$111)+1&gt;ROWS($H$2:$H$111)-COUNTBLANK($H$2:$H$111),"",INDIRECT(ADDRESS(SMALL((IF($H$2:$H$111&lt;&gt;"",ROW($H$2:$H$111),ROW()+ROWS($H$2:$H$111))),ROW()-ROW($I$2:$I$111)+1),COLUMN($H$2:$H$111),4)))</f>
        <v/>
      </c>
      <c r="P100" s="114" t="str">
        <f t="array" aca="1" ref="P100" ca="1">IF(ROW()-ROW($J$2:$J$111)+1&gt;ROWS($I$2:$I$111)-COUNTBLANK($I$2:$I$111),"",INDIRECT(ADDRESS(SMALL((IF($I$2:$I$111&lt;&gt;"",ROW($I$2:$I$111),ROW()+ROWS($I$2:$I$111))),ROW()-ROW($J$2:$J$111)+1),COLUMN($I$2:$I$111),4)))</f>
        <v/>
      </c>
    </row>
    <row r="101" spans="4:16" x14ac:dyDescent="0.25">
      <c r="D101" s="895" t="s">
        <v>283</v>
      </c>
      <c r="E101" s="138" t="str">
        <f>IF(H101="","","2009")</f>
        <v/>
      </c>
      <c r="F101" s="344"/>
      <c r="G101" s="344"/>
      <c r="H101" s="345"/>
      <c r="I101" s="346"/>
      <c r="J101" s="347"/>
      <c r="L101" s="51" t="str">
        <f t="array" aca="1" ref="L101" ca="1">IF(ROW()-ROW($F$2:$F$111)+1&gt;ROWS($E$2:$E$111)-COUNTBLANK($E$2:$E$111),"",INDIRECT(ADDRESS(SMALL((IF($E$2:$E$111&gt;"",ROW($E$2:$E$111),ROW()+ROWS($E$2:$E$111))),ROW()-ROW($F$2:$F$111)+1),COLUMN($E$2:$E$111),4)))</f>
        <v/>
      </c>
      <c r="M101" s="51" t="str">
        <f t="array" aca="1" ref="M101" ca="1">IF(ROW()-ROW($G$2:$G$111)+1&gt;ROWS($F$2:$F$111)-COUNTBLANK($F$2:$F$111),"",INDIRECT(ADDRESS(SMALL((IF($F$2:$F$111&lt;&gt;"",ROW($F$2:$F$111),ROW()+ROWS($F$2:$F$111))),ROW()-ROW($G$2:$G$111)+1),COLUMN($F$2:$F$111),4)))</f>
        <v/>
      </c>
      <c r="N101" s="51" t="str">
        <f t="array" aca="1" ref="N101" ca="1">IF(ROW()-ROW($H$2:$H$111)+1&gt;ROWS($G$2:$G$111)-COUNTBLANK($G$2:$G$111),"",INDIRECT(ADDRESS(SMALL((IF($G$2:$G$111&lt;&gt;"",ROW($G$2:$G$111),ROW()+ROWS($G$2:$G$111))),ROW()-ROW($H$2:$H$111)+1),COLUMN($G$2:$G$111),4)))</f>
        <v/>
      </c>
      <c r="O101" s="114" t="str">
        <f t="array" aca="1" ref="O101" ca="1">IF(ROW()-ROW($I$2:$I$111)+1&gt;ROWS($H$2:$H$111)-COUNTBLANK($H$2:$H$111),"",INDIRECT(ADDRESS(SMALL((IF($H$2:$H$111&lt;&gt;"",ROW($H$2:$H$111),ROW()+ROWS($H$2:$H$111))),ROW()-ROW($I$2:$I$111)+1),COLUMN($H$2:$H$111),4)))</f>
        <v/>
      </c>
      <c r="P101" s="114" t="str">
        <f t="array" aca="1" ref="P101" ca="1">IF(ROW()-ROW($J$2:$J$111)+1&gt;ROWS($I$2:$I$111)-COUNTBLANK($I$2:$I$111),"",INDIRECT(ADDRESS(SMALL((IF($I$2:$I$111&lt;&gt;"",ROW($I$2:$I$111),ROW()+ROWS($I$2:$I$111))),ROW()-ROW($J$2:$J$111)+1),COLUMN($I$2:$I$111),4)))</f>
        <v/>
      </c>
    </row>
    <row r="102" spans="4:16" x14ac:dyDescent="0.25">
      <c r="D102" s="895"/>
      <c r="E102" s="138" t="str">
        <f>IF(H102="","","2010")</f>
        <v/>
      </c>
      <c r="F102" s="344"/>
      <c r="G102" s="344"/>
      <c r="H102" s="345"/>
      <c r="I102" s="346"/>
      <c r="J102" s="347"/>
      <c r="L102" s="51" t="str">
        <f t="array" aca="1" ref="L102" ca="1">IF(ROW()-ROW($F$2:$F$111)+1&gt;ROWS($E$2:$E$111)-COUNTBLANK($E$2:$E$111),"",INDIRECT(ADDRESS(SMALL((IF($E$2:$E$111&gt;"",ROW($E$2:$E$111),ROW()+ROWS($E$2:$E$111))),ROW()-ROW($F$2:$F$111)+1),COLUMN($E$2:$E$111),4)))</f>
        <v/>
      </c>
      <c r="M102" s="51" t="str">
        <f t="array" aca="1" ref="M102" ca="1">IF(ROW()-ROW($G$2:$G$111)+1&gt;ROWS($F$2:$F$111)-COUNTBLANK($F$2:$F$111),"",INDIRECT(ADDRESS(SMALL((IF($F$2:$F$111&lt;&gt;"",ROW($F$2:$F$111),ROW()+ROWS($F$2:$F$111))),ROW()-ROW($G$2:$G$111)+1),COLUMN($F$2:$F$111),4)))</f>
        <v/>
      </c>
      <c r="N102" s="51" t="str">
        <f t="array" aca="1" ref="N102" ca="1">IF(ROW()-ROW($H$2:$H$111)+1&gt;ROWS($G$2:$G$111)-COUNTBLANK($G$2:$G$111),"",INDIRECT(ADDRESS(SMALL((IF($G$2:$G$111&lt;&gt;"",ROW($G$2:$G$111),ROW()+ROWS($G$2:$G$111))),ROW()-ROW($H$2:$H$111)+1),COLUMN($G$2:$G$111),4)))</f>
        <v/>
      </c>
      <c r="O102" s="114" t="str">
        <f t="array" aca="1" ref="O102" ca="1">IF(ROW()-ROW($I$2:$I$111)+1&gt;ROWS($H$2:$H$111)-COUNTBLANK($H$2:$H$111),"",INDIRECT(ADDRESS(SMALL((IF($H$2:$H$111&lt;&gt;"",ROW($H$2:$H$111),ROW()+ROWS($H$2:$H$111))),ROW()-ROW($I$2:$I$111)+1),COLUMN($H$2:$H$111),4)))</f>
        <v/>
      </c>
      <c r="P102" s="114" t="str">
        <f t="array" aca="1" ref="P102" ca="1">IF(ROW()-ROW($J$2:$J$111)+1&gt;ROWS($I$2:$I$111)-COUNTBLANK($I$2:$I$111),"",INDIRECT(ADDRESS(SMALL((IF($I$2:$I$111&lt;&gt;"",ROW($I$2:$I$111),ROW()+ROWS($I$2:$I$111))),ROW()-ROW($J$2:$J$111)+1),COLUMN($I$2:$I$111),4)))</f>
        <v/>
      </c>
    </row>
    <row r="103" spans="4:16" x14ac:dyDescent="0.25">
      <c r="D103" s="895"/>
      <c r="E103" s="138" t="str">
        <f>IF(H103="","","2011")</f>
        <v/>
      </c>
      <c r="F103" s="344"/>
      <c r="G103" s="344"/>
      <c r="H103" s="345"/>
      <c r="I103" s="346"/>
      <c r="J103" s="347"/>
      <c r="L103" s="51" t="str">
        <f t="array" aca="1" ref="L103" ca="1">IF(ROW()-ROW($F$2:$F$111)+1&gt;ROWS($E$2:$E$111)-COUNTBLANK($E$2:$E$111),"",INDIRECT(ADDRESS(SMALL((IF($E$2:$E$111&gt;"",ROW($E$2:$E$111),ROW()+ROWS($E$2:$E$111))),ROW()-ROW($F$2:$F$111)+1),COLUMN($E$2:$E$111),4)))</f>
        <v/>
      </c>
      <c r="M103" s="51" t="str">
        <f t="array" aca="1" ref="M103" ca="1">IF(ROW()-ROW($G$2:$G$111)+1&gt;ROWS($F$2:$F$111)-COUNTBLANK($F$2:$F$111),"",INDIRECT(ADDRESS(SMALL((IF($F$2:$F$111&lt;&gt;"",ROW($F$2:$F$111),ROW()+ROWS($F$2:$F$111))),ROW()-ROW($G$2:$G$111)+1),COLUMN($F$2:$F$111),4)))</f>
        <v/>
      </c>
      <c r="N103" s="51" t="str">
        <f t="array" aca="1" ref="N103" ca="1">IF(ROW()-ROW($H$2:$H$111)+1&gt;ROWS($G$2:$G$111)-COUNTBLANK($G$2:$G$111),"",INDIRECT(ADDRESS(SMALL((IF($G$2:$G$111&lt;&gt;"",ROW($G$2:$G$111),ROW()+ROWS($G$2:$G$111))),ROW()-ROW($H$2:$H$111)+1),COLUMN($G$2:$G$111),4)))</f>
        <v/>
      </c>
      <c r="O103" s="114" t="str">
        <f t="array" aca="1" ref="O103" ca="1">IF(ROW()-ROW($I$2:$I$111)+1&gt;ROWS($H$2:$H$111)-COUNTBLANK($H$2:$H$111),"",INDIRECT(ADDRESS(SMALL((IF($H$2:$H$111&lt;&gt;"",ROW($H$2:$H$111),ROW()+ROWS($H$2:$H$111))),ROW()-ROW($I$2:$I$111)+1),COLUMN($H$2:$H$111),4)))</f>
        <v/>
      </c>
      <c r="P103" s="114" t="str">
        <f t="array" aca="1" ref="P103" ca="1">IF(ROW()-ROW($J$2:$J$111)+1&gt;ROWS($I$2:$I$111)-COUNTBLANK($I$2:$I$111),"",INDIRECT(ADDRESS(SMALL((IF($I$2:$I$111&lt;&gt;"",ROW($I$2:$I$111),ROW()+ROWS($I$2:$I$111))),ROW()-ROW($J$2:$J$111)+1),COLUMN($I$2:$I$111),4)))</f>
        <v/>
      </c>
    </row>
    <row r="104" spans="4:16" x14ac:dyDescent="0.25">
      <c r="D104" s="895"/>
      <c r="E104" s="138" t="str">
        <f>IF(H104="","","2012")</f>
        <v/>
      </c>
      <c r="F104" s="344"/>
      <c r="G104" s="344"/>
      <c r="H104" s="345"/>
      <c r="I104" s="346"/>
      <c r="J104" s="347"/>
      <c r="L104" s="51" t="str">
        <f t="array" aca="1" ref="L104" ca="1">IF(ROW()-ROW($F$2:$F$111)+1&gt;ROWS($E$2:$E$111)-COUNTBLANK($E$2:$E$111),"",INDIRECT(ADDRESS(SMALL((IF($E$2:$E$111&gt;"",ROW($E$2:$E$111),ROW()+ROWS($E$2:$E$111))),ROW()-ROW($F$2:$F$111)+1),COLUMN($E$2:$E$111),4)))</f>
        <v/>
      </c>
      <c r="M104" s="51" t="str">
        <f t="array" aca="1" ref="M104" ca="1">IF(ROW()-ROW($G$2:$G$111)+1&gt;ROWS($F$2:$F$111)-COUNTBLANK($F$2:$F$111),"",INDIRECT(ADDRESS(SMALL((IF($F$2:$F$111&lt;&gt;"",ROW($F$2:$F$111),ROW()+ROWS($F$2:$F$111))),ROW()-ROW($G$2:$G$111)+1),COLUMN($F$2:$F$111),4)))</f>
        <v/>
      </c>
      <c r="N104" s="51" t="str">
        <f t="array" aca="1" ref="N104" ca="1">IF(ROW()-ROW($H$2:$H$111)+1&gt;ROWS($G$2:$G$111)-COUNTBLANK($G$2:$G$111),"",INDIRECT(ADDRESS(SMALL((IF($G$2:$G$111&lt;&gt;"",ROW($G$2:$G$111),ROW()+ROWS($G$2:$G$111))),ROW()-ROW($H$2:$H$111)+1),COLUMN($G$2:$G$111),4)))</f>
        <v/>
      </c>
      <c r="O104" s="114" t="str">
        <f t="array" aca="1" ref="O104" ca="1">IF(ROW()-ROW($I$2:$I$111)+1&gt;ROWS($H$2:$H$111)-COUNTBLANK($H$2:$H$111),"",INDIRECT(ADDRESS(SMALL((IF($H$2:$H$111&lt;&gt;"",ROW($H$2:$H$111),ROW()+ROWS($H$2:$H$111))),ROW()-ROW($I$2:$I$111)+1),COLUMN($H$2:$H$111),4)))</f>
        <v/>
      </c>
      <c r="P104" s="114" t="str">
        <f t="array" aca="1" ref="P104" ca="1">IF(ROW()-ROW($J$2:$J$111)+1&gt;ROWS($I$2:$I$111)-COUNTBLANK($I$2:$I$111),"",INDIRECT(ADDRESS(SMALL((IF($I$2:$I$111&lt;&gt;"",ROW($I$2:$I$111),ROW()+ROWS($I$2:$I$111))),ROW()-ROW($J$2:$J$111)+1),COLUMN($I$2:$I$111),4)))</f>
        <v/>
      </c>
    </row>
    <row r="105" spans="4:16" x14ac:dyDescent="0.25">
      <c r="D105" s="895"/>
      <c r="E105" s="138" t="str">
        <f>IF(H105="","","2013")</f>
        <v/>
      </c>
      <c r="F105" s="344"/>
      <c r="G105" s="344"/>
      <c r="H105" s="345"/>
      <c r="I105" s="346"/>
      <c r="J105" s="347"/>
      <c r="L105" s="51" t="str">
        <f t="array" aca="1" ref="L105" ca="1">IF(ROW()-ROW($F$2:$F$111)+1&gt;ROWS($E$2:$E$111)-COUNTBLANK($E$2:$E$111),"",INDIRECT(ADDRESS(SMALL((IF($E$2:$E$111&gt;"",ROW($E$2:$E$111),ROW()+ROWS($E$2:$E$111))),ROW()-ROW($F$2:$F$111)+1),COLUMN($E$2:$E$111),4)))</f>
        <v/>
      </c>
      <c r="M105" s="51" t="str">
        <f t="array" aca="1" ref="M105" ca="1">IF(ROW()-ROW($G$2:$G$111)+1&gt;ROWS($F$2:$F$111)-COUNTBLANK($F$2:$F$111),"",INDIRECT(ADDRESS(SMALL((IF($F$2:$F$111&lt;&gt;"",ROW($F$2:$F$111),ROW()+ROWS($F$2:$F$111))),ROW()-ROW($G$2:$G$111)+1),COLUMN($F$2:$F$111),4)))</f>
        <v/>
      </c>
      <c r="N105" s="51" t="str">
        <f t="array" aca="1" ref="N105" ca="1">IF(ROW()-ROW($H$2:$H$111)+1&gt;ROWS($G$2:$G$111)-COUNTBLANK($G$2:$G$111),"",INDIRECT(ADDRESS(SMALL((IF($G$2:$G$111&lt;&gt;"",ROW($G$2:$G$111),ROW()+ROWS($G$2:$G$111))),ROW()-ROW($H$2:$H$111)+1),COLUMN($G$2:$G$111),4)))</f>
        <v/>
      </c>
      <c r="O105" s="114" t="str">
        <f t="array" aca="1" ref="O105" ca="1">IF(ROW()-ROW($I$2:$I$111)+1&gt;ROWS($H$2:$H$111)-COUNTBLANK($H$2:$H$111),"",INDIRECT(ADDRESS(SMALL((IF($H$2:$H$111&lt;&gt;"",ROW($H$2:$H$111),ROW()+ROWS($H$2:$H$111))),ROW()-ROW($I$2:$I$111)+1),COLUMN($H$2:$H$111),4)))</f>
        <v/>
      </c>
      <c r="P105" s="114" t="str">
        <f t="array" aca="1" ref="P105" ca="1">IF(ROW()-ROW($J$2:$J$111)+1&gt;ROWS($I$2:$I$111)-COUNTBLANK($I$2:$I$111),"",INDIRECT(ADDRESS(SMALL((IF($I$2:$I$111&lt;&gt;"",ROW($I$2:$I$111),ROW()+ROWS($I$2:$I$111))),ROW()-ROW($J$2:$J$111)+1),COLUMN($I$2:$I$111),4)))</f>
        <v/>
      </c>
    </row>
    <row r="106" spans="4:16" x14ac:dyDescent="0.25">
      <c r="D106" s="895"/>
      <c r="E106" s="138" t="str">
        <f>IF(H106="","","2014")</f>
        <v/>
      </c>
      <c r="F106" s="344"/>
      <c r="G106" s="344"/>
      <c r="H106" s="345"/>
      <c r="I106" s="346"/>
      <c r="J106" s="347"/>
      <c r="L106" s="51" t="str">
        <f t="array" aca="1" ref="L106" ca="1">IF(ROW()-ROW($F$2:$F$111)+1&gt;ROWS($E$2:$E$111)-COUNTBLANK($E$2:$E$111),"",INDIRECT(ADDRESS(SMALL((IF($E$2:$E$111&gt;"",ROW($E$2:$E$111),ROW()+ROWS($E$2:$E$111))),ROW()-ROW($F$2:$F$111)+1),COLUMN($E$2:$E$111),4)))</f>
        <v/>
      </c>
      <c r="M106" s="51" t="str">
        <f t="array" aca="1" ref="M106" ca="1">IF(ROW()-ROW($G$2:$G$111)+1&gt;ROWS($F$2:$F$111)-COUNTBLANK($F$2:$F$111),"",INDIRECT(ADDRESS(SMALL((IF($F$2:$F$111&lt;&gt;"",ROW($F$2:$F$111),ROW()+ROWS($F$2:$F$111))),ROW()-ROW($G$2:$G$111)+1),COLUMN($F$2:$F$111),4)))</f>
        <v/>
      </c>
      <c r="N106" s="51" t="str">
        <f t="array" aca="1" ref="N106" ca="1">IF(ROW()-ROW($H$2:$H$111)+1&gt;ROWS($G$2:$G$111)-COUNTBLANK($G$2:$G$111),"",INDIRECT(ADDRESS(SMALL((IF($G$2:$G$111&lt;&gt;"",ROW($G$2:$G$111),ROW()+ROWS($G$2:$G$111))),ROW()-ROW($H$2:$H$111)+1),COLUMN($G$2:$G$111),4)))</f>
        <v/>
      </c>
      <c r="O106" s="114" t="str">
        <f t="array" aca="1" ref="O106" ca="1">IF(ROW()-ROW($I$2:$I$111)+1&gt;ROWS($H$2:$H$111)-COUNTBLANK($H$2:$H$111),"",INDIRECT(ADDRESS(SMALL((IF($H$2:$H$111&lt;&gt;"",ROW($H$2:$H$111),ROW()+ROWS($H$2:$H$111))),ROW()-ROW($I$2:$I$111)+1),COLUMN($H$2:$H$111),4)))</f>
        <v/>
      </c>
      <c r="P106" s="114" t="str">
        <f t="array" aca="1" ref="P106" ca="1">IF(ROW()-ROW($J$2:$J$111)+1&gt;ROWS($I$2:$I$111)-COUNTBLANK($I$2:$I$111),"",INDIRECT(ADDRESS(SMALL((IF($I$2:$I$111&lt;&gt;"",ROW($I$2:$I$111),ROW()+ROWS($I$2:$I$111))),ROW()-ROW($J$2:$J$111)+1),COLUMN($I$2:$I$111),4)))</f>
        <v/>
      </c>
    </row>
    <row r="107" spans="4:16" x14ac:dyDescent="0.25">
      <c r="D107" s="895"/>
      <c r="E107" s="138" t="str">
        <f>IF(H107="","","2015")</f>
        <v/>
      </c>
      <c r="F107" s="139" t="str">
        <f>IF(H107="","","h")</f>
        <v/>
      </c>
      <c r="G107" s="139" t="str">
        <f>IF(H107="","","6")</f>
        <v/>
      </c>
      <c r="H107" s="124" t="str">
        <f>IF(A9="relevant",IF(Matrix!R27="","",IF(ROUND(Matrix!R27,4)&lt;Berechnung2!$J$45,Berechnung2!$L$45,"")),"")</f>
        <v/>
      </c>
      <c r="I107" s="114" t="str">
        <f>IF(H107="","",VLOOKUP(F107,Berechnung2!$I$15:$J$25,2,FALSE))</f>
        <v/>
      </c>
      <c r="J107" s="125" t="str">
        <f>IF(H107&lt;&gt;"",1,"")</f>
        <v/>
      </c>
      <c r="L107" s="51" t="str">
        <f t="array" aca="1" ref="L107" ca="1">IF(ROW()-ROW($F$2:$F$111)+1&gt;ROWS($E$2:$E$111)-COUNTBLANK($E$2:$E$111),"",INDIRECT(ADDRESS(SMALL((IF($E$2:$E$111&gt;"",ROW($E$2:$E$111),ROW()+ROWS($E$2:$E$111))),ROW()-ROW($F$2:$F$111)+1),COLUMN($E$2:$E$111),4)))</f>
        <v/>
      </c>
      <c r="M107" s="51" t="str">
        <f t="array" aca="1" ref="M107" ca="1">IF(ROW()-ROW($G$2:$G$111)+1&gt;ROWS($F$2:$F$111)-COUNTBLANK($F$2:$F$111),"",INDIRECT(ADDRESS(SMALL((IF($F$2:$F$111&lt;&gt;"",ROW($F$2:$F$111),ROW()+ROWS($F$2:$F$111))),ROW()-ROW($G$2:$G$111)+1),COLUMN($F$2:$F$111),4)))</f>
        <v/>
      </c>
      <c r="N107" s="51" t="str">
        <f t="array" aca="1" ref="N107" ca="1">IF(ROW()-ROW($H$2:$H$111)+1&gt;ROWS($G$2:$G$111)-COUNTBLANK($G$2:$G$111),"",INDIRECT(ADDRESS(SMALL((IF($G$2:$G$111&lt;&gt;"",ROW($G$2:$G$111),ROW()+ROWS($G$2:$G$111))),ROW()-ROW($H$2:$H$111)+1),COLUMN($G$2:$G$111),4)))</f>
        <v/>
      </c>
      <c r="O107" s="114" t="str">
        <f t="array" aca="1" ref="O107" ca="1">IF(ROW()-ROW($I$2:$I$111)+1&gt;ROWS($H$2:$H$111)-COUNTBLANK($H$2:$H$111),"",INDIRECT(ADDRESS(SMALL((IF($H$2:$H$111&lt;&gt;"",ROW($H$2:$H$111),ROW()+ROWS($H$2:$H$111))),ROW()-ROW($I$2:$I$111)+1),COLUMN($H$2:$H$111),4)))</f>
        <v/>
      </c>
      <c r="P107" s="114" t="str">
        <f t="array" aca="1" ref="P107" ca="1">IF(ROW()-ROW($J$2:$J$111)+1&gt;ROWS($I$2:$I$111)-COUNTBLANK($I$2:$I$111),"",INDIRECT(ADDRESS(SMALL((IF($I$2:$I$111&lt;&gt;"",ROW($I$2:$I$111),ROW()+ROWS($I$2:$I$111))),ROW()-ROW($J$2:$J$111)+1),COLUMN($I$2:$I$111),4)))</f>
        <v/>
      </c>
    </row>
    <row r="108" spans="4:16" x14ac:dyDescent="0.25">
      <c r="D108" s="895"/>
      <c r="E108" s="138" t="str">
        <f>IF(H108="","","2016")</f>
        <v/>
      </c>
      <c r="F108" s="139" t="str">
        <f>IF(H108="","","h")</f>
        <v/>
      </c>
      <c r="G108" s="139" t="str">
        <f t="shared" si="20"/>
        <v/>
      </c>
      <c r="H108" s="124" t="str">
        <f>IF(A10="relevant",IF(Matrix!R28="","",IF(ROUND(Matrix!R28,4)&lt;Berechnung2!$J$45,Berechnung2!$L$45,"")),"")</f>
        <v/>
      </c>
      <c r="I108" s="114" t="str">
        <f>IF(H108="","",VLOOKUP(F108,Berechnung2!$I$15:$J$25,2,FALSE))</f>
        <v/>
      </c>
      <c r="J108" s="125" t="str">
        <f>IF(H108&lt;&gt;"",1,"")</f>
        <v/>
      </c>
      <c r="L108" s="51" t="str">
        <f t="array" aca="1" ref="L108" ca="1">IF(ROW()-ROW($F$2:$F$111)+1&gt;ROWS($E$2:$E$111)-COUNTBLANK($E$2:$E$111),"",INDIRECT(ADDRESS(SMALL((IF($E$2:$E$111&gt;"",ROW($E$2:$E$111),ROW()+ROWS($E$2:$E$111))),ROW()-ROW($F$2:$F$111)+1),COLUMN($E$2:$E$111),4)))</f>
        <v/>
      </c>
      <c r="M108" s="51" t="str">
        <f t="array" aca="1" ref="M108" ca="1">IF(ROW()-ROW($G$2:$G$111)+1&gt;ROWS($F$2:$F$111)-COUNTBLANK($F$2:$F$111),"",INDIRECT(ADDRESS(SMALL((IF($F$2:$F$111&lt;&gt;"",ROW($F$2:$F$111),ROW()+ROWS($F$2:$F$111))),ROW()-ROW($G$2:$G$111)+1),COLUMN($F$2:$F$111),4)))</f>
        <v/>
      </c>
      <c r="N108" s="51" t="str">
        <f t="array" aca="1" ref="N108" ca="1">IF(ROW()-ROW($H$2:$H$111)+1&gt;ROWS($G$2:$G$111)-COUNTBLANK($G$2:$G$111),"",INDIRECT(ADDRESS(SMALL((IF($G$2:$G$111&lt;&gt;"",ROW($G$2:$G$111),ROW()+ROWS($G$2:$G$111))),ROW()-ROW($H$2:$H$111)+1),COLUMN($G$2:$G$111),4)))</f>
        <v/>
      </c>
      <c r="O108" s="114" t="str">
        <f t="array" aca="1" ref="O108" ca="1">IF(ROW()-ROW($I$2:$I$111)+1&gt;ROWS($H$2:$H$111)-COUNTBLANK($H$2:$H$111),"",INDIRECT(ADDRESS(SMALL((IF($H$2:$H$111&lt;&gt;"",ROW($H$2:$H$111),ROW()+ROWS($H$2:$H$111))),ROW()-ROW($I$2:$I$111)+1),COLUMN($H$2:$H$111),4)))</f>
        <v/>
      </c>
      <c r="P108" s="114" t="str">
        <f t="array" aca="1" ref="P108" ca="1">IF(ROW()-ROW($J$2:$J$111)+1&gt;ROWS($I$2:$I$111)-COUNTBLANK($I$2:$I$111),"",INDIRECT(ADDRESS(SMALL((IF($I$2:$I$111&lt;&gt;"",ROW($I$2:$I$111),ROW()+ROWS($I$2:$I$111))),ROW()-ROW($J$2:$J$111)+1),COLUMN($I$2:$I$111),4)))</f>
        <v/>
      </c>
    </row>
    <row r="109" spans="4:16" x14ac:dyDescent="0.25">
      <c r="D109" s="895"/>
      <c r="E109" s="138" t="str">
        <f>IF(H109="","","2017")</f>
        <v/>
      </c>
      <c r="F109" s="139" t="str">
        <f>IF(H109="","","h")</f>
        <v/>
      </c>
      <c r="G109" s="139" t="str">
        <f t="shared" si="20"/>
        <v/>
      </c>
      <c r="H109" s="124" t="str">
        <f>IF(A11="relevant",IF(Matrix!R29="","",IF(ROUND(Matrix!R29,4)&lt;Berechnung2!$J$45,Berechnung2!$L$45,"")),"")</f>
        <v/>
      </c>
      <c r="I109" s="114" t="str">
        <f>IF(H109="","",VLOOKUP(F109,Berechnung2!$I$15:$J$25,2,FALSE))</f>
        <v/>
      </c>
      <c r="J109" s="125" t="str">
        <f>IF(H109&lt;&gt;"",1,"")</f>
        <v/>
      </c>
      <c r="L109" s="51" t="str">
        <f t="array" aca="1" ref="L109" ca="1">IF(ROW()-ROW($F$2:$F$111)+1&gt;ROWS($E$2:$E$111)-COUNTBLANK($E$2:$E$111),"",INDIRECT(ADDRESS(SMALL((IF($E$2:$E$111&gt;"",ROW($E$2:$E$111),ROW()+ROWS($E$2:$E$111))),ROW()-ROW($F$2:$F$111)+1),COLUMN($E$2:$E$111),4)))</f>
        <v/>
      </c>
      <c r="M109" s="51" t="str">
        <f t="array" aca="1" ref="M109" ca="1">IF(ROW()-ROW($G$2:$G$111)+1&gt;ROWS($F$2:$F$111)-COUNTBLANK($F$2:$F$111),"",INDIRECT(ADDRESS(SMALL((IF($F$2:$F$111&lt;&gt;"",ROW($F$2:$F$111),ROW()+ROWS($F$2:$F$111))),ROW()-ROW($G$2:$G$111)+1),COLUMN($F$2:$F$111),4)))</f>
        <v/>
      </c>
      <c r="N109" s="51" t="str">
        <f t="array" aca="1" ref="N109" ca="1">IF(ROW()-ROW($H$2:$H$111)+1&gt;ROWS($G$2:$G$111)-COUNTBLANK($G$2:$G$111),"",INDIRECT(ADDRESS(SMALL((IF($G$2:$G$111&lt;&gt;"",ROW($G$2:$G$111),ROW()+ROWS($G$2:$G$111))),ROW()-ROW($H$2:$H$111)+1),COLUMN($G$2:$G$111),4)))</f>
        <v/>
      </c>
      <c r="O109" s="114" t="str">
        <f t="array" aca="1" ref="O109" ca="1">IF(ROW()-ROW($I$2:$I$111)+1&gt;ROWS($H$2:$H$111)-COUNTBLANK($H$2:$H$111),"",INDIRECT(ADDRESS(SMALL((IF($H$2:$H$111&lt;&gt;"",ROW($H$2:$H$111),ROW()+ROWS($H$2:$H$111))),ROW()-ROW($I$2:$I$111)+1),COLUMN($H$2:$H$111),4)))</f>
        <v/>
      </c>
      <c r="P109" s="114" t="str">
        <f t="array" aca="1" ref="P109" ca="1">IF(ROW()-ROW($J$2:$J$111)+1&gt;ROWS($I$2:$I$111)-COUNTBLANK($I$2:$I$111),"",INDIRECT(ADDRESS(SMALL((IF($I$2:$I$111&lt;&gt;"",ROW($I$2:$I$111),ROW()+ROWS($I$2:$I$111))),ROW()-ROW($J$2:$J$111)+1),COLUMN($I$2:$I$111),4)))</f>
        <v/>
      </c>
    </row>
    <row r="110" spans="4:16" x14ac:dyDescent="0.25">
      <c r="D110" s="168"/>
      <c r="E110" s="138" t="str">
        <f>IF(H110="","","2018")</f>
        <v/>
      </c>
      <c r="F110" s="344"/>
      <c r="G110" s="344"/>
      <c r="H110" s="345"/>
      <c r="I110" s="346"/>
      <c r="J110" s="347"/>
      <c r="L110" s="51" t="str">
        <f t="array" aca="1" ref="L110" ca="1">IF(ROW()-ROW($F$2:$F$111)+1&gt;ROWS($E$2:$E$111)-COUNTBLANK($E$2:$E$111),"",INDIRECT(ADDRESS(SMALL((IF($E$2:$E$111&gt;"",ROW($E$2:$E$111),ROW()+ROWS($E$2:$E$111))),ROW()-ROW($F$2:$F$111)+1),COLUMN($E$2:$E$111),4)))</f>
        <v/>
      </c>
      <c r="M110" s="51" t="str">
        <f t="array" aca="1" ref="M110" ca="1">IF(ROW()-ROW($G$2:$G$111)+1&gt;ROWS($F$2:$F$111)-COUNTBLANK($F$2:$F$111),"",INDIRECT(ADDRESS(SMALL((IF($F$2:$F$111&lt;&gt;"",ROW($F$2:$F$111),ROW()+ROWS($F$2:$F$111))),ROW()-ROW($G$2:$G$111)+1),COLUMN($F$2:$F$111),4)))</f>
        <v/>
      </c>
      <c r="N110" s="51" t="str">
        <f t="array" aca="1" ref="N110" ca="1">IF(ROW()-ROW($H$2:$H$111)+1&gt;ROWS($G$2:$G$111)-COUNTBLANK($G$2:$G$111),"",INDIRECT(ADDRESS(SMALL((IF($G$2:$G$111&lt;&gt;"",ROW($G$2:$G$111),ROW()+ROWS($G$2:$G$111))),ROW()-ROW($H$2:$H$111)+1),COLUMN($G$2:$G$111),4)))</f>
        <v/>
      </c>
      <c r="O110" s="114" t="str">
        <f t="array" aca="1" ref="O110" ca="1">IF(ROW()-ROW($I$2:$I$111)+1&gt;ROWS($H$2:$H$111)-COUNTBLANK($H$2:$H$111),"",INDIRECT(ADDRESS(SMALL((IF($H$2:$H$111&lt;&gt;"",ROW($H$2:$H$111),ROW()+ROWS($H$2:$H$111))),ROW()-ROW($I$2:$I$111)+1),COLUMN($H$2:$H$111),4)))</f>
        <v/>
      </c>
      <c r="P110" s="114" t="str">
        <f t="array" aca="1" ref="P110" ca="1">IF(ROW()-ROW($J$2:$J$111)+1&gt;ROWS($I$2:$I$111)-COUNTBLANK($I$2:$I$111),"",INDIRECT(ADDRESS(SMALL((IF($I$2:$I$111&lt;&gt;"",ROW($I$2:$I$111),ROW()+ROWS($I$2:$I$111))),ROW()-ROW($J$2:$J$111)+1),COLUMN($I$2:$I$111),4)))</f>
        <v/>
      </c>
    </row>
    <row r="111" spans="4:16" ht="12" thickBot="1" x14ac:dyDescent="0.3">
      <c r="D111" s="122" t="s">
        <v>23</v>
      </c>
      <c r="E111" s="138" t="str">
        <f>IF(H111="","","2019")</f>
        <v/>
      </c>
      <c r="F111" s="340"/>
      <c r="G111" s="340"/>
      <c r="H111" s="361"/>
      <c r="I111" s="342"/>
      <c r="J111" s="343"/>
      <c r="L111" s="51" t="str">
        <f t="array" aca="1" ref="L111" ca="1">IF(ROW()-ROW($F$2:$F$111)+1&gt;ROWS($E$2:$E$111)-COUNTBLANK($E$2:$E$111),"",INDIRECT(ADDRESS(SMALL((IF($E$2:$E$111&gt;"",ROW($E$2:$E$111),ROW()+ROWS($E$2:$E$111))),ROW()-ROW($F$2:$F$111)+1),COLUMN($E$2:$E$111),4)))</f>
        <v/>
      </c>
      <c r="M111" s="51" t="str">
        <f t="array" aca="1" ref="M111" ca="1">IF(ROW()-ROW($G$2:$G$111)+1&gt;ROWS($F$2:$F$111)-COUNTBLANK($F$2:$F$111),"",INDIRECT(ADDRESS(SMALL((IF($F$2:$F$111&lt;&gt;"",ROW($F$2:$F$111),ROW()+ROWS($F$2:$F$111))),ROW()-ROW($G$2:$G$111)+1),COLUMN($F$2:$F$111),4)))</f>
        <v/>
      </c>
      <c r="N111" s="51" t="str">
        <f t="array" aca="1" ref="N111" ca="1">IF(ROW()-ROW($H$2:$H$111)+1&gt;ROWS($G$2:$G$111)-COUNTBLANK($G$2:$G$111),"",INDIRECT(ADDRESS(SMALL((IF($G$2:$G$111&lt;&gt;"",ROW($G$2:$G$111),ROW()+ROWS($G$2:$G$111))),ROW()-ROW($H$2:$H$111)+1),COLUMN($G$2:$G$111),4)))</f>
        <v/>
      </c>
      <c r="O111" s="114" t="str">
        <f t="array" aca="1" ref="O111" ca="1">IF(ROW()-ROW($I$2:$I$111)+1&gt;ROWS($H$2:$H$111)-COUNTBLANK($H$2:$H$111),"",INDIRECT(ADDRESS(SMALL((IF($H$2:$H$111&lt;&gt;"",ROW($H$2:$H$111),ROW()+ROWS($H$2:$H$111))),ROW()-ROW($I$2:$I$111)+1),COLUMN($H$2:$H$111),4)))</f>
        <v/>
      </c>
      <c r="P111" s="114" t="str">
        <f t="array" aca="1" ref="P111" ca="1">IF(ROW()-ROW($J$2:$J$111)+1&gt;ROWS($I$2:$I$111)-COUNTBLANK($I$2:$I$111),"",INDIRECT(ADDRESS(SMALL((IF($I$2:$I$111&lt;&gt;"",ROW($I$2:$I$111),ROW()+ROWS($I$2:$I$111))),ROW()-ROW($J$2:$J$111)+1),COLUMN($I$2:$I$111),4)))</f>
        <v/>
      </c>
    </row>
    <row r="112" spans="4:16" x14ac:dyDescent="0.25">
      <c r="D112" s="83"/>
      <c r="E112" s="221"/>
      <c r="H112" s="221"/>
      <c r="I112" s="26"/>
      <c r="J112" s="100"/>
    </row>
    <row r="113" spans="9:10" x14ac:dyDescent="0.25">
      <c r="I113" s="86" t="s">
        <v>203</v>
      </c>
      <c r="J113" s="87">
        <f>IF(SUM(J2:J13)=0,0,SUM(J2:J13))</f>
        <v>0</v>
      </c>
    </row>
    <row r="114" spans="9:10" x14ac:dyDescent="0.25">
      <c r="I114" s="86" t="s">
        <v>202</v>
      </c>
      <c r="J114" s="88">
        <f>IF(SUM(J14:J85)=0,0,SUM(J14:J85))</f>
        <v>0</v>
      </c>
    </row>
    <row r="115" spans="9:10" x14ac:dyDescent="0.25">
      <c r="I115" s="89" t="s">
        <v>192</v>
      </c>
      <c r="J115" s="90">
        <f>IF(SUM(J87:J111)=0,0,SUM(J87:J111))</f>
        <v>0</v>
      </c>
    </row>
    <row r="116" spans="9:10" x14ac:dyDescent="0.25">
      <c r="I116" s="91" t="s">
        <v>124</v>
      </c>
      <c r="J116" s="92">
        <f>IF(J86="",0,J86)</f>
        <v>0</v>
      </c>
    </row>
  </sheetData>
  <mergeCells count="9">
    <mergeCell ref="D101:D109"/>
    <mergeCell ref="D88:D96"/>
    <mergeCell ref="D27:D35"/>
    <mergeCell ref="D3:D11"/>
    <mergeCell ref="D63:D71"/>
    <mergeCell ref="D75:D83"/>
    <mergeCell ref="D39:D47"/>
    <mergeCell ref="D51:D59"/>
    <mergeCell ref="D15:D23"/>
  </mergeCells>
  <phoneticPr fontId="33" type="noConversion"/>
  <pageMargins left="0.7" right="0.7" top="0.78740157499999996" bottom="0.78740157499999996"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9"/>
  <dimension ref="A1:BK50"/>
  <sheetViews>
    <sheetView topLeftCell="A13" zoomScaleNormal="100" workbookViewId="0">
      <selection activeCell="B25" sqref="B25"/>
    </sheetView>
  </sheetViews>
  <sheetFormatPr defaultColWidth="9" defaultRowHeight="11.25" x14ac:dyDescent="0.25"/>
  <cols>
    <col min="1" max="1" width="16.5703125" style="26" customWidth="1"/>
    <col min="2" max="2" width="49.7109375" style="26" customWidth="1"/>
    <col min="3" max="3" width="27.7109375" style="26" customWidth="1"/>
    <col min="4" max="4" width="23.28515625" style="26" customWidth="1"/>
    <col min="5" max="5" width="29.7109375" style="26" customWidth="1"/>
    <col min="6" max="6" width="35.28515625" style="26" customWidth="1"/>
    <col min="7" max="7" width="26.7109375" style="112" customWidth="1"/>
    <col min="8" max="8" width="25.28515625" style="107" customWidth="1"/>
    <col min="9" max="9" width="30.7109375" style="107" customWidth="1"/>
    <col min="10" max="10" width="42.7109375" style="26" customWidth="1"/>
    <col min="11" max="11" width="29.85546875" style="26" customWidth="1"/>
    <col min="12" max="12" width="55.5703125" style="26" customWidth="1"/>
    <col min="13" max="13" width="30.28515625" style="26" hidden="1" customWidth="1"/>
    <col min="14" max="14" width="97.28515625" style="26" hidden="1" customWidth="1"/>
    <col min="15" max="15" width="14.7109375" style="26" hidden="1" customWidth="1"/>
    <col min="16" max="16" width="11.42578125" style="26" customWidth="1"/>
    <col min="17" max="17" width="27.140625" style="26" customWidth="1"/>
    <col min="18" max="18" width="27.5703125" style="26" customWidth="1"/>
    <col min="19" max="19" width="21.7109375" style="26" customWidth="1"/>
    <col min="20" max="20" width="19.7109375" style="26" customWidth="1"/>
    <col min="21" max="21" width="18.7109375" style="26" customWidth="1"/>
    <col min="22" max="160" width="11.42578125" style="26" customWidth="1"/>
    <col min="161" max="16384" width="9" style="26"/>
  </cols>
  <sheetData>
    <row r="1" spans="1:63" x14ac:dyDescent="0.25">
      <c r="G1" s="26"/>
      <c r="H1" s="26"/>
      <c r="I1" s="26"/>
    </row>
    <row r="2" spans="1:63" ht="12.75" customHeight="1" x14ac:dyDescent="0.25">
      <c r="A2" s="57" t="s">
        <v>209</v>
      </c>
      <c r="G2" s="26"/>
      <c r="H2" s="26"/>
      <c r="I2" s="26"/>
      <c r="AI2" s="107"/>
      <c r="BJ2" s="112"/>
    </row>
    <row r="3" spans="1:63" x14ac:dyDescent="0.25">
      <c r="G3" s="26"/>
      <c r="H3" s="26"/>
      <c r="I3" s="26"/>
      <c r="AI3" s="107"/>
      <c r="BJ3" s="112"/>
    </row>
    <row r="4" spans="1:63" ht="15" customHeight="1" x14ac:dyDescent="0.25">
      <c r="B4" s="103" t="s">
        <v>201</v>
      </c>
      <c r="C4" s="78" t="s">
        <v>192</v>
      </c>
      <c r="D4" s="104" t="s">
        <v>124</v>
      </c>
      <c r="E4" s="105" t="s">
        <v>202</v>
      </c>
      <c r="F4" s="106" t="s">
        <v>203</v>
      </c>
      <c r="G4" s="26"/>
      <c r="H4" s="26"/>
      <c r="I4" s="26"/>
      <c r="AI4" s="107"/>
      <c r="BI4" s="100"/>
    </row>
    <row r="5" spans="1:63" x14ac:dyDescent="0.25">
      <c r="B5" s="128" t="str">
        <f>IF(AND(E5=0,F5=0,Berechnung3!A12="relevant"),B7,IF(OR(Berechnung3!A12="nicht relevant",Berechnung3!A12="EZ"),"",B8))</f>
        <v/>
      </c>
      <c r="C5" s="108">
        <f>Berechnung3!J115</f>
        <v>0</v>
      </c>
      <c r="D5" s="109">
        <f>Berechnung3!J116</f>
        <v>0</v>
      </c>
      <c r="E5" s="110">
        <f>Berechnung3!J114</f>
        <v>0</v>
      </c>
      <c r="F5" s="111">
        <f>Berechnung3!J113</f>
        <v>0</v>
      </c>
      <c r="G5" s="26"/>
      <c r="H5" s="26"/>
      <c r="I5" s="26"/>
      <c r="AI5" s="107"/>
    </row>
    <row r="6" spans="1:63" x14ac:dyDescent="0.25">
      <c r="G6" s="26"/>
      <c r="H6" s="26"/>
      <c r="I6" s="26"/>
      <c r="AI6" s="107"/>
    </row>
    <row r="7" spans="1:63" x14ac:dyDescent="0.25">
      <c r="A7" s="57" t="s">
        <v>271</v>
      </c>
      <c r="B7" s="26" t="s">
        <v>252</v>
      </c>
      <c r="G7" s="26"/>
      <c r="H7" s="26"/>
      <c r="I7" s="26"/>
      <c r="AI7" s="107"/>
    </row>
    <row r="8" spans="1:63" x14ac:dyDescent="0.25">
      <c r="B8" s="26" t="s">
        <v>114</v>
      </c>
      <c r="G8" s="26"/>
      <c r="H8" s="26"/>
      <c r="I8" s="26"/>
      <c r="AI8" s="107"/>
    </row>
    <row r="9" spans="1:63" x14ac:dyDescent="0.25">
      <c r="G9" s="26"/>
      <c r="H9" s="26"/>
      <c r="I9" s="26"/>
      <c r="AI9" s="107"/>
    </row>
    <row r="10" spans="1:63" x14ac:dyDescent="0.25">
      <c r="G10" s="26"/>
      <c r="H10" s="26"/>
      <c r="I10" s="26"/>
      <c r="AI10" s="107"/>
    </row>
    <row r="11" spans="1:63" x14ac:dyDescent="0.25">
      <c r="A11" s="107"/>
      <c r="B11" s="57" t="s">
        <v>229</v>
      </c>
      <c r="G11" s="26"/>
      <c r="H11" s="26"/>
      <c r="I11" s="26"/>
      <c r="AI11" s="107"/>
    </row>
    <row r="12" spans="1:63" x14ac:dyDescent="0.25">
      <c r="A12" s="107"/>
      <c r="D12" s="57"/>
      <c r="E12" s="57"/>
      <c r="G12" s="26"/>
      <c r="H12" s="26"/>
      <c r="I12" s="26"/>
      <c r="AI12" s="107"/>
    </row>
    <row r="13" spans="1:63" x14ac:dyDescent="0.25">
      <c r="A13" s="107"/>
      <c r="B13" s="897" t="s">
        <v>221</v>
      </c>
      <c r="C13" s="527" t="s">
        <v>235</v>
      </c>
      <c r="D13" s="883" t="s">
        <v>220</v>
      </c>
      <c r="E13" s="883" t="s">
        <v>17</v>
      </c>
      <c r="G13" s="26"/>
      <c r="H13" s="26"/>
      <c r="I13" s="26"/>
      <c r="AI13" s="107"/>
    </row>
    <row r="14" spans="1:63" ht="15" customHeight="1" x14ac:dyDescent="0.25">
      <c r="A14" s="107"/>
      <c r="B14" s="898"/>
      <c r="C14" s="899"/>
      <c r="D14" s="883"/>
      <c r="E14" s="883"/>
      <c r="G14" s="26"/>
      <c r="H14" s="26"/>
      <c r="I14" s="65" t="s">
        <v>17</v>
      </c>
      <c r="J14" s="65" t="s">
        <v>24</v>
      </c>
      <c r="AI14" s="107"/>
    </row>
    <row r="15" spans="1:63" ht="50.1" customHeight="1" x14ac:dyDescent="0.25">
      <c r="A15" s="26" t="s">
        <v>228</v>
      </c>
      <c r="B15" s="25" t="str">
        <f>CONCATENATE(IF(Berechnung3!$H$2=Berechnung2!$L$35,Berechnung3!$B$2,""),IF(Berechnung3!$H$3=Berechnung2!$L$35,Berechnung3!$B$3,""),IF(Berechnung3!$H$4=Berechnung2!$L$35,Berechnung3!$B$4,""),IF(Berechnung3!$H$5=Berechnung2!$L$35,Berechnung3!$B$5,""),IF(Berechnung3!$H$6=Berechnung2!$L$35,Berechnung3!$B$6,""),IF(Berechnung3!$H$7=Berechnung2!$L$35,Berechnung3!$B$7,""),IF(Berechnung3!$H$8=Berechnung2!$L$35,Berechnung3!$B$8,""),IF(Berechnung3!$H$9=Berechnung2!$L$35,Berechnung3!$B$9,""),IF(Berechnung3!$H$10=Berechnung2!$L$35,Berechnung3!$B$10,""),IF(Berechnung3!$H$11=Berechnung2!$L$35,Berechnung3!$B$11,""),IF(Berechnung3!$H$12=Berechnung2!$L$35,Berechnung3!$B$12,""),IF(Berechnung3!$H$13=Berechnung2!$L$35,Berechnung3!$B$13,""))</f>
        <v/>
      </c>
      <c r="C15" s="25">
        <f t="shared" ref="C15:C21" si="0">IF(LEN(B15)&gt;0,"X",0)</f>
        <v>0</v>
      </c>
      <c r="D15" s="25" t="str">
        <f>IF(COUNTIF(Berechnung3!$H$2:$H$13,Berechnung2!$L$35)&gt;0,CONCATENATE(Berechnung1!$F$5,"                                                  ",Berechnung2!$L$35),"")</f>
        <v/>
      </c>
      <c r="E15" s="25" t="str">
        <f>IF(COUNTIF(Berechnung3!$H$2:$H$13,Berechnung2!$L$35)&gt;0,"a","")</f>
        <v/>
      </c>
      <c r="G15" s="120" t="e">
        <f t="array" ref="G15">INDEX(B:B,SMALL(IF($C$15:$C$25="X",ROW($15:$25)),1))</f>
        <v>#NUM!</v>
      </c>
      <c r="H15" s="80" t="e">
        <f t="array" ref="H15">INDEX(D:D,SMALL(IF($C$15:$C$25="X",ROW($15:$25)),1))</f>
        <v>#NUM!</v>
      </c>
      <c r="I15" s="51" t="e">
        <f t="array" ref="I15">INDEX(E:E,SMALL(IF($C$15:$C$25="X",ROW($15:$25)),1))</f>
        <v>#NUM!</v>
      </c>
      <c r="J15" s="186" t="e">
        <f>IF(AND(Datendefizite_Matrix!C17="",I15&lt;&gt;""),"Anmerkung OnkoZert : Keine Erläuterung vorhanden",Datendefizite_Matrix!C17)</f>
        <v>#NUM!</v>
      </c>
      <c r="AJ15" s="107"/>
    </row>
    <row r="16" spans="1:63" ht="50.1" customHeight="1" x14ac:dyDescent="0.25">
      <c r="A16" s="26" t="s">
        <v>77</v>
      </c>
      <c r="B16" s="25" t="str">
        <f>CONCATENATE(IF(Berechnung3!$H$14=Berechnung2!$L$36,Berechnung3!$B$2,""),IF(Berechnung3!$H$15=Berechnung2!$L$36,Berechnung3!$B$3,""),IF(Berechnung3!$H$16=Berechnung2!$L$36,Berechnung3!$B$4,""),IF(Berechnung3!$H$17=Berechnung2!$L$36,Berechnung3!$B$5,""),IF(Berechnung3!$H$18=Berechnung2!$L$36,Berechnung3!$B$6,""),IF(Berechnung3!$H$19=Berechnung2!$L$36,Berechnung3!$B$7,""),IF(Berechnung3!$H$20=Berechnung2!$L$36,Berechnung3!$B$8,""),IF(Berechnung3!$H$21=Berechnung2!$L$36,Berechnung3!$B$9,""),IF(Berechnung3!$H$22=Berechnung2!$L$36,Berechnung3!$B$10,""),IF(Berechnung3!$H$23=Berechnung2!$L$36,Berechnung3!$B$11,""))</f>
        <v/>
      </c>
      <c r="C16" s="25">
        <f t="shared" si="0"/>
        <v>0</v>
      </c>
      <c r="D16" s="25" t="str">
        <f>IF(COUNTIF(Berechnung3!$H$14:$H$25,Berechnung2!$L$36)&gt;0,CONCATENATE(Berechnung1!$G$5,"                                     ",Berechnung2!$L$36),"")</f>
        <v/>
      </c>
      <c r="E16" s="25" t="str">
        <f>IF(COUNTIF(Berechnung3!$H$14:$H$25,Berechnung2!$L$36)&gt;0,"m","")</f>
        <v/>
      </c>
      <c r="G16" s="120" t="e">
        <f t="array" ref="G16">INDEX(B:B,SMALL(IF($C$15:$C$25="X",ROW($15:$25)),2))</f>
        <v>#NUM!</v>
      </c>
      <c r="H16" s="80" t="e">
        <f t="array" ref="H16">INDEX(D:D,SMALL(IF($C$15:$C$25="X",ROW($15:$25)),2))</f>
        <v>#NUM!</v>
      </c>
      <c r="I16" s="51" t="e">
        <f t="array" ref="I16">INDEX(E:E,SMALL(IF($C$15:$C$25="X",ROW($15:$25)),2))</f>
        <v>#NUM!</v>
      </c>
      <c r="J16" s="186" t="e">
        <f>IF(AND(Datendefizite_Matrix!C18="",I16&lt;&gt;""),"Anmerkung OnkoZert : Keine Erläuterung vorhanden",Datendefizite_Matrix!C18)</f>
        <v>#NUM!</v>
      </c>
      <c r="AJ16" s="107"/>
      <c r="BK16" s="113"/>
    </row>
    <row r="17" spans="1:63" ht="50.1" customHeight="1" x14ac:dyDescent="0.25">
      <c r="A17" s="26" t="s">
        <v>78</v>
      </c>
      <c r="B17" s="25" t="str">
        <f>CONCATENATE(IF(Berechnung3!$H$26=Berechnung2!$L$39,Berechnung3!$B$2,""),IF(Berechnung3!$H$27=Berechnung2!$L$39,Berechnung3!$B$3,""),IF(Berechnung3!$H$28=Berechnung2!$L$39,Berechnung3!$B$4,""),IF(Berechnung3!$H$29=Berechnung2!$L$39,Berechnung3!$B$5,""),IF(Berechnung3!$H$30=Berechnung2!$L$39,Berechnung3!$B$6,""),IF(Berechnung3!$H$31=Berechnung2!$L$39,Berechnung3!$B$7,""),IF(Berechnung3!$H$32=Berechnung2!$L$39,Berechnung3!$B$8,""),IF(Berechnung3!$H$33=Berechnung2!$L$39,Berechnung3!$B$9,""),IF(Berechnung3!$H$34=Berechnung2!$L$39,Berechnung3!$B$10,""),IF(Berechnung3!$H$35=Berechnung2!$L$39,Berechnung3!$B$11,""))</f>
        <v/>
      </c>
      <c r="C17" s="25">
        <f t="shared" si="0"/>
        <v>0</v>
      </c>
      <c r="D17" s="25" t="str">
        <f>IF(COUNTIF(Berechnung3!$H$26:$H$37,Berechnung2!$L$39)&gt;0,CONCATENATE(Berechnung1!$G$5,"                                     ",Berechnung2!$L$39),"")</f>
        <v/>
      </c>
      <c r="E17" s="25" t="str">
        <f>IF(COUNTIF(Berechnung3!$H$26:$H$37,Berechnung2!$L$39)&gt;0,"c","")</f>
        <v/>
      </c>
      <c r="G17" s="120" t="e">
        <f t="array" ref="G17">INDEX(B:B,SMALL(IF($C$15:$C$25="X",ROW($15:$25)),3))</f>
        <v>#NUM!</v>
      </c>
      <c r="H17" s="80" t="e">
        <f t="array" ref="H17">INDEX(D:D,SMALL(IF($C$15:$C$25="X",ROW($15:$25)),3))</f>
        <v>#NUM!</v>
      </c>
      <c r="I17" s="51" t="e">
        <f t="array" ref="I17">INDEX(E:E,SMALL(IF($C$15:$C$25="X",ROW($15:$25)),3))</f>
        <v>#NUM!</v>
      </c>
      <c r="J17" s="186" t="e">
        <f>IF(AND(Datendefizite_Matrix!C19="",I17&lt;&gt;""),"Anmerkung OnkoZert : Keine Erläuterung vorhanden",Datendefizite_Matrix!C19)</f>
        <v>#NUM!</v>
      </c>
      <c r="AJ17" s="107"/>
    </row>
    <row r="18" spans="1:63" ht="50.1" customHeight="1" x14ac:dyDescent="0.25">
      <c r="A18" s="26" t="s">
        <v>79</v>
      </c>
      <c r="B18" s="25" t="str">
        <f>CONCATENATE(IF(Berechnung3!$H$38=Berechnung2!$L$37,Berechnung3!$B$2,""),IF(Berechnung3!$H$39=Berechnung2!$L$37,Berechnung3!$B$3,""),IF(Berechnung3!$H$40=Berechnung2!$L$37,Berechnung3!$B$4,""),IF(Berechnung3!$H$41=Berechnung2!$L$37,Berechnung3!$B$5,""),IF(Berechnung3!$H$42=Berechnung2!$L$37,Berechnung3!$B$6,""),IF(Berechnung3!$H$43=Berechnung2!$L$37,Berechnung3!$B$7,""),IF(Berechnung3!$H$44=Berechnung2!$L$37,Berechnung3!$B$8,""),IF(Berechnung3!$H$45=Berechnung2!$L$37,Berechnung3!$B$9,""),IF(Berechnung3!$H$46=Berechnung2!$L$37,Berechnung3!$B$10,""),IF(Berechnung3!$H$47=Berechnung2!$L$37,Berechnung3!$B$11,""))</f>
        <v/>
      </c>
      <c r="C18" s="25">
        <f t="shared" si="0"/>
        <v>0</v>
      </c>
      <c r="D18" s="25" t="str">
        <f>IF(COUNTIF(Berechnung3!$H$38:$H$49,Berechnung2!$L$37)&gt;0,CONCATENATE(Berechnung1!$G$5,"                                     ",Berechnung2!$L$37),"")</f>
        <v/>
      </c>
      <c r="E18" s="25" t="str">
        <f>IF(COUNTIF(Berechnung3!$H$38:$H$49,Berechnung2!$L$37)&gt;0,"n","")</f>
        <v/>
      </c>
      <c r="G18" s="120" t="e">
        <f t="array" ref="G18">INDEX(B:B,SMALL(IF($C$15:$C$25="X",ROW($15:$25)),4))</f>
        <v>#NUM!</v>
      </c>
      <c r="H18" s="80" t="e">
        <f t="array" ref="H18">INDEX(D:D,SMALL(IF($C$15:$C$25="X",ROW($15:$25)),4))</f>
        <v>#NUM!</v>
      </c>
      <c r="I18" s="51" t="e">
        <f t="array" ref="I18">INDEX(E:E,SMALL(IF($C$15:$C$25="X",ROW($15:$25)),4))</f>
        <v>#NUM!</v>
      </c>
      <c r="J18" s="186" t="e">
        <f>IF(AND(Datendefizite_Matrix!C20="",I18&lt;&gt;""),"Anmerkung OnkoZert : Keine Erläuterung vorhanden",Datendefizite_Matrix!C20)</f>
        <v>#NUM!</v>
      </c>
      <c r="AJ18" s="107"/>
      <c r="BK18" s="112"/>
    </row>
    <row r="19" spans="1:63" ht="50.1" customHeight="1" x14ac:dyDescent="0.25">
      <c r="A19" s="26" t="s">
        <v>80</v>
      </c>
      <c r="B19" s="25" t="str">
        <f>CONCATENATE(IF(Berechnung3!$H$50=Berechnung2!$L$38,Berechnung3!$B$2,""),IF(Berechnung3!$H$51=Berechnung2!$L$38,Berechnung3!$B$3,""),IF(Berechnung3!$H$52=Berechnung2!$L$38,Berechnung3!$B$4,""),IF(Berechnung3!$H$53=Berechnung2!$L$38,Berechnung3!$B$5,""),IF(Berechnung3!$H$54=Berechnung2!$L$38,Berechnung3!$B$6,""),IF(Berechnung3!$H$55=Berechnung2!$L$38,Berechnung3!$B$7,""),IF(Berechnung3!$H$56=Berechnung2!$L$38,Berechnung3!$B$8,""),IF(Berechnung3!$H$57=Berechnung2!$L$38,Berechnung3!$B$9,""),IF(Berechnung3!$H$58=Berechnung2!$L$38,Berechnung3!$B$10,""),IF(Berechnung3!$H$59=Berechnung2!$L$38,Berechnung3!$B$11,""))</f>
        <v/>
      </c>
      <c r="C19" s="25">
        <f t="shared" si="0"/>
        <v>0</v>
      </c>
      <c r="D19" s="25" t="str">
        <f>IF(COUNTIF(Berechnung3!$H$50:$H$61,Berechnung2!$L$38)&gt;0,CONCATENATE(Berechnung1!$G$5,"                                     ",Berechnung2!$L$38),"")</f>
        <v/>
      </c>
      <c r="E19" s="25" t="str">
        <f>IF(COUNTIF(Berechnung3!$H$50:$H$61,Berechnung2!$L$38)&gt;0,"o","")</f>
        <v/>
      </c>
      <c r="G19" s="120" t="e">
        <f t="array" ref="G19">INDEX(B:B,SMALL(IF($C$15:$C$25="X",ROW($15:$25)),5))</f>
        <v>#NUM!</v>
      </c>
      <c r="H19" s="80" t="e">
        <f t="array" ref="H19">INDEX(D:D,SMALL(IF($C$15:$C$25="X",ROW($15:$25)),5))</f>
        <v>#NUM!</v>
      </c>
      <c r="I19" s="51" t="e">
        <f t="array" ref="I19">INDEX(E:E,SMALL(IF($C$15:$C$25="X",ROW($15:$25)),5))</f>
        <v>#NUM!</v>
      </c>
      <c r="J19" s="186" t="e">
        <f>IF(AND(Datendefizite_Matrix!C21="",I19&lt;&gt;""),"Anmerkung OnkoZert : Keine Erläuterung vorhanden",Datendefizite_Matrix!C21)</f>
        <v>#NUM!</v>
      </c>
    </row>
    <row r="20" spans="1:63" ht="50.1" customHeight="1" x14ac:dyDescent="0.25">
      <c r="A20" s="26" t="s">
        <v>81</v>
      </c>
      <c r="B20" s="25" t="str">
        <f>CONCATENATE(IF(Berechnung3!$H$62=Berechnung2!$L$40,Berechnung3!$B$2,""),IF(Berechnung3!$H$63=Berechnung2!$L$40,Berechnung3!$B$3,""),IF(Berechnung3!$H$64=Berechnung2!$L$40,Berechnung3!$B$4,""),IF(Berechnung3!$H$65=Berechnung2!$L$40,Berechnung3!$B$5,""),IF(Berechnung3!$H$66=Berechnung2!$L$40,Berechnung3!$B$6,""),IF(Berechnung3!$H$67=Berechnung2!$L$40,Berechnung3!$B$7,""),IF(Berechnung3!$H$68=Berechnung2!$L$40,Berechnung3!$B$8,""),IF(Berechnung3!$H$69=Berechnung2!$L$40,Berechnung3!$B$9,""),IF(Berechnung3!$H$70=Berechnung2!$L$40,Berechnung3!$B$10,""),IF(Berechnung3!$H$71=Berechnung2!$L$40,Berechnung3!$B$11,""))</f>
        <v/>
      </c>
      <c r="C20" s="25">
        <f t="shared" si="0"/>
        <v>0</v>
      </c>
      <c r="D20" s="25" t="str">
        <f>IF(COUNTIF(Berechnung3!$H$62:$H$73,Berechnung2!$L$40)&gt;0,CONCATENATE(Berechnung1!$G$5,"                                     ",Berechnung2!$L$40),"")</f>
        <v/>
      </c>
      <c r="E20" s="25" t="str">
        <f>IF(COUNTIF(Berechnung3!$H$62:$H$73,Berechnung2!$L$40)&gt;0,"p","")</f>
        <v/>
      </c>
      <c r="G20" s="120" t="e">
        <f t="array" ref="G20">INDEX(B:B,SMALL(IF($C$15:$C$25="X",ROW($15:$25)),6))</f>
        <v>#NUM!</v>
      </c>
      <c r="H20" s="80" t="e">
        <f t="array" ref="H20">INDEX(D:D,SMALL(IF($C$15:$C$25="X",ROW($15:$25)),6))</f>
        <v>#NUM!</v>
      </c>
      <c r="I20" s="51" t="e">
        <f t="array" ref="I20">INDEX(E:E,SMALL(IF($C$15:$C$25="X",ROW($15:$25)),6))</f>
        <v>#NUM!</v>
      </c>
      <c r="J20" s="186" t="e">
        <f>IF(AND(Datendefizite_Matrix!C22="",I20&lt;&gt;""),"Anmerkung OnkoZert : Keine Erläuterung vorhanden",Datendefizite_Matrix!C22)</f>
        <v>#NUM!</v>
      </c>
    </row>
    <row r="21" spans="1:63" ht="50.1" customHeight="1" x14ac:dyDescent="0.25">
      <c r="A21" s="26" t="s">
        <v>82</v>
      </c>
      <c r="B21" s="25" t="str">
        <f>CONCATENATE(IF(Berechnung3!$H$74=Berechnung2!$L$41,Berechnung3!$B$2,""),IF(Berechnung3!$H$75=Berechnung2!$L$41,Berechnung3!$B$3,""),IF(Berechnung3!$H$76=Berechnung2!$L$41,Berechnung3!$B$4,""),IF(Berechnung3!$H$77=Berechnung2!$L$41,Berechnung3!$B$5,""),IF(Berechnung3!$H$78=Berechnung2!$L$41,Berechnung3!$B$6,""),IF(Berechnung3!$H$79=Berechnung2!$L$41,Berechnung3!$B$7,""),IF(Berechnung3!$H$80=Berechnung2!$L$41,Berechnung3!$B$8,""),IF(Berechnung3!$H$81=Berechnung2!$L$41,Berechnung3!$B$9,""),IF(Berechnung3!$H$82=Berechnung2!$L$41,Berechnung3!$B$10,""),IF(Berechnung3!$H$83=Berechnung2!$L$41,Berechnung3!$B$11,""))</f>
        <v/>
      </c>
      <c r="C21" s="25">
        <f t="shared" si="0"/>
        <v>0</v>
      </c>
      <c r="D21" s="25" t="str">
        <f>IF(COUNTIF(Berechnung3!$H$74:$H$85,Berechnung2!$L$41)&gt;0,CONCATENATE(Berechnung1!$G$5,"                                     ",Berechnung2!$L$41),"")</f>
        <v/>
      </c>
      <c r="E21" s="25" t="str">
        <f>IF(COUNTIF(Berechnung3!$H$74:$H$85,Berechnung2!$L$41)&gt;0,"q","")</f>
        <v/>
      </c>
      <c r="G21" s="120" t="e">
        <f t="array" ref="G21">INDEX(B:B,SMALL(IF($C$15:$C$25="X",ROW($15:$25)),7))</f>
        <v>#NUM!</v>
      </c>
      <c r="H21" s="80" t="e">
        <f t="array" ref="H21">INDEX(D:D,SMALL(IF($C$15:$C$25="X",ROW($15:$25)),7))</f>
        <v>#NUM!</v>
      </c>
      <c r="I21" s="51" t="e">
        <f t="array" ref="I21">INDEX(E:E,SMALL(IF($C$15:$C$25="X",ROW($15:$25)),7))</f>
        <v>#NUM!</v>
      </c>
      <c r="J21" s="186" t="e">
        <f>IF(AND(Datendefizite_Matrix!C23="",I21&lt;&gt;""),"Anmerkung OnkoZert : Keine Erläuterung vorhanden",Datendefizite_Matrix!C23)</f>
        <v>#NUM!</v>
      </c>
    </row>
    <row r="22" spans="1:63" ht="50.1" customHeight="1" x14ac:dyDescent="0.25">
      <c r="A22" s="26" t="s">
        <v>117</v>
      </c>
      <c r="B22" s="25" t="s">
        <v>395</v>
      </c>
      <c r="C22" s="25">
        <f>IF(LEN(D22)&gt;0,"X",0)</f>
        <v>0</v>
      </c>
      <c r="D22" s="25" t="str">
        <f>IF(COUNTIF(Berechnung3!$H$86,Berechnung2!$L$42)&gt;0,CONCATENATE(Berechnung1!$E$5,"                                     ",Berechnung2!$L$42),"")</f>
        <v/>
      </c>
      <c r="E22" s="25" t="str">
        <f>IF(COUNTIF(Berechnung3!$H$86,Berechnung2!$L$42)&gt;0,"e","")</f>
        <v/>
      </c>
      <c r="G22" s="120" t="e">
        <f t="array" ref="G22">INDEX(B:B,SMALL(IF($C$15:$C$25="X",ROW($15:$25)),8))</f>
        <v>#NUM!</v>
      </c>
      <c r="H22" s="80" t="e">
        <f t="array" ref="H22">INDEX(D:D,SMALL(IF($C$15:$C$25="X",ROW($15:$25)),8))</f>
        <v>#NUM!</v>
      </c>
      <c r="I22" s="51" t="e">
        <f t="array" ref="I22">INDEX(E:E,SMALL(IF($C$15:$C$25="X",ROW($15:$25)),8))</f>
        <v>#NUM!</v>
      </c>
      <c r="J22" s="186" t="e">
        <f>IF(AND(Datendefizite_Matrix!C24="",I22&lt;&gt;""),"Anmerkung OnkoZert : Keine Erläuterung vorhanden",Datendefizite_Matrix!C24)</f>
        <v>#NUM!</v>
      </c>
    </row>
    <row r="23" spans="1:63" ht="50.1" customHeight="1" x14ac:dyDescent="0.25">
      <c r="A23" s="26" t="s">
        <v>83</v>
      </c>
      <c r="B23" s="25" t="str">
        <f>CONCATENATE(IF(Berechnung3!$H$87=Berechnung2!$L$43,Berechnung3!$B$2,""),IF(Berechnung3!$H$88=Berechnung2!$L$43,Berechnung3!$B$3,""),IF(Berechnung3!$H$89=Berechnung2!$L$43,Berechnung3!$B$4,""),IF(Berechnung3!$H$90=Berechnung2!$L$43,Berechnung3!$B$5,""),IF(Berechnung3!$H$91=Berechnung2!$L$43,Berechnung3!$B$6,""),IF(Berechnung3!$H$92=Berechnung2!$L$43,Berechnung3!$B$7,""),IF(Berechnung3!$H$93=Berechnung2!$L$43,Berechnung3!$B$8,""),IF(Berechnung3!$H$94=Berechnung2!$L$43,Berechnung3!$B$9,""),IF(Berechnung3!$H$95=Berechnung2!$L$43,Berechnung3!$B$10,""),IF(Berechnung3!$H$96=Berechnung2!$L$43,Berechnung3!$B$11,""),IF(Berechnung3!$H$97=Berechnung2!$L$43,Berechnung3!$B$12,""),IF(Berechnung3!$H$98=Berechnung2!$L$43,Berechnung3!$B$13,""))</f>
        <v/>
      </c>
      <c r="C23" s="25">
        <f>IF(LEN(B23)&gt;0,"X",0)</f>
        <v>0</v>
      </c>
      <c r="D23" s="25" t="str">
        <f>IF(COUNTIF(Berechnung3!$H$87:$H$98,Berechnung2!$L$43)&gt;0,CONCATENATE(Berechnung1!$D$4,"                                     ",Berechnung2!$L$43),"")</f>
        <v/>
      </c>
      <c r="E23" s="25" t="str">
        <f>IF(COUNTIF(Berechnung3!$H$87:$H$98,Berechnung2!$L$43)&gt;0,"f","")</f>
        <v/>
      </c>
      <c r="G23" s="120" t="e">
        <f t="array" ref="G23">INDEX(B:B,SMALL(IF($C$15:$C$25="X",ROW($15:$25)),9))</f>
        <v>#NUM!</v>
      </c>
      <c r="H23" s="80" t="e">
        <f t="array" ref="H23">INDEX(D:D,SMALL(IF($C$15:$C$25="X",ROW($15:$25)),9))</f>
        <v>#NUM!</v>
      </c>
      <c r="I23" s="51" t="e">
        <f t="array" ref="I23">INDEX(E:E,SMALL(IF($C$15:$C$25="X",ROW($15:$25)),9))</f>
        <v>#NUM!</v>
      </c>
      <c r="J23" s="186" t="e">
        <f>IF(AND(Datendefizite_Matrix!C25="",I23&lt;&gt;""),"Anmerkung OnkoZert : Keine Erläuterung vorhanden",Datendefizite_Matrix!C25)</f>
        <v>#NUM!</v>
      </c>
    </row>
    <row r="24" spans="1:63" ht="50.1" customHeight="1" x14ac:dyDescent="0.25">
      <c r="A24" s="26" t="s">
        <v>84</v>
      </c>
      <c r="B24" s="25" t="s">
        <v>395</v>
      </c>
      <c r="C24" s="25">
        <f>IF(LEN(D24)&gt;0,"X",0)</f>
        <v>0</v>
      </c>
      <c r="D24" s="25" t="str">
        <f>IF(COUNTIF(Berechnung3!$H$99,Berechnung2!$L$44),CONCATENATE(Berechnung2!$C$4,"                                     ",Berechnung2!$L$44),"")</f>
        <v/>
      </c>
      <c r="E24" s="25" t="str">
        <f>IF(COUNTIF(Berechnung3!$H$99,Berechnung2!$L$44)&gt;0,"g","")</f>
        <v/>
      </c>
      <c r="G24" s="120" t="e">
        <f t="array" ref="G24">INDEX(B:B,SMALL(IF($C$15:$C$25="X",ROW($15:$25)),10))</f>
        <v>#NUM!</v>
      </c>
      <c r="H24" s="80" t="e">
        <f t="array" ref="H24">INDEX(D:D,SMALL(IF($C$15:$C$25="X",ROW($15:$25)),10))</f>
        <v>#NUM!</v>
      </c>
      <c r="I24" s="51" t="e">
        <f t="array" ref="I24">INDEX(E:E,SMALL(IF($C$15:$C$25="X",ROW($15:$25)),10))</f>
        <v>#NUM!</v>
      </c>
      <c r="J24" s="186" t="e">
        <f>IF(AND(Datendefizite_Matrix!C26="",I24&lt;&gt;""),"Anmerkung OnkoZert : Keine Erläuterung vorhanden",Datendefizite_Matrix!C26)</f>
        <v>#NUM!</v>
      </c>
    </row>
    <row r="25" spans="1:63" ht="50.1" customHeight="1" x14ac:dyDescent="0.25">
      <c r="A25" s="26" t="s">
        <v>85</v>
      </c>
      <c r="B25" s="25" t="str">
        <f>CONCATENATE(IF(Berechnung3!$H$107=Berechnung2!$L$45,Berechnung3!$B$9,""),IF(Berechnung3!$H$108=Berechnung2!$L$45,Berechnung3!$B$10,""),IF(Berechnung3!$H$109=Berechnung2!$L$45,Berechnung3!$B$11,""))</f>
        <v/>
      </c>
      <c r="C25" s="25">
        <f>IF(LEN(B25)&gt;0,"X",0)</f>
        <v>0</v>
      </c>
      <c r="D25" s="25" t="str">
        <f>IF(COUNTIF(Berechnung3!H100:H111,Berechnung2!$L$45)&gt;0,CONCATENATE(Berechnung1!$D$4,"                                     ",Berechnung2!$L$45),"")</f>
        <v/>
      </c>
      <c r="E25" s="25" t="str">
        <f>IF(COUNTIF(Berechnung3!H100:H111,Berechnung2!$L$45)&gt;0,"h","")</f>
        <v/>
      </c>
      <c r="G25" s="120" t="e">
        <f t="array" ref="G25">INDEX(B:B,SMALL(IF($C$15:$C$25="X",ROW($15:$25)),11))</f>
        <v>#NUM!</v>
      </c>
      <c r="H25" s="80" t="e">
        <f t="array" ref="H25">INDEX(D:D,SMALL(IF($C$15:$C$25="X",ROW($15:$25)),11))</f>
        <v>#NUM!</v>
      </c>
      <c r="I25" s="51" t="e">
        <f t="array" ref="I25">INDEX(E:E,SMALL(IF($C$15:$C$25="X",ROW($15:$25)),11))</f>
        <v>#NUM!</v>
      </c>
      <c r="J25" s="186" t="e">
        <f>IF(AND(Datendefizite_Matrix!C27="",I25&lt;&gt;""),"Anmerkung OnkoZert : Keine Erläuterung vorhanden",Datendefizite_Matrix!C27)</f>
        <v>#NUM!</v>
      </c>
    </row>
    <row r="26" spans="1:63" x14ac:dyDescent="0.25">
      <c r="A26" s="100"/>
      <c r="B26" s="83"/>
      <c r="C26" s="83"/>
      <c r="D26" s="83"/>
      <c r="E26" s="83"/>
      <c r="G26" s="26"/>
      <c r="H26" s="26"/>
    </row>
    <row r="27" spans="1:63" x14ac:dyDescent="0.25">
      <c r="A27" s="100"/>
      <c r="B27" s="83"/>
      <c r="C27" s="83"/>
      <c r="D27" s="83"/>
      <c r="E27" s="83"/>
    </row>
    <row r="28" spans="1:63" x14ac:dyDescent="0.25">
      <c r="A28" s="100"/>
      <c r="B28" s="83"/>
      <c r="C28" s="83"/>
      <c r="D28" s="83"/>
      <c r="E28" s="83"/>
    </row>
    <row r="29" spans="1:63" s="67" customFormat="1" x14ac:dyDescent="0.25">
      <c r="A29" s="26"/>
      <c r="B29" s="26"/>
      <c r="C29" s="26"/>
      <c r="D29" s="26"/>
      <c r="E29" s="26"/>
      <c r="F29" s="26"/>
      <c r="G29" s="112"/>
      <c r="H29" s="107"/>
      <c r="I29" s="107"/>
      <c r="J29" s="26"/>
      <c r="K29" s="26"/>
      <c r="L29" s="26"/>
      <c r="M29" s="26"/>
      <c r="N29" s="26"/>
      <c r="O29" s="26"/>
    </row>
    <row r="30" spans="1:63" x14ac:dyDescent="0.25">
      <c r="P30" s="67"/>
    </row>
    <row r="31" spans="1:63" x14ac:dyDescent="0.25">
      <c r="P31" s="67"/>
    </row>
    <row r="32" spans="1:63" x14ac:dyDescent="0.25">
      <c r="A32" s="67"/>
      <c r="B32" s="57" t="s">
        <v>217</v>
      </c>
      <c r="C32" s="67"/>
      <c r="D32" s="67"/>
      <c r="E32" s="67"/>
      <c r="F32" s="67"/>
      <c r="G32" s="67"/>
      <c r="H32" s="67"/>
      <c r="I32" s="67"/>
      <c r="J32" s="67"/>
      <c r="K32" s="67"/>
      <c r="L32" s="67"/>
      <c r="M32" s="67"/>
      <c r="N32" s="67"/>
      <c r="O32" s="67"/>
      <c r="P32" s="67"/>
    </row>
    <row r="33" spans="1:16" x14ac:dyDescent="0.25">
      <c r="A33" s="67"/>
      <c r="B33" s="115" t="s">
        <v>225</v>
      </c>
      <c r="C33" s="115"/>
      <c r="D33" s="115"/>
      <c r="E33" s="65"/>
      <c r="F33" s="48" t="s">
        <v>224</v>
      </c>
      <c r="G33" s="65"/>
      <c r="H33" s="65"/>
      <c r="I33" s="65"/>
      <c r="J33" s="101"/>
      <c r="K33" s="115"/>
      <c r="L33" s="115" t="s">
        <v>92</v>
      </c>
      <c r="M33" s="115"/>
      <c r="N33" s="176" t="s">
        <v>93</v>
      </c>
      <c r="O33" s="115"/>
      <c r="P33" s="67"/>
    </row>
    <row r="34" spans="1:16" x14ac:dyDescent="0.25">
      <c r="A34" s="67"/>
      <c r="B34" s="116" t="s">
        <v>286</v>
      </c>
      <c r="C34" s="115"/>
      <c r="D34" s="115"/>
      <c r="E34" s="79" t="s">
        <v>272</v>
      </c>
      <c r="F34" s="79" t="s">
        <v>272</v>
      </c>
      <c r="G34" s="79" t="s">
        <v>272</v>
      </c>
      <c r="H34" s="79" t="s">
        <v>272</v>
      </c>
      <c r="I34" s="79" t="s">
        <v>272</v>
      </c>
      <c r="J34" s="79" t="s">
        <v>272</v>
      </c>
      <c r="K34" s="79" t="s">
        <v>272</v>
      </c>
      <c r="L34" s="114"/>
      <c r="M34" s="114"/>
      <c r="N34" s="177" t="s">
        <v>266</v>
      </c>
      <c r="O34" s="114"/>
      <c r="P34" s="67"/>
    </row>
    <row r="35" spans="1:16" x14ac:dyDescent="0.25">
      <c r="B35" s="116" t="s">
        <v>285</v>
      </c>
      <c r="C35" s="116"/>
      <c r="D35" s="116" t="s">
        <v>228</v>
      </c>
      <c r="E35" s="79" t="s">
        <v>272</v>
      </c>
      <c r="F35" s="79" t="s">
        <v>272</v>
      </c>
      <c r="G35" s="79" t="s">
        <v>272</v>
      </c>
      <c r="H35" s="79" t="s">
        <v>272</v>
      </c>
      <c r="I35" s="79" t="s">
        <v>272</v>
      </c>
      <c r="J35" s="79" t="s">
        <v>272</v>
      </c>
      <c r="K35" s="79" t="s">
        <v>272</v>
      </c>
      <c r="L35" s="114" t="s">
        <v>282</v>
      </c>
      <c r="M35" s="114"/>
      <c r="N35" s="177"/>
      <c r="O35" s="114"/>
      <c r="P35" s="67"/>
    </row>
    <row r="36" spans="1:16" x14ac:dyDescent="0.25">
      <c r="B36" s="116" t="s">
        <v>65</v>
      </c>
      <c r="C36" s="116"/>
      <c r="D36" s="116" t="s">
        <v>208</v>
      </c>
      <c r="E36" s="66"/>
      <c r="F36" s="66"/>
      <c r="G36" s="66"/>
      <c r="H36" s="66"/>
      <c r="I36" s="66"/>
      <c r="J36" s="102"/>
      <c r="K36" s="66"/>
      <c r="L36" s="114" t="s">
        <v>66</v>
      </c>
      <c r="M36" s="114"/>
      <c r="N36" s="177" t="s">
        <v>106</v>
      </c>
      <c r="O36" s="114"/>
      <c r="P36" s="67"/>
    </row>
    <row r="37" spans="1:16" x14ac:dyDescent="0.25">
      <c r="B37" s="116" t="s">
        <v>88</v>
      </c>
      <c r="C37" s="116"/>
      <c r="D37" s="116" t="s">
        <v>208</v>
      </c>
      <c r="E37" s="66" t="s">
        <v>214</v>
      </c>
      <c r="F37" s="79" t="s">
        <v>272</v>
      </c>
      <c r="G37" s="66">
        <v>0</v>
      </c>
      <c r="H37" s="79" t="s">
        <v>272</v>
      </c>
      <c r="I37" s="79" t="s">
        <v>272</v>
      </c>
      <c r="J37" s="79" t="s">
        <v>272</v>
      </c>
      <c r="K37" s="79" t="s">
        <v>272</v>
      </c>
      <c r="L37" s="114" t="s">
        <v>67</v>
      </c>
      <c r="M37" s="114"/>
      <c r="N37" s="177"/>
      <c r="O37" s="114"/>
      <c r="P37" s="67"/>
    </row>
    <row r="38" spans="1:16" x14ac:dyDescent="0.25">
      <c r="B38" s="116" t="s">
        <v>89</v>
      </c>
      <c r="C38" s="116"/>
      <c r="D38" s="116" t="s">
        <v>208</v>
      </c>
      <c r="E38" s="66" t="s">
        <v>214</v>
      </c>
      <c r="F38" s="79" t="s">
        <v>272</v>
      </c>
      <c r="G38" s="66">
        <v>0</v>
      </c>
      <c r="H38" s="79" t="s">
        <v>272</v>
      </c>
      <c r="I38" s="79" t="s">
        <v>272</v>
      </c>
      <c r="J38" s="79" t="s">
        <v>272</v>
      </c>
      <c r="K38" s="79" t="s">
        <v>272</v>
      </c>
      <c r="L38" s="114" t="s">
        <v>68</v>
      </c>
      <c r="M38" s="114"/>
      <c r="N38" s="177"/>
      <c r="O38" s="114"/>
      <c r="P38" s="67"/>
    </row>
    <row r="39" spans="1:16" x14ac:dyDescent="0.25">
      <c r="B39" s="116" t="s">
        <v>90</v>
      </c>
      <c r="C39" s="116"/>
      <c r="D39" s="116" t="s">
        <v>208</v>
      </c>
      <c r="E39" s="66" t="s">
        <v>214</v>
      </c>
      <c r="F39" s="79" t="s">
        <v>272</v>
      </c>
      <c r="G39" s="66">
        <v>0</v>
      </c>
      <c r="H39" s="79" t="s">
        <v>272</v>
      </c>
      <c r="I39" s="79" t="s">
        <v>272</v>
      </c>
      <c r="J39" s="79" t="s">
        <v>272</v>
      </c>
      <c r="K39" s="79" t="s">
        <v>272</v>
      </c>
      <c r="L39" s="114" t="s">
        <v>186</v>
      </c>
      <c r="M39" s="114"/>
      <c r="N39" s="177"/>
      <c r="O39" s="114"/>
      <c r="P39" s="67"/>
    </row>
    <row r="40" spans="1:16" x14ac:dyDescent="0.25">
      <c r="B40" s="116" t="s">
        <v>69</v>
      </c>
      <c r="C40" s="116"/>
      <c r="D40" s="116" t="s">
        <v>208</v>
      </c>
      <c r="E40" s="79" t="s">
        <v>272</v>
      </c>
      <c r="F40" s="79" t="s">
        <v>272</v>
      </c>
      <c r="G40" s="79" t="s">
        <v>272</v>
      </c>
      <c r="H40" s="79" t="s">
        <v>272</v>
      </c>
      <c r="I40" s="79" t="s">
        <v>272</v>
      </c>
      <c r="J40" s="79" t="s">
        <v>272</v>
      </c>
      <c r="K40" s="79" t="s">
        <v>272</v>
      </c>
      <c r="L40" s="114" t="s">
        <v>72</v>
      </c>
      <c r="M40" s="114"/>
      <c r="N40" s="177" t="s">
        <v>107</v>
      </c>
      <c r="O40" s="114"/>
      <c r="P40" s="67"/>
    </row>
    <row r="41" spans="1:16" x14ac:dyDescent="0.25">
      <c r="B41" s="116" t="s">
        <v>70</v>
      </c>
      <c r="C41" s="116"/>
      <c r="D41" s="116" t="s">
        <v>208</v>
      </c>
      <c r="E41" s="79" t="s">
        <v>272</v>
      </c>
      <c r="F41" s="187" t="s">
        <v>272</v>
      </c>
      <c r="G41" s="187" t="s">
        <v>272</v>
      </c>
      <c r="H41" s="187" t="s">
        <v>272</v>
      </c>
      <c r="I41" s="187" t="s">
        <v>272</v>
      </c>
      <c r="J41" s="187" t="s">
        <v>272</v>
      </c>
      <c r="K41" s="187" t="s">
        <v>272</v>
      </c>
      <c r="L41" s="114" t="s">
        <v>71</v>
      </c>
      <c r="M41" s="114"/>
      <c r="N41" s="179"/>
      <c r="O41" s="114"/>
      <c r="P41" s="67"/>
    </row>
    <row r="42" spans="1:16" x14ac:dyDescent="0.25">
      <c r="B42" s="114" t="s">
        <v>391</v>
      </c>
      <c r="C42" s="116"/>
      <c r="D42" s="116" t="s">
        <v>227</v>
      </c>
      <c r="E42" s="66" t="s">
        <v>214</v>
      </c>
      <c r="F42" s="50">
        <v>0</v>
      </c>
      <c r="G42" s="50">
        <v>0</v>
      </c>
      <c r="H42" s="50"/>
      <c r="I42" s="102">
        <v>0.69999</v>
      </c>
      <c r="J42" s="50">
        <v>0.69999</v>
      </c>
      <c r="K42" s="102"/>
      <c r="L42" s="114" t="s">
        <v>289</v>
      </c>
      <c r="M42" s="114"/>
      <c r="N42" s="177"/>
      <c r="O42" s="114"/>
      <c r="P42" s="67"/>
    </row>
    <row r="43" spans="1:16" x14ac:dyDescent="0.25">
      <c r="B43" s="116" t="s">
        <v>223</v>
      </c>
      <c r="C43" s="116"/>
      <c r="D43" s="116" t="s">
        <v>226</v>
      </c>
      <c r="E43" s="66" t="s">
        <v>214</v>
      </c>
      <c r="F43" s="102"/>
      <c r="G43" s="145">
        <v>50</v>
      </c>
      <c r="H43" s="102"/>
      <c r="I43" s="102"/>
      <c r="J43" s="102"/>
      <c r="K43" s="102"/>
      <c r="L43" s="114" t="s">
        <v>242</v>
      </c>
      <c r="M43" s="114"/>
      <c r="N43" s="177"/>
      <c r="O43" s="114"/>
    </row>
    <row r="44" spans="1:16" x14ac:dyDescent="0.25">
      <c r="B44" s="114" t="s">
        <v>392</v>
      </c>
      <c r="C44" s="116"/>
      <c r="D44" s="116" t="s">
        <v>226</v>
      </c>
      <c r="E44" s="66" t="s">
        <v>213</v>
      </c>
      <c r="F44" s="102"/>
      <c r="G44" s="50">
        <v>0</v>
      </c>
      <c r="H44" s="50">
        <v>0.95001000000000002</v>
      </c>
      <c r="I44" s="102">
        <v>1</v>
      </c>
      <c r="J44" s="102">
        <v>0.95001000000000002</v>
      </c>
      <c r="K44" s="102"/>
      <c r="L44" s="114" t="s">
        <v>290</v>
      </c>
      <c r="M44" s="114"/>
      <c r="N44" s="177"/>
      <c r="O44" s="114"/>
    </row>
    <row r="45" spans="1:16" x14ac:dyDescent="0.25">
      <c r="B45" s="116" t="s">
        <v>87</v>
      </c>
      <c r="C45" s="116"/>
      <c r="D45" s="116" t="s">
        <v>226</v>
      </c>
      <c r="E45" s="66" t="s">
        <v>214</v>
      </c>
      <c r="F45" s="50">
        <v>0</v>
      </c>
      <c r="G45" s="50">
        <v>0</v>
      </c>
      <c r="H45" s="50"/>
      <c r="I45" s="102">
        <v>0.59999000000000002</v>
      </c>
      <c r="J45" s="189">
        <v>0.59999000000000002</v>
      </c>
      <c r="K45" s="102"/>
      <c r="L45" s="114" t="s">
        <v>283</v>
      </c>
      <c r="M45" s="114"/>
      <c r="N45" s="177"/>
      <c r="O45" s="114"/>
    </row>
    <row r="46" spans="1:16" x14ac:dyDescent="0.25">
      <c r="F46" s="112"/>
      <c r="G46" s="107"/>
      <c r="I46" s="26"/>
      <c r="P46" s="67"/>
    </row>
    <row r="47" spans="1:16" x14ac:dyDescent="0.25">
      <c r="P47" s="67"/>
    </row>
    <row r="49" spans="2:15" hidden="1" x14ac:dyDescent="0.25">
      <c r="B49" s="116" t="s">
        <v>222</v>
      </c>
      <c r="C49" s="116"/>
      <c r="D49" s="116" t="s">
        <v>208</v>
      </c>
      <c r="E49" s="66" t="s">
        <v>213</v>
      </c>
      <c r="F49" s="49">
        <v>0</v>
      </c>
      <c r="G49" s="49">
        <v>0</v>
      </c>
      <c r="H49" s="50"/>
      <c r="I49" s="66"/>
      <c r="J49" s="102">
        <v>1</v>
      </c>
      <c r="K49" s="66"/>
      <c r="L49" s="114"/>
      <c r="M49" s="114"/>
      <c r="N49" s="114"/>
      <c r="O49" s="114"/>
    </row>
    <row r="50" spans="2:15" hidden="1" x14ac:dyDescent="0.25">
      <c r="B50" s="79" t="s">
        <v>272</v>
      </c>
      <c r="C50" s="116"/>
      <c r="D50" s="116"/>
      <c r="E50" s="79" t="s">
        <v>272</v>
      </c>
      <c r="F50" s="79" t="s">
        <v>272</v>
      </c>
      <c r="G50" s="79" t="s">
        <v>272</v>
      </c>
      <c r="H50" s="79" t="s">
        <v>272</v>
      </c>
      <c r="I50" s="79" t="s">
        <v>272</v>
      </c>
      <c r="J50" s="79" t="s">
        <v>272</v>
      </c>
      <c r="K50" s="79" t="s">
        <v>272</v>
      </c>
      <c r="L50" s="114"/>
      <c r="M50" s="114"/>
      <c r="N50" s="178" t="s">
        <v>292</v>
      </c>
      <c r="O50" s="114"/>
    </row>
  </sheetData>
  <mergeCells count="4">
    <mergeCell ref="D13:D14"/>
    <mergeCell ref="B13:B14"/>
    <mergeCell ref="C13:C14"/>
    <mergeCell ref="E13:E14"/>
  </mergeCells>
  <phoneticPr fontId="33" type="noConversion"/>
  <pageMargins left="0.31496062992125984" right="0.11811023622047245" top="0.39370078740157483" bottom="0.39370078740157483" header="0.31496062992125984" footer="0.31496062992125984"/>
  <pageSetup paperSize="9" orientation="landscape" r:id="rId1"/>
  <ignoredErrors>
    <ignoredError sqref="C22 C23 C24 E18" formula="1"/>
    <ignoredError sqref="C15" evalError="1"/>
  </ignoredError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8"/>
  <dimension ref="A1:N25"/>
  <sheetViews>
    <sheetView showGridLines="0" zoomScaleNormal="100" zoomScaleSheetLayoutView="100" workbookViewId="0">
      <selection activeCell="C17" sqref="C17:G17"/>
    </sheetView>
  </sheetViews>
  <sheetFormatPr defaultColWidth="9" defaultRowHeight="14.25" x14ac:dyDescent="0.2"/>
  <cols>
    <col min="1" max="1" width="18" style="1" customWidth="1"/>
    <col min="2" max="2" width="23.5703125" style="1" customWidth="1"/>
    <col min="3" max="3" width="22.5703125" style="1" customWidth="1"/>
    <col min="4" max="4" width="23.85546875" style="1" customWidth="1"/>
    <col min="5" max="5" width="22.140625" style="1" customWidth="1"/>
    <col min="6" max="6" width="21" style="1" customWidth="1"/>
    <col min="7" max="7" width="8.140625" style="1" customWidth="1"/>
    <col min="8" max="8" width="11.42578125" style="1" customWidth="1"/>
    <col min="9" max="9" width="14.140625" style="1" hidden="1" customWidth="1"/>
    <col min="10" max="182" width="11.42578125" style="1" customWidth="1"/>
    <col min="183" max="16384" width="9" style="1"/>
  </cols>
  <sheetData>
    <row r="1" spans="1:14" ht="9.9499999999999993" customHeight="1" x14ac:dyDescent="0.2">
      <c r="B1" s="23"/>
      <c r="E1" s="11"/>
    </row>
    <row r="2" spans="1:14" ht="12.95" customHeight="1" x14ac:dyDescent="0.2">
      <c r="A2" s="17" t="s">
        <v>381</v>
      </c>
      <c r="E2" s="11"/>
    </row>
    <row r="3" spans="1:14" ht="16.5" x14ac:dyDescent="0.25">
      <c r="A3" s="14" t="s">
        <v>281</v>
      </c>
      <c r="E3" s="11"/>
      <c r="F3" s="12"/>
    </row>
    <row r="4" spans="1:14" ht="16.5" x14ac:dyDescent="0.25">
      <c r="A4" s="14"/>
      <c r="J4" s="15"/>
    </row>
    <row r="5" spans="1:14" ht="15" customHeight="1" x14ac:dyDescent="0.2">
      <c r="D5" s="7"/>
      <c r="E5" s="7"/>
      <c r="F5" s="7"/>
      <c r="G5" s="7"/>
      <c r="H5" s="7"/>
      <c r="I5" s="7"/>
      <c r="J5" s="15"/>
    </row>
    <row r="6" spans="1:14" s="17" customFormat="1" ht="15" customHeight="1" x14ac:dyDescent="0.2">
      <c r="A6" s="20" t="s">
        <v>246</v>
      </c>
      <c r="B6" s="735" t="str">
        <f>IF('Basic data'!C8=0,"",'Basic data'!C8)</f>
        <v>-----</v>
      </c>
      <c r="C6" s="736"/>
      <c r="D6" s="736"/>
      <c r="E6" s="736"/>
      <c r="F6" s="808"/>
      <c r="G6" s="7"/>
      <c r="H6" s="7"/>
      <c r="J6" s="15"/>
      <c r="K6" s="15"/>
      <c r="L6" s="13"/>
      <c r="M6" s="15"/>
      <c r="N6" s="15"/>
    </row>
    <row r="7" spans="1:14" s="17" customFormat="1" ht="6.95" customHeight="1" x14ac:dyDescent="0.2">
      <c r="A7" s="4"/>
      <c r="B7" s="7"/>
      <c r="D7" s="7"/>
      <c r="E7" s="7"/>
      <c r="F7" s="7"/>
      <c r="G7" s="7"/>
      <c r="H7" s="7"/>
      <c r="J7" s="15"/>
      <c r="K7" s="15"/>
      <c r="L7" s="13"/>
      <c r="M7" s="15"/>
      <c r="N7" s="15"/>
    </row>
    <row r="8" spans="1:14" s="17" customFormat="1" ht="15" customHeight="1" x14ac:dyDescent="0.2">
      <c r="A8" s="20" t="s">
        <v>193</v>
      </c>
      <c r="B8" s="29" t="str">
        <f>IF('Basic data'!C6=0,"",'Basic data'!C6)</f>
        <v>Not listed</v>
      </c>
      <c r="D8" s="15"/>
      <c r="E8" s="2" t="s">
        <v>191</v>
      </c>
      <c r="F8" s="28" t="str">
        <f>IF('Basic data'!K12=0,"",'Basic data'!K12)</f>
        <v/>
      </c>
      <c r="H8" s="1"/>
      <c r="J8" s="15"/>
      <c r="K8" s="15"/>
      <c r="L8" s="13"/>
      <c r="M8" s="15"/>
      <c r="N8" s="15"/>
    </row>
    <row r="9" spans="1:14" s="17" customFormat="1" ht="8.25" customHeight="1" x14ac:dyDescent="0.2">
      <c r="B9" s="19"/>
      <c r="C9" s="1"/>
      <c r="E9" s="1"/>
      <c r="I9" s="9"/>
      <c r="J9" s="16"/>
      <c r="K9" s="16"/>
      <c r="L9" s="16"/>
      <c r="M9" s="16"/>
      <c r="N9" s="16"/>
    </row>
    <row r="10" spans="1:14" ht="6.75" customHeight="1" x14ac:dyDescent="0.2">
      <c r="I10" s="10"/>
      <c r="J10" s="24"/>
      <c r="K10" s="24"/>
      <c r="L10" s="24"/>
      <c r="M10" s="24"/>
      <c r="N10" s="24"/>
    </row>
    <row r="11" spans="1:14" ht="16.5" customHeight="1" x14ac:dyDescent="0.2">
      <c r="A11" s="156" t="s">
        <v>209</v>
      </c>
    </row>
    <row r="12" spans="1:14" ht="13.5" customHeight="1" x14ac:dyDescent="0.2">
      <c r="A12" s="909" t="str">
        <f>IF(OR(A13="",A13="Matrix kann eingereicht werden"),"In Ordnung",IF(A13="die inkorrekten und unvollständigen Einträge beheben","Nicht in Ordnung"))</f>
        <v>In Ordnung</v>
      </c>
      <c r="B12" s="910"/>
      <c r="C12" s="30" t="s">
        <v>192</v>
      </c>
      <c r="D12" s="31" t="s">
        <v>124</v>
      </c>
      <c r="E12" s="35" t="s">
        <v>202</v>
      </c>
      <c r="F12" s="36" t="s">
        <v>309</v>
      </c>
      <c r="I12" s="900" t="s">
        <v>203</v>
      </c>
    </row>
    <row r="13" spans="1:14" ht="16.5" customHeight="1" x14ac:dyDescent="0.2">
      <c r="A13" s="816" t="str">
        <f>Berechnung2!B5</f>
        <v/>
      </c>
      <c r="B13" s="818"/>
      <c r="C13" s="40">
        <f>Berechnung2!C5</f>
        <v>0</v>
      </c>
      <c r="D13" s="41">
        <f>Berechnung2!D5</f>
        <v>0</v>
      </c>
      <c r="E13" s="52">
        <f>Berechnung2!E5</f>
        <v>0</v>
      </c>
      <c r="F13" s="53">
        <f>Berechnung2!F5</f>
        <v>0</v>
      </c>
      <c r="I13" s="900"/>
    </row>
    <row r="14" spans="1:14" s="17" customFormat="1" ht="20.25" customHeight="1" x14ac:dyDescent="0.2">
      <c r="B14" s="8"/>
      <c r="C14" s="8"/>
    </row>
    <row r="15" spans="1:14" ht="15.75" customHeight="1" x14ac:dyDescent="0.2">
      <c r="A15" s="904" t="s">
        <v>234</v>
      </c>
      <c r="B15" s="906" t="s">
        <v>158</v>
      </c>
      <c r="C15" s="907" t="s">
        <v>4</v>
      </c>
      <c r="D15" s="908"/>
      <c r="E15" s="908"/>
      <c r="F15" s="908"/>
      <c r="G15" s="843"/>
    </row>
    <row r="16" spans="1:14" ht="11.25" customHeight="1" x14ac:dyDescent="0.2">
      <c r="A16" s="905"/>
      <c r="B16" s="905"/>
      <c r="C16" s="908"/>
      <c r="D16" s="908"/>
      <c r="E16" s="908"/>
      <c r="F16" s="908"/>
      <c r="G16" s="843"/>
    </row>
    <row r="17" spans="1:7" ht="61.5" customHeight="1" x14ac:dyDescent="0.25">
      <c r="A17" s="25" t="str">
        <f>IF(ISERROR(Berechnung2!G15),"",Berechnung2!G15)</f>
        <v/>
      </c>
      <c r="B17" s="25" t="str">
        <f>IF(ISERROR(Berechnung2!H15),"",Berechnung2!H15)</f>
        <v/>
      </c>
      <c r="C17" s="901"/>
      <c r="D17" s="902"/>
      <c r="E17" s="902"/>
      <c r="F17" s="902"/>
      <c r="G17" s="903"/>
    </row>
    <row r="18" spans="1:7" ht="61.5" customHeight="1" x14ac:dyDescent="0.25">
      <c r="A18" s="25" t="str">
        <f>IF(ISERROR(Berechnung2!G16),"",Berechnung2!G16)</f>
        <v/>
      </c>
      <c r="B18" s="25" t="str">
        <f>IF(ISERROR(Berechnung2!H16),"",Berechnung2!H16)</f>
        <v/>
      </c>
      <c r="C18" s="901"/>
      <c r="D18" s="902"/>
      <c r="E18" s="902"/>
      <c r="F18" s="902"/>
      <c r="G18" s="903"/>
    </row>
    <row r="19" spans="1:7" ht="61.5" customHeight="1" x14ac:dyDescent="0.25">
      <c r="A19" s="25" t="str">
        <f>IF(ISERROR(Berechnung2!G17),"",Berechnung2!G17)</f>
        <v/>
      </c>
      <c r="B19" s="25" t="str">
        <f>IF(ISERROR(Berechnung2!H17),"",Berechnung2!H17)</f>
        <v/>
      </c>
      <c r="C19" s="901"/>
      <c r="D19" s="902"/>
      <c r="E19" s="902"/>
      <c r="F19" s="902"/>
      <c r="G19" s="903"/>
    </row>
    <row r="20" spans="1:7" ht="61.5" customHeight="1" x14ac:dyDescent="0.25">
      <c r="A20" s="25" t="str">
        <f>IF(ISERROR(Berechnung2!G18),"",Berechnung2!G18)</f>
        <v/>
      </c>
      <c r="B20" s="25" t="str">
        <f>IF(ISERROR(Berechnung2!H18),"",Berechnung2!H18)</f>
        <v/>
      </c>
      <c r="C20" s="901"/>
      <c r="D20" s="902"/>
      <c r="E20" s="902"/>
      <c r="F20" s="902"/>
      <c r="G20" s="903"/>
    </row>
    <row r="21" spans="1:7" ht="61.5" customHeight="1" x14ac:dyDescent="0.25">
      <c r="A21" s="25" t="str">
        <f>IF(ISERROR(Berechnung2!G19),"",Berechnung2!G19)</f>
        <v/>
      </c>
      <c r="B21" s="25" t="str">
        <f>IF(ISERROR(Berechnung2!H19),"",Berechnung2!H19)</f>
        <v/>
      </c>
      <c r="C21" s="901"/>
      <c r="D21" s="902"/>
      <c r="E21" s="902"/>
      <c r="F21" s="902"/>
      <c r="G21" s="903"/>
    </row>
    <row r="22" spans="1:7" ht="61.5" customHeight="1" x14ac:dyDescent="0.25">
      <c r="A22" s="25" t="str">
        <f>IF(ISERROR(Berechnung2!G20),"",Berechnung2!G20)</f>
        <v/>
      </c>
      <c r="B22" s="25" t="str">
        <f>IF(ISERROR(Berechnung2!H20),"",Berechnung2!H20)</f>
        <v/>
      </c>
      <c r="C22" s="901"/>
      <c r="D22" s="902"/>
      <c r="E22" s="902"/>
      <c r="F22" s="902"/>
      <c r="G22" s="903"/>
    </row>
    <row r="23" spans="1:7" ht="61.5" customHeight="1" x14ac:dyDescent="0.25">
      <c r="A23" s="25" t="str">
        <f>IF(ISERROR(Berechnung2!G21),"",Berechnung2!G21)</f>
        <v/>
      </c>
      <c r="B23" s="25" t="str">
        <f>IF(ISERROR(Berechnung2!H21),"",Berechnung2!H21)</f>
        <v/>
      </c>
      <c r="C23" s="901"/>
      <c r="D23" s="902"/>
      <c r="E23" s="902"/>
      <c r="F23" s="902"/>
      <c r="G23" s="903"/>
    </row>
    <row r="24" spans="1:7" ht="61.5" customHeight="1" x14ac:dyDescent="0.25">
      <c r="A24" s="25" t="str">
        <f>IF(ISERROR(Berechnung2!G22),"",Berechnung2!G22)</f>
        <v/>
      </c>
      <c r="B24" s="25" t="str">
        <f>IF(ISERROR(Berechnung2!H22),"",Berechnung2!H22)</f>
        <v/>
      </c>
      <c r="C24" s="901"/>
      <c r="D24" s="902"/>
      <c r="E24" s="902"/>
      <c r="F24" s="902"/>
      <c r="G24" s="903"/>
    </row>
    <row r="25" spans="1:7" ht="61.5" customHeight="1" x14ac:dyDescent="0.25">
      <c r="A25" s="25" t="str">
        <f>IF(ISERROR(Berechnung2!G23),"",Berechnung2!G23)</f>
        <v/>
      </c>
      <c r="B25" s="25" t="str">
        <f>IF(ISERROR(Berechnung2!H23),"",Berechnung2!H23)</f>
        <v/>
      </c>
      <c r="C25" s="901"/>
      <c r="D25" s="902"/>
      <c r="E25" s="902"/>
      <c r="F25" s="902"/>
      <c r="G25" s="903"/>
    </row>
  </sheetData>
  <sheetProtection selectLockedCells="1"/>
  <mergeCells count="16">
    <mergeCell ref="A15:A16"/>
    <mergeCell ref="B15:B16"/>
    <mergeCell ref="C15:G16"/>
    <mergeCell ref="C17:G17"/>
    <mergeCell ref="B6:F6"/>
    <mergeCell ref="A12:B12"/>
    <mergeCell ref="A13:B13"/>
    <mergeCell ref="I12:I13"/>
    <mergeCell ref="C25:G25"/>
    <mergeCell ref="C20:G20"/>
    <mergeCell ref="C18:G18"/>
    <mergeCell ref="C19:G19"/>
    <mergeCell ref="C21:G21"/>
    <mergeCell ref="C22:G22"/>
    <mergeCell ref="C23:G23"/>
    <mergeCell ref="C24:G24"/>
  </mergeCells>
  <phoneticPr fontId="33" type="noConversion"/>
  <conditionalFormatting sqref="A12">
    <cfRule type="expression" dxfId="7" priority="2" stopIfTrue="1">
      <formula>$A$12="Nicht in Ordnung"</formula>
    </cfRule>
  </conditionalFormatting>
  <conditionalFormatting sqref="A13">
    <cfRule type="expression" dxfId="6" priority="1" stopIfTrue="1">
      <formula>$A$13="die inkorrekten und unvollständigen Einträge beheben"</formula>
    </cfRule>
  </conditionalFormatting>
  <conditionalFormatting sqref="B17:B25">
    <cfRule type="expression" dxfId="5" priority="2464" stopIfTrue="1">
      <formula>SEARCH("Unvollständig",$B17,1)</formula>
    </cfRule>
    <cfRule type="expression" dxfId="4" priority="2474" stopIfTrue="1">
      <formula>SEARCH($D$12,$B17,1)</formula>
    </cfRule>
    <cfRule type="expression" dxfId="3" priority="2475" stopIfTrue="1">
      <formula>SEARCH($C$12,$B17,1)</formula>
    </cfRule>
    <cfRule type="expression" dxfId="2" priority="2476" stopIfTrue="1">
      <formula>SEARCH($E$12,$B17,1)</formula>
    </cfRule>
  </conditionalFormatting>
  <conditionalFormatting sqref="C17:C25">
    <cfRule type="notContainsBlanks" dxfId="1" priority="7" stopIfTrue="1">
      <formula>LEN(TRIM(C17))&gt;0</formula>
    </cfRule>
    <cfRule type="expression" dxfId="0" priority="8" stopIfTrue="1">
      <formula>A17&lt;&gt;""</formula>
    </cfRule>
  </conditionalFormatting>
  <dataValidations count="2">
    <dataValidation type="textLength" allowBlank="1" showInputMessage="1" showErrorMessage="1" errorTitle="Zeichenlänge" error="Minimal 30 Zeichen und max. 200 Zeichen." sqref="C18:F25" xr:uid="{00000000-0002-0000-0E00-000000000000}">
      <formula1>30</formula1>
      <formula2>200</formula2>
    </dataValidation>
    <dataValidation type="textLength" allowBlank="1" showInputMessage="1" showErrorMessage="1" errorTitle="Zeichenlänge" error="Minimal 30 Zeichen und max. 450 Zeichen." sqref="C17:G17" xr:uid="{00000000-0002-0000-0E00-000001000000}">
      <formula1>30</formula1>
      <formula2>450</formula2>
    </dataValidation>
  </dataValidations>
  <pageMargins left="0.39370078740157483" right="7.874015748031496E-2" top="0.59055118110236227" bottom="0.39370078740157483" header="0.11811023622047245" footer="0.11811023622047245"/>
  <pageSetup paperSize="9" orientation="landscape" r:id="rId1"/>
  <headerFooter>
    <oddFooter xml:space="preserve">&amp;L&amp;"Arial,Standard"&amp;7&amp;F&amp;C&amp;"Arial,Standard"&amp;7 © DKG  Alle Rechte vorbehalten&amp;R&amp;"Arial,Standard"&amp;7&amp;P       </oddFooter>
  </headerFooter>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dimension ref="A1:D111"/>
  <sheetViews>
    <sheetView workbookViewId="0">
      <selection activeCell="E111" sqref="E111"/>
    </sheetView>
  </sheetViews>
  <sheetFormatPr defaultColWidth="11.42578125" defaultRowHeight="12" x14ac:dyDescent="0.2"/>
  <cols>
    <col min="1" max="1" width="19.85546875" style="129" customWidth="1"/>
    <col min="2" max="2" width="21.140625" style="129" customWidth="1"/>
    <col min="3" max="3" width="68.5703125" style="71" customWidth="1"/>
    <col min="4" max="4" width="62.42578125" style="71" customWidth="1"/>
    <col min="5" max="256" width="9.140625" style="71" customWidth="1"/>
    <col min="257" max="16384" width="11.42578125" style="71"/>
  </cols>
  <sheetData>
    <row r="1" spans="1:4" ht="24" x14ac:dyDescent="0.2">
      <c r="A1" s="130" t="s">
        <v>234</v>
      </c>
      <c r="B1" s="131" t="s">
        <v>25</v>
      </c>
      <c r="C1" s="131" t="s">
        <v>158</v>
      </c>
      <c r="D1" s="130" t="s">
        <v>4</v>
      </c>
    </row>
    <row r="2" spans="1:4" x14ac:dyDescent="0.2">
      <c r="A2" s="129" t="str">
        <f ca="1">Berechnung3!L2</f>
        <v/>
      </c>
      <c r="B2" s="129" t="str">
        <f ca="1">Berechnung3!N2</f>
        <v/>
      </c>
      <c r="C2" s="71" t="str">
        <f ca="1">Berechnung3!O2</f>
        <v/>
      </c>
      <c r="D2" s="71" t="str">
        <f ca="1">Berechnung3!P2</f>
        <v/>
      </c>
    </row>
    <row r="3" spans="1:4" x14ac:dyDescent="0.2">
      <c r="A3" s="129" t="str">
        <f ca="1">Berechnung3!L3</f>
        <v/>
      </c>
      <c r="B3" s="129" t="str">
        <f ca="1">Berechnung3!N3</f>
        <v/>
      </c>
      <c r="C3" s="71" t="str">
        <f ca="1">Berechnung3!O3</f>
        <v/>
      </c>
      <c r="D3" s="71" t="str">
        <f ca="1">Berechnung3!P3</f>
        <v/>
      </c>
    </row>
    <row r="4" spans="1:4" x14ac:dyDescent="0.2">
      <c r="A4" s="129" t="str">
        <f ca="1">Berechnung3!L4</f>
        <v/>
      </c>
      <c r="B4" s="129" t="str">
        <f ca="1">Berechnung3!N4</f>
        <v/>
      </c>
      <c r="C4" s="71" t="str">
        <f ca="1">Berechnung3!O4</f>
        <v/>
      </c>
      <c r="D4" s="71" t="str">
        <f ca="1">Berechnung3!P4</f>
        <v/>
      </c>
    </row>
    <row r="5" spans="1:4" x14ac:dyDescent="0.2">
      <c r="A5" s="129" t="str">
        <f ca="1">Berechnung3!L5</f>
        <v/>
      </c>
      <c r="B5" s="129" t="str">
        <f ca="1">Berechnung3!N5</f>
        <v/>
      </c>
      <c r="C5" s="71" t="str">
        <f ca="1">Berechnung3!O5</f>
        <v/>
      </c>
      <c r="D5" s="71" t="str">
        <f ca="1">Berechnung3!P5</f>
        <v/>
      </c>
    </row>
    <row r="6" spans="1:4" x14ac:dyDescent="0.2">
      <c r="A6" s="129" t="str">
        <f ca="1">Berechnung3!L6</f>
        <v/>
      </c>
      <c r="B6" s="129" t="str">
        <f ca="1">Berechnung3!N6</f>
        <v/>
      </c>
      <c r="C6" s="71" t="str">
        <f ca="1">Berechnung3!O6</f>
        <v/>
      </c>
      <c r="D6" s="71" t="str">
        <f ca="1">Berechnung3!P6</f>
        <v/>
      </c>
    </row>
    <row r="7" spans="1:4" x14ac:dyDescent="0.2">
      <c r="A7" s="129" t="str">
        <f ca="1">Berechnung3!L7</f>
        <v/>
      </c>
      <c r="B7" s="129" t="str">
        <f ca="1">Berechnung3!N7</f>
        <v/>
      </c>
      <c r="C7" s="71" t="str">
        <f ca="1">Berechnung3!O7</f>
        <v/>
      </c>
      <c r="D7" s="71" t="str">
        <f ca="1">Berechnung3!P7</f>
        <v/>
      </c>
    </row>
    <row r="8" spans="1:4" x14ac:dyDescent="0.2">
      <c r="A8" s="129" t="str">
        <f ca="1">Berechnung3!L8</f>
        <v/>
      </c>
      <c r="B8" s="129" t="str">
        <f ca="1">Berechnung3!N8</f>
        <v/>
      </c>
      <c r="C8" s="71" t="str">
        <f ca="1">Berechnung3!O8</f>
        <v/>
      </c>
      <c r="D8" s="71" t="str">
        <f ca="1">Berechnung3!P8</f>
        <v/>
      </c>
    </row>
    <row r="9" spans="1:4" x14ac:dyDescent="0.2">
      <c r="A9" s="129" t="str">
        <f ca="1">Berechnung3!L9</f>
        <v/>
      </c>
      <c r="B9" s="129" t="str">
        <f ca="1">Berechnung3!N9</f>
        <v/>
      </c>
      <c r="C9" s="71" t="str">
        <f ca="1">Berechnung3!O9</f>
        <v/>
      </c>
      <c r="D9" s="71" t="str">
        <f ca="1">Berechnung3!P9</f>
        <v/>
      </c>
    </row>
    <row r="10" spans="1:4" x14ac:dyDescent="0.2">
      <c r="A10" s="129" t="str">
        <f ca="1">Berechnung3!L10</f>
        <v/>
      </c>
      <c r="B10" s="129" t="str">
        <f ca="1">Berechnung3!N10</f>
        <v/>
      </c>
      <c r="C10" s="71" t="str">
        <f ca="1">Berechnung3!O10</f>
        <v/>
      </c>
      <c r="D10" s="71" t="str">
        <f ca="1">Berechnung3!P10</f>
        <v/>
      </c>
    </row>
    <row r="11" spans="1:4" x14ac:dyDescent="0.2">
      <c r="A11" s="129" t="str">
        <f ca="1">Berechnung3!L11</f>
        <v/>
      </c>
      <c r="B11" s="129" t="str">
        <f ca="1">Berechnung3!N11</f>
        <v/>
      </c>
      <c r="C11" s="71" t="str">
        <f ca="1">Berechnung3!O11</f>
        <v/>
      </c>
      <c r="D11" s="71" t="str">
        <f ca="1">Berechnung3!P11</f>
        <v/>
      </c>
    </row>
    <row r="12" spans="1:4" x14ac:dyDescent="0.2">
      <c r="A12" s="129" t="str">
        <f ca="1">Berechnung3!L12</f>
        <v/>
      </c>
      <c r="B12" s="129" t="str">
        <f ca="1">Berechnung3!N12</f>
        <v/>
      </c>
      <c r="C12" s="71" t="str">
        <f ca="1">Berechnung3!O12</f>
        <v/>
      </c>
      <c r="D12" s="71" t="str">
        <f ca="1">Berechnung3!P12</f>
        <v/>
      </c>
    </row>
    <row r="13" spans="1:4" x14ac:dyDescent="0.2">
      <c r="A13" s="129" t="str">
        <f ca="1">Berechnung3!L13</f>
        <v/>
      </c>
      <c r="B13" s="129" t="str">
        <f ca="1">Berechnung3!N13</f>
        <v/>
      </c>
      <c r="C13" s="71" t="str">
        <f ca="1">Berechnung3!O13</f>
        <v/>
      </c>
      <c r="D13" s="71" t="str">
        <f ca="1">Berechnung3!P13</f>
        <v/>
      </c>
    </row>
    <row r="14" spans="1:4" x14ac:dyDescent="0.2">
      <c r="A14" s="129" t="str">
        <f ca="1">Berechnung3!L14</f>
        <v/>
      </c>
      <c r="B14" s="129" t="str">
        <f ca="1">Berechnung3!N14</f>
        <v/>
      </c>
      <c r="C14" s="71" t="str">
        <f ca="1">Berechnung3!O14</f>
        <v/>
      </c>
      <c r="D14" s="71" t="str">
        <f ca="1">Berechnung3!P14</f>
        <v/>
      </c>
    </row>
    <row r="15" spans="1:4" x14ac:dyDescent="0.2">
      <c r="A15" s="129" t="str">
        <f ca="1">Berechnung3!L15</f>
        <v/>
      </c>
      <c r="B15" s="129" t="str">
        <f ca="1">Berechnung3!N15</f>
        <v/>
      </c>
      <c r="C15" s="71" t="str">
        <f ca="1">Berechnung3!O15</f>
        <v/>
      </c>
      <c r="D15" s="71" t="str">
        <f ca="1">Berechnung3!P15</f>
        <v/>
      </c>
    </row>
    <row r="16" spans="1:4" x14ac:dyDescent="0.2">
      <c r="A16" s="129" t="str">
        <f ca="1">Berechnung3!L16</f>
        <v/>
      </c>
      <c r="B16" s="129" t="str">
        <f ca="1">Berechnung3!N16</f>
        <v/>
      </c>
      <c r="C16" s="71" t="str">
        <f ca="1">Berechnung3!O16</f>
        <v/>
      </c>
      <c r="D16" s="71" t="str">
        <f ca="1">Berechnung3!P16</f>
        <v/>
      </c>
    </row>
    <row r="17" spans="1:4" x14ac:dyDescent="0.2">
      <c r="A17" s="129" t="str">
        <f ca="1">Berechnung3!L17</f>
        <v/>
      </c>
      <c r="B17" s="129" t="str">
        <f ca="1">Berechnung3!N17</f>
        <v/>
      </c>
      <c r="C17" s="71" t="str">
        <f ca="1">Berechnung3!O17</f>
        <v/>
      </c>
      <c r="D17" s="71" t="str">
        <f ca="1">Berechnung3!P17</f>
        <v/>
      </c>
    </row>
    <row r="18" spans="1:4" x14ac:dyDescent="0.2">
      <c r="A18" s="129" t="str">
        <f ca="1">Berechnung3!L18</f>
        <v/>
      </c>
      <c r="B18" s="129" t="str">
        <f ca="1">Berechnung3!N18</f>
        <v/>
      </c>
      <c r="C18" s="71" t="str">
        <f ca="1">Berechnung3!O18</f>
        <v/>
      </c>
      <c r="D18" s="71" t="str">
        <f ca="1">Berechnung3!P18</f>
        <v/>
      </c>
    </row>
    <row r="19" spans="1:4" x14ac:dyDescent="0.2">
      <c r="A19" s="129" t="str">
        <f ca="1">Berechnung3!L19</f>
        <v/>
      </c>
      <c r="B19" s="129" t="str">
        <f ca="1">Berechnung3!N19</f>
        <v/>
      </c>
      <c r="C19" s="71" t="str">
        <f ca="1">Berechnung3!O19</f>
        <v/>
      </c>
      <c r="D19" s="71" t="str">
        <f ca="1">Berechnung3!P19</f>
        <v/>
      </c>
    </row>
    <row r="20" spans="1:4" x14ac:dyDescent="0.2">
      <c r="A20" s="129" t="str">
        <f ca="1">Berechnung3!L20</f>
        <v/>
      </c>
      <c r="B20" s="129" t="str">
        <f ca="1">Berechnung3!N20</f>
        <v/>
      </c>
      <c r="C20" s="71" t="str">
        <f ca="1">Berechnung3!O20</f>
        <v/>
      </c>
      <c r="D20" s="71" t="str">
        <f ca="1">Berechnung3!P20</f>
        <v/>
      </c>
    </row>
    <row r="21" spans="1:4" x14ac:dyDescent="0.2">
      <c r="A21" s="129" t="str">
        <f ca="1">Berechnung3!L21</f>
        <v/>
      </c>
      <c r="B21" s="129" t="str">
        <f ca="1">Berechnung3!N21</f>
        <v/>
      </c>
      <c r="C21" s="71" t="str">
        <f ca="1">Berechnung3!O21</f>
        <v/>
      </c>
      <c r="D21" s="71" t="str">
        <f ca="1">Berechnung3!P21</f>
        <v/>
      </c>
    </row>
    <row r="22" spans="1:4" x14ac:dyDescent="0.2">
      <c r="A22" s="129" t="str">
        <f ca="1">Berechnung3!L22</f>
        <v/>
      </c>
      <c r="B22" s="129" t="str">
        <f ca="1">Berechnung3!N22</f>
        <v/>
      </c>
      <c r="C22" s="71" t="str">
        <f ca="1">Berechnung3!O22</f>
        <v/>
      </c>
      <c r="D22" s="71" t="str">
        <f ca="1">Berechnung3!P22</f>
        <v/>
      </c>
    </row>
    <row r="23" spans="1:4" x14ac:dyDescent="0.2">
      <c r="A23" s="129" t="str">
        <f ca="1">Berechnung3!L23</f>
        <v/>
      </c>
      <c r="B23" s="129" t="str">
        <f ca="1">Berechnung3!N23</f>
        <v/>
      </c>
      <c r="C23" s="71" t="str">
        <f ca="1">Berechnung3!O23</f>
        <v/>
      </c>
      <c r="D23" s="71" t="str">
        <f ca="1">Berechnung3!P23</f>
        <v/>
      </c>
    </row>
    <row r="24" spans="1:4" x14ac:dyDescent="0.2">
      <c r="A24" s="129" t="str">
        <f ca="1">Berechnung3!L24</f>
        <v/>
      </c>
      <c r="B24" s="129" t="str">
        <f ca="1">Berechnung3!N24</f>
        <v/>
      </c>
      <c r="C24" s="71" t="str">
        <f ca="1">Berechnung3!O24</f>
        <v/>
      </c>
      <c r="D24" s="71" t="str">
        <f ca="1">Berechnung3!P24</f>
        <v/>
      </c>
    </row>
    <row r="25" spans="1:4" x14ac:dyDescent="0.2">
      <c r="A25" s="129" t="str">
        <f ca="1">Berechnung3!L25</f>
        <v/>
      </c>
      <c r="B25" s="129" t="str">
        <f ca="1">Berechnung3!N25</f>
        <v/>
      </c>
      <c r="C25" s="71" t="str">
        <f ca="1">Berechnung3!O25</f>
        <v/>
      </c>
      <c r="D25" s="71" t="str">
        <f ca="1">Berechnung3!P25</f>
        <v/>
      </c>
    </row>
    <row r="26" spans="1:4" x14ac:dyDescent="0.2">
      <c r="A26" s="129" t="str">
        <f ca="1">Berechnung3!L26</f>
        <v/>
      </c>
      <c r="B26" s="129" t="str">
        <f ca="1">Berechnung3!N26</f>
        <v/>
      </c>
      <c r="C26" s="71" t="str">
        <f ca="1">Berechnung3!O26</f>
        <v/>
      </c>
      <c r="D26" s="71" t="str">
        <f ca="1">Berechnung3!P26</f>
        <v/>
      </c>
    </row>
    <row r="27" spans="1:4" x14ac:dyDescent="0.2">
      <c r="A27" s="129" t="str">
        <f ca="1">Berechnung3!L27</f>
        <v/>
      </c>
      <c r="B27" s="129" t="str">
        <f ca="1">Berechnung3!N27</f>
        <v/>
      </c>
      <c r="C27" s="71" t="str">
        <f ca="1">Berechnung3!O27</f>
        <v/>
      </c>
      <c r="D27" s="71" t="str">
        <f ca="1">Berechnung3!P27</f>
        <v/>
      </c>
    </row>
    <row r="28" spans="1:4" x14ac:dyDescent="0.2">
      <c r="A28" s="129" t="str">
        <f ca="1">Berechnung3!L28</f>
        <v/>
      </c>
      <c r="B28" s="129" t="str">
        <f ca="1">Berechnung3!N28</f>
        <v/>
      </c>
      <c r="C28" s="71" t="str">
        <f ca="1">Berechnung3!O28</f>
        <v/>
      </c>
      <c r="D28" s="71" t="str">
        <f ca="1">Berechnung3!P28</f>
        <v/>
      </c>
    </row>
    <row r="29" spans="1:4" x14ac:dyDescent="0.2">
      <c r="A29" s="129" t="str">
        <f ca="1">Berechnung3!L29</f>
        <v/>
      </c>
      <c r="B29" s="129" t="str">
        <f ca="1">Berechnung3!N29</f>
        <v/>
      </c>
      <c r="C29" s="71" t="str">
        <f ca="1">Berechnung3!O29</f>
        <v/>
      </c>
      <c r="D29" s="71" t="str">
        <f ca="1">Berechnung3!P29</f>
        <v/>
      </c>
    </row>
    <row r="30" spans="1:4" x14ac:dyDescent="0.2">
      <c r="A30" s="129" t="str">
        <f ca="1">Berechnung3!L30</f>
        <v/>
      </c>
      <c r="B30" s="129" t="str">
        <f ca="1">Berechnung3!N30</f>
        <v/>
      </c>
      <c r="C30" s="71" t="str">
        <f ca="1">Berechnung3!O30</f>
        <v/>
      </c>
      <c r="D30" s="71" t="str">
        <f ca="1">Berechnung3!P30</f>
        <v/>
      </c>
    </row>
    <row r="31" spans="1:4" x14ac:dyDescent="0.2">
      <c r="A31" s="129" t="str">
        <f ca="1">Berechnung3!L31</f>
        <v/>
      </c>
      <c r="B31" s="129" t="str">
        <f ca="1">Berechnung3!N31</f>
        <v/>
      </c>
      <c r="C31" s="71" t="str">
        <f ca="1">Berechnung3!O31</f>
        <v/>
      </c>
      <c r="D31" s="71" t="str">
        <f ca="1">Berechnung3!P31</f>
        <v/>
      </c>
    </row>
    <row r="32" spans="1:4" x14ac:dyDescent="0.2">
      <c r="A32" s="129" t="str">
        <f ca="1">Berechnung3!L32</f>
        <v/>
      </c>
      <c r="B32" s="129" t="str">
        <f ca="1">Berechnung3!N32</f>
        <v/>
      </c>
      <c r="C32" s="71" t="str">
        <f ca="1">Berechnung3!O32</f>
        <v/>
      </c>
      <c r="D32" s="71" t="str">
        <f ca="1">Berechnung3!P32</f>
        <v/>
      </c>
    </row>
    <row r="33" spans="1:4" x14ac:dyDescent="0.2">
      <c r="A33" s="129" t="str">
        <f ca="1">Berechnung3!L33</f>
        <v/>
      </c>
      <c r="B33" s="129" t="str">
        <f ca="1">Berechnung3!N33</f>
        <v/>
      </c>
      <c r="C33" s="71" t="str">
        <f ca="1">Berechnung3!O33</f>
        <v/>
      </c>
      <c r="D33" s="71" t="str">
        <f ca="1">Berechnung3!P33</f>
        <v/>
      </c>
    </row>
    <row r="34" spans="1:4" x14ac:dyDescent="0.2">
      <c r="A34" s="129" t="str">
        <f ca="1">Berechnung3!L34</f>
        <v/>
      </c>
      <c r="B34" s="129" t="str">
        <f ca="1">Berechnung3!N34</f>
        <v/>
      </c>
      <c r="C34" s="71" t="str">
        <f ca="1">Berechnung3!O34</f>
        <v/>
      </c>
      <c r="D34" s="71" t="str">
        <f ca="1">Berechnung3!P34</f>
        <v/>
      </c>
    </row>
    <row r="35" spans="1:4" x14ac:dyDescent="0.2">
      <c r="A35" s="129" t="str">
        <f ca="1">Berechnung3!L35</f>
        <v/>
      </c>
      <c r="B35" s="129" t="str">
        <f ca="1">Berechnung3!N35</f>
        <v/>
      </c>
      <c r="C35" s="71" t="str">
        <f ca="1">Berechnung3!O35</f>
        <v/>
      </c>
      <c r="D35" s="71" t="str">
        <f ca="1">Berechnung3!P35</f>
        <v/>
      </c>
    </row>
    <row r="36" spans="1:4" x14ac:dyDescent="0.2">
      <c r="A36" s="129" t="str">
        <f ca="1">Berechnung3!L36</f>
        <v/>
      </c>
      <c r="B36" s="129" t="str">
        <f ca="1">Berechnung3!N36</f>
        <v/>
      </c>
      <c r="C36" s="71" t="str">
        <f ca="1">Berechnung3!O36</f>
        <v/>
      </c>
      <c r="D36" s="71" t="str">
        <f ca="1">Berechnung3!P36</f>
        <v/>
      </c>
    </row>
    <row r="37" spans="1:4" x14ac:dyDescent="0.2">
      <c r="A37" s="129" t="str">
        <f ca="1">Berechnung3!L37</f>
        <v/>
      </c>
      <c r="B37" s="129" t="str">
        <f ca="1">Berechnung3!N37</f>
        <v/>
      </c>
      <c r="C37" s="71" t="str">
        <f ca="1">Berechnung3!O37</f>
        <v/>
      </c>
      <c r="D37" s="71" t="str">
        <f ca="1">Berechnung3!P37</f>
        <v/>
      </c>
    </row>
    <row r="38" spans="1:4" x14ac:dyDescent="0.2">
      <c r="A38" s="129" t="str">
        <f ca="1">Berechnung3!L38</f>
        <v/>
      </c>
      <c r="B38" s="129" t="str">
        <f ca="1">Berechnung3!N38</f>
        <v/>
      </c>
      <c r="C38" s="71" t="str">
        <f ca="1">Berechnung3!O38</f>
        <v/>
      </c>
      <c r="D38" s="71" t="str">
        <f ca="1">Berechnung3!P38</f>
        <v/>
      </c>
    </row>
    <row r="39" spans="1:4" x14ac:dyDescent="0.2">
      <c r="A39" s="129" t="str">
        <f ca="1">Berechnung3!L39</f>
        <v/>
      </c>
      <c r="B39" s="129" t="str">
        <f ca="1">Berechnung3!N39</f>
        <v/>
      </c>
      <c r="C39" s="71" t="str">
        <f ca="1">Berechnung3!O39</f>
        <v/>
      </c>
      <c r="D39" s="71" t="str">
        <f ca="1">Berechnung3!P39</f>
        <v/>
      </c>
    </row>
    <row r="40" spans="1:4" x14ac:dyDescent="0.2">
      <c r="A40" s="129" t="str">
        <f ca="1">Berechnung3!L40</f>
        <v/>
      </c>
      <c r="B40" s="129" t="str">
        <f ca="1">Berechnung3!N40</f>
        <v/>
      </c>
      <c r="C40" s="71" t="str">
        <f ca="1">Berechnung3!O40</f>
        <v/>
      </c>
      <c r="D40" s="71" t="str">
        <f ca="1">Berechnung3!P40</f>
        <v/>
      </c>
    </row>
    <row r="41" spans="1:4" x14ac:dyDescent="0.2">
      <c r="A41" s="129" t="str">
        <f ca="1">Berechnung3!L41</f>
        <v/>
      </c>
      <c r="B41" s="129" t="str">
        <f ca="1">Berechnung3!N41</f>
        <v/>
      </c>
      <c r="C41" s="71" t="str">
        <f ca="1">Berechnung3!O41</f>
        <v/>
      </c>
      <c r="D41" s="71" t="str">
        <f ca="1">Berechnung3!P41</f>
        <v/>
      </c>
    </row>
    <row r="42" spans="1:4" x14ac:dyDescent="0.2">
      <c r="A42" s="129" t="str">
        <f ca="1">Berechnung3!L42</f>
        <v/>
      </c>
      <c r="B42" s="129" t="str">
        <f ca="1">Berechnung3!N42</f>
        <v/>
      </c>
      <c r="C42" s="71" t="str">
        <f ca="1">Berechnung3!O42</f>
        <v/>
      </c>
      <c r="D42" s="71" t="str">
        <f ca="1">Berechnung3!P42</f>
        <v/>
      </c>
    </row>
    <row r="43" spans="1:4" x14ac:dyDescent="0.2">
      <c r="A43" s="129" t="str">
        <f ca="1">Berechnung3!L43</f>
        <v/>
      </c>
      <c r="B43" s="129" t="str">
        <f ca="1">Berechnung3!N43</f>
        <v/>
      </c>
      <c r="C43" s="71" t="str">
        <f ca="1">Berechnung3!O43</f>
        <v/>
      </c>
      <c r="D43" s="71" t="str">
        <f ca="1">Berechnung3!P43</f>
        <v/>
      </c>
    </row>
    <row r="44" spans="1:4" x14ac:dyDescent="0.2">
      <c r="A44" s="129" t="str">
        <f ca="1">Berechnung3!L44</f>
        <v/>
      </c>
      <c r="B44" s="129" t="str">
        <f ca="1">Berechnung3!N44</f>
        <v/>
      </c>
      <c r="C44" s="71" t="str">
        <f ca="1">Berechnung3!O44</f>
        <v/>
      </c>
      <c r="D44" s="71" t="str">
        <f ca="1">Berechnung3!P44</f>
        <v/>
      </c>
    </row>
    <row r="45" spans="1:4" x14ac:dyDescent="0.2">
      <c r="A45" s="129" t="str">
        <f ca="1">Berechnung3!L45</f>
        <v/>
      </c>
      <c r="B45" s="129" t="str">
        <f ca="1">Berechnung3!N45</f>
        <v/>
      </c>
      <c r="C45" s="71" t="str">
        <f ca="1">Berechnung3!O45</f>
        <v/>
      </c>
      <c r="D45" s="71" t="str">
        <f ca="1">Berechnung3!P45</f>
        <v/>
      </c>
    </row>
    <row r="46" spans="1:4" x14ac:dyDescent="0.2">
      <c r="A46" s="129" t="str">
        <f ca="1">Berechnung3!L46</f>
        <v/>
      </c>
      <c r="B46" s="129" t="str">
        <f ca="1">Berechnung3!N46</f>
        <v/>
      </c>
      <c r="C46" s="71" t="str">
        <f ca="1">Berechnung3!O46</f>
        <v/>
      </c>
      <c r="D46" s="71" t="str">
        <f ca="1">Berechnung3!P46</f>
        <v/>
      </c>
    </row>
    <row r="47" spans="1:4" x14ac:dyDescent="0.2">
      <c r="A47" s="129" t="str">
        <f ca="1">Berechnung3!L47</f>
        <v/>
      </c>
      <c r="B47" s="129" t="str">
        <f ca="1">Berechnung3!N47</f>
        <v/>
      </c>
      <c r="C47" s="71" t="str">
        <f ca="1">Berechnung3!O47</f>
        <v/>
      </c>
      <c r="D47" s="71" t="str">
        <f ca="1">Berechnung3!P47</f>
        <v/>
      </c>
    </row>
    <row r="48" spans="1:4" x14ac:dyDescent="0.2">
      <c r="A48" s="129" t="str">
        <f ca="1">Berechnung3!L48</f>
        <v/>
      </c>
      <c r="B48" s="129" t="str">
        <f ca="1">Berechnung3!N48</f>
        <v/>
      </c>
      <c r="C48" s="71" t="str">
        <f ca="1">Berechnung3!O48</f>
        <v/>
      </c>
      <c r="D48" s="71" t="str">
        <f ca="1">Berechnung3!P48</f>
        <v/>
      </c>
    </row>
    <row r="49" spans="1:4" x14ac:dyDescent="0.2">
      <c r="A49" s="129" t="str">
        <f ca="1">Berechnung3!L49</f>
        <v/>
      </c>
      <c r="B49" s="129" t="str">
        <f ca="1">Berechnung3!N49</f>
        <v/>
      </c>
      <c r="C49" s="71" t="str">
        <f ca="1">Berechnung3!O49</f>
        <v/>
      </c>
      <c r="D49" s="71" t="str">
        <f ca="1">Berechnung3!P49</f>
        <v/>
      </c>
    </row>
    <row r="50" spans="1:4" x14ac:dyDescent="0.2">
      <c r="A50" s="129" t="str">
        <f ca="1">Berechnung3!L50</f>
        <v/>
      </c>
      <c r="B50" s="129" t="str">
        <f ca="1">Berechnung3!N50</f>
        <v/>
      </c>
      <c r="C50" s="71" t="str">
        <f ca="1">Berechnung3!O50</f>
        <v/>
      </c>
      <c r="D50" s="71" t="str">
        <f ca="1">Berechnung3!P50</f>
        <v/>
      </c>
    </row>
    <row r="51" spans="1:4" x14ac:dyDescent="0.2">
      <c r="A51" s="129" t="str">
        <f ca="1">Berechnung3!L51</f>
        <v/>
      </c>
      <c r="B51" s="129" t="str">
        <f ca="1">Berechnung3!N51</f>
        <v/>
      </c>
      <c r="C51" s="71" t="str">
        <f ca="1">Berechnung3!O51</f>
        <v/>
      </c>
      <c r="D51" s="71" t="str">
        <f ca="1">Berechnung3!P51</f>
        <v/>
      </c>
    </row>
    <row r="52" spans="1:4" x14ac:dyDescent="0.2">
      <c r="A52" s="129" t="str">
        <f ca="1">Berechnung3!L52</f>
        <v/>
      </c>
      <c r="B52" s="129" t="str">
        <f ca="1">Berechnung3!N52</f>
        <v/>
      </c>
      <c r="C52" s="71" t="str">
        <f ca="1">Berechnung3!O52</f>
        <v/>
      </c>
      <c r="D52" s="71" t="str">
        <f ca="1">Berechnung3!P52</f>
        <v/>
      </c>
    </row>
    <row r="53" spans="1:4" x14ac:dyDescent="0.2">
      <c r="A53" s="129" t="str">
        <f ca="1">Berechnung3!L53</f>
        <v/>
      </c>
      <c r="B53" s="129" t="str">
        <f ca="1">Berechnung3!N53</f>
        <v/>
      </c>
      <c r="C53" s="71" t="str">
        <f ca="1">Berechnung3!O53</f>
        <v/>
      </c>
      <c r="D53" s="71" t="str">
        <f ca="1">Berechnung3!P53</f>
        <v/>
      </c>
    </row>
    <row r="54" spans="1:4" x14ac:dyDescent="0.2">
      <c r="A54" s="129" t="str">
        <f ca="1">Berechnung3!L54</f>
        <v/>
      </c>
      <c r="B54" s="129" t="str">
        <f ca="1">Berechnung3!N54</f>
        <v/>
      </c>
      <c r="C54" s="71" t="str">
        <f ca="1">Berechnung3!O54</f>
        <v/>
      </c>
      <c r="D54" s="71" t="str">
        <f ca="1">Berechnung3!P54</f>
        <v/>
      </c>
    </row>
    <row r="55" spans="1:4" x14ac:dyDescent="0.2">
      <c r="A55" s="129" t="str">
        <f ca="1">Berechnung3!L55</f>
        <v/>
      </c>
      <c r="B55" s="129" t="str">
        <f ca="1">Berechnung3!N55</f>
        <v/>
      </c>
      <c r="C55" s="71" t="str">
        <f ca="1">Berechnung3!O55</f>
        <v/>
      </c>
      <c r="D55" s="71" t="str">
        <f ca="1">Berechnung3!P55</f>
        <v/>
      </c>
    </row>
    <row r="56" spans="1:4" x14ac:dyDescent="0.2">
      <c r="A56" s="129" t="str">
        <f ca="1">Berechnung3!L56</f>
        <v/>
      </c>
      <c r="B56" s="129" t="str">
        <f ca="1">Berechnung3!N56</f>
        <v/>
      </c>
      <c r="C56" s="71" t="str">
        <f ca="1">Berechnung3!O56</f>
        <v/>
      </c>
      <c r="D56" s="71" t="str">
        <f ca="1">Berechnung3!P56</f>
        <v/>
      </c>
    </row>
    <row r="57" spans="1:4" x14ac:dyDescent="0.2">
      <c r="A57" s="129" t="str">
        <f ca="1">Berechnung3!L57</f>
        <v/>
      </c>
      <c r="B57" s="129" t="str">
        <f ca="1">Berechnung3!N57</f>
        <v/>
      </c>
      <c r="C57" s="71" t="str">
        <f ca="1">Berechnung3!O57</f>
        <v/>
      </c>
      <c r="D57" s="71" t="str">
        <f ca="1">Berechnung3!P57</f>
        <v/>
      </c>
    </row>
    <row r="58" spans="1:4" x14ac:dyDescent="0.2">
      <c r="A58" s="129" t="str">
        <f ca="1">Berechnung3!L58</f>
        <v/>
      </c>
      <c r="B58" s="129" t="str">
        <f ca="1">Berechnung3!N58</f>
        <v/>
      </c>
      <c r="C58" s="71" t="str">
        <f ca="1">Berechnung3!O58</f>
        <v/>
      </c>
      <c r="D58" s="71" t="str">
        <f ca="1">Berechnung3!P58</f>
        <v/>
      </c>
    </row>
    <row r="59" spans="1:4" x14ac:dyDescent="0.2">
      <c r="A59" s="129" t="str">
        <f ca="1">Berechnung3!L59</f>
        <v/>
      </c>
      <c r="B59" s="129" t="str">
        <f ca="1">Berechnung3!N59</f>
        <v/>
      </c>
      <c r="C59" s="71" t="str">
        <f ca="1">Berechnung3!O59</f>
        <v/>
      </c>
      <c r="D59" s="71" t="str">
        <f ca="1">Berechnung3!P59</f>
        <v/>
      </c>
    </row>
    <row r="60" spans="1:4" x14ac:dyDescent="0.2">
      <c r="A60" s="129" t="str">
        <f ca="1">Berechnung3!L60</f>
        <v/>
      </c>
      <c r="B60" s="129" t="str">
        <f ca="1">Berechnung3!N60</f>
        <v/>
      </c>
      <c r="C60" s="71" t="str">
        <f ca="1">Berechnung3!O60</f>
        <v/>
      </c>
      <c r="D60" s="71" t="str">
        <f ca="1">Berechnung3!P60</f>
        <v/>
      </c>
    </row>
    <row r="61" spans="1:4" x14ac:dyDescent="0.2">
      <c r="A61" s="129" t="str">
        <f ca="1">Berechnung3!L61</f>
        <v/>
      </c>
      <c r="B61" s="129" t="str">
        <f ca="1">Berechnung3!N61</f>
        <v/>
      </c>
      <c r="C61" s="71" t="str">
        <f ca="1">Berechnung3!O61</f>
        <v/>
      </c>
      <c r="D61" s="71" t="str">
        <f ca="1">Berechnung3!P61</f>
        <v/>
      </c>
    </row>
    <row r="62" spans="1:4" x14ac:dyDescent="0.2">
      <c r="A62" s="129" t="str">
        <f ca="1">Berechnung3!L62</f>
        <v/>
      </c>
      <c r="B62" s="129" t="str">
        <f ca="1">Berechnung3!N62</f>
        <v/>
      </c>
      <c r="C62" s="71" t="str">
        <f ca="1">Berechnung3!O62</f>
        <v/>
      </c>
      <c r="D62" s="71" t="str">
        <f ca="1">Berechnung3!P62</f>
        <v/>
      </c>
    </row>
    <row r="63" spans="1:4" x14ac:dyDescent="0.2">
      <c r="A63" s="129" t="str">
        <f ca="1">Berechnung3!L63</f>
        <v/>
      </c>
      <c r="B63" s="129" t="str">
        <f ca="1">Berechnung3!N63</f>
        <v/>
      </c>
      <c r="C63" s="71" t="str">
        <f ca="1">Berechnung3!O63</f>
        <v/>
      </c>
      <c r="D63" s="71" t="str">
        <f ca="1">Berechnung3!P63</f>
        <v/>
      </c>
    </row>
    <row r="64" spans="1:4" x14ac:dyDescent="0.2">
      <c r="A64" s="129" t="str">
        <f ca="1">Berechnung3!L64</f>
        <v/>
      </c>
      <c r="B64" s="129" t="str">
        <f ca="1">Berechnung3!N64</f>
        <v/>
      </c>
      <c r="C64" s="71" t="str">
        <f ca="1">Berechnung3!O64</f>
        <v/>
      </c>
      <c r="D64" s="71" t="str">
        <f ca="1">Berechnung3!P64</f>
        <v/>
      </c>
    </row>
    <row r="65" spans="1:4" x14ac:dyDescent="0.2">
      <c r="A65" s="129" t="str">
        <f ca="1">Berechnung3!L65</f>
        <v/>
      </c>
      <c r="B65" s="129" t="str">
        <f ca="1">Berechnung3!N65</f>
        <v/>
      </c>
      <c r="C65" s="71" t="str">
        <f ca="1">Berechnung3!O65</f>
        <v/>
      </c>
      <c r="D65" s="71" t="str">
        <f ca="1">Berechnung3!P65</f>
        <v/>
      </c>
    </row>
    <row r="66" spans="1:4" x14ac:dyDescent="0.2">
      <c r="A66" s="129" t="str">
        <f ca="1">Berechnung3!L66</f>
        <v/>
      </c>
      <c r="B66" s="129" t="str">
        <f ca="1">Berechnung3!N66</f>
        <v/>
      </c>
      <c r="C66" s="71" t="str">
        <f ca="1">Berechnung3!O66</f>
        <v/>
      </c>
      <c r="D66" s="71" t="str">
        <f ca="1">Berechnung3!P66</f>
        <v/>
      </c>
    </row>
    <row r="67" spans="1:4" x14ac:dyDescent="0.2">
      <c r="A67" s="129" t="str">
        <f ca="1">Berechnung3!L67</f>
        <v/>
      </c>
      <c r="B67" s="129" t="str">
        <f ca="1">Berechnung3!N67</f>
        <v/>
      </c>
      <c r="C67" s="71" t="str">
        <f ca="1">Berechnung3!O67</f>
        <v/>
      </c>
      <c r="D67" s="71" t="str">
        <f ca="1">Berechnung3!P67</f>
        <v/>
      </c>
    </row>
    <row r="68" spans="1:4" x14ac:dyDescent="0.2">
      <c r="A68" s="129" t="str">
        <f ca="1">Berechnung3!L68</f>
        <v/>
      </c>
      <c r="B68" s="129" t="str">
        <f ca="1">Berechnung3!N68</f>
        <v/>
      </c>
      <c r="C68" s="71" t="str">
        <f ca="1">Berechnung3!O68</f>
        <v/>
      </c>
      <c r="D68" s="71" t="str">
        <f ca="1">Berechnung3!P68</f>
        <v/>
      </c>
    </row>
    <row r="69" spans="1:4" x14ac:dyDescent="0.2">
      <c r="A69" s="129" t="str">
        <f ca="1">Berechnung3!L69</f>
        <v/>
      </c>
      <c r="B69" s="129" t="str">
        <f ca="1">Berechnung3!N69</f>
        <v/>
      </c>
      <c r="C69" s="71" t="str">
        <f ca="1">Berechnung3!O69</f>
        <v/>
      </c>
      <c r="D69" s="71" t="str">
        <f ca="1">Berechnung3!P69</f>
        <v/>
      </c>
    </row>
    <row r="70" spans="1:4" x14ac:dyDescent="0.2">
      <c r="A70" s="129" t="str">
        <f ca="1">Berechnung3!L70</f>
        <v/>
      </c>
      <c r="B70" s="129" t="str">
        <f ca="1">Berechnung3!N70</f>
        <v/>
      </c>
      <c r="C70" s="71" t="str">
        <f ca="1">Berechnung3!O70</f>
        <v/>
      </c>
      <c r="D70" s="71" t="str">
        <f ca="1">Berechnung3!P70</f>
        <v/>
      </c>
    </row>
    <row r="71" spans="1:4" x14ac:dyDescent="0.2">
      <c r="A71" s="129" t="str">
        <f ca="1">Berechnung3!L71</f>
        <v/>
      </c>
      <c r="B71" s="129" t="str">
        <f ca="1">Berechnung3!N71</f>
        <v/>
      </c>
      <c r="C71" s="71" t="str">
        <f ca="1">Berechnung3!O71</f>
        <v/>
      </c>
      <c r="D71" s="71" t="str">
        <f ca="1">Berechnung3!P71</f>
        <v/>
      </c>
    </row>
    <row r="72" spans="1:4" x14ac:dyDescent="0.2">
      <c r="A72" s="129" t="str">
        <f ca="1">Berechnung3!L72</f>
        <v/>
      </c>
      <c r="B72" s="129" t="str">
        <f ca="1">Berechnung3!N72</f>
        <v/>
      </c>
      <c r="C72" s="71" t="str">
        <f ca="1">Berechnung3!O72</f>
        <v/>
      </c>
      <c r="D72" s="71" t="str">
        <f ca="1">Berechnung3!P72</f>
        <v/>
      </c>
    </row>
    <row r="73" spans="1:4" x14ac:dyDescent="0.2">
      <c r="A73" s="129" t="str">
        <f ca="1">Berechnung3!L73</f>
        <v/>
      </c>
      <c r="B73" s="129" t="str">
        <f ca="1">Berechnung3!N73</f>
        <v/>
      </c>
      <c r="C73" s="71" t="str">
        <f ca="1">Berechnung3!O73</f>
        <v/>
      </c>
      <c r="D73" s="71" t="str">
        <f ca="1">Berechnung3!P73</f>
        <v/>
      </c>
    </row>
    <row r="74" spans="1:4" x14ac:dyDescent="0.2">
      <c r="A74" s="129" t="str">
        <f ca="1">Berechnung3!L74</f>
        <v/>
      </c>
      <c r="B74" s="129" t="str">
        <f ca="1">Berechnung3!N74</f>
        <v/>
      </c>
      <c r="C74" s="71" t="str">
        <f ca="1">Berechnung3!O74</f>
        <v/>
      </c>
      <c r="D74" s="71" t="str">
        <f ca="1">Berechnung3!P74</f>
        <v/>
      </c>
    </row>
    <row r="75" spans="1:4" x14ac:dyDescent="0.2">
      <c r="A75" s="129" t="str">
        <f ca="1">Berechnung3!L75</f>
        <v/>
      </c>
      <c r="B75" s="129" t="str">
        <f ca="1">Berechnung3!N75</f>
        <v/>
      </c>
      <c r="C75" s="71" t="str">
        <f ca="1">Berechnung3!O75</f>
        <v/>
      </c>
      <c r="D75" s="71" t="str">
        <f ca="1">Berechnung3!P75</f>
        <v/>
      </c>
    </row>
    <row r="76" spans="1:4" x14ac:dyDescent="0.2">
      <c r="A76" s="129" t="str">
        <f ca="1">Berechnung3!L76</f>
        <v/>
      </c>
      <c r="B76" s="129" t="str">
        <f ca="1">Berechnung3!N76</f>
        <v/>
      </c>
      <c r="C76" s="71" t="str">
        <f ca="1">Berechnung3!O76</f>
        <v/>
      </c>
      <c r="D76" s="71" t="str">
        <f ca="1">Berechnung3!P76</f>
        <v/>
      </c>
    </row>
    <row r="77" spans="1:4" x14ac:dyDescent="0.2">
      <c r="A77" s="129" t="str">
        <f ca="1">Berechnung3!L77</f>
        <v/>
      </c>
      <c r="B77" s="129" t="str">
        <f ca="1">Berechnung3!N77</f>
        <v/>
      </c>
      <c r="C77" s="71" t="str">
        <f ca="1">Berechnung3!O77</f>
        <v/>
      </c>
      <c r="D77" s="71" t="str">
        <f ca="1">Berechnung3!P77</f>
        <v/>
      </c>
    </row>
    <row r="78" spans="1:4" x14ac:dyDescent="0.2">
      <c r="A78" s="129" t="str">
        <f ca="1">Berechnung3!L78</f>
        <v/>
      </c>
      <c r="B78" s="129" t="str">
        <f ca="1">Berechnung3!N78</f>
        <v/>
      </c>
      <c r="C78" s="71" t="str">
        <f ca="1">Berechnung3!O78</f>
        <v/>
      </c>
      <c r="D78" s="71" t="str">
        <f ca="1">Berechnung3!P78</f>
        <v/>
      </c>
    </row>
    <row r="79" spans="1:4" x14ac:dyDescent="0.2">
      <c r="A79" s="129" t="str">
        <f ca="1">Berechnung3!L79</f>
        <v/>
      </c>
      <c r="B79" s="129" t="str">
        <f ca="1">Berechnung3!N79</f>
        <v/>
      </c>
      <c r="C79" s="71" t="str">
        <f ca="1">Berechnung3!O79</f>
        <v/>
      </c>
      <c r="D79" s="71" t="str">
        <f ca="1">Berechnung3!P79</f>
        <v/>
      </c>
    </row>
    <row r="80" spans="1:4" x14ac:dyDescent="0.2">
      <c r="A80" s="129" t="str">
        <f ca="1">Berechnung3!L80</f>
        <v/>
      </c>
      <c r="B80" s="129" t="str">
        <f ca="1">Berechnung3!N80</f>
        <v/>
      </c>
      <c r="C80" s="71" t="str">
        <f ca="1">Berechnung3!O80</f>
        <v/>
      </c>
      <c r="D80" s="71" t="str">
        <f ca="1">Berechnung3!P80</f>
        <v/>
      </c>
    </row>
    <row r="81" spans="1:4" x14ac:dyDescent="0.2">
      <c r="A81" s="129" t="str">
        <f ca="1">Berechnung3!L81</f>
        <v/>
      </c>
      <c r="B81" s="129" t="str">
        <f ca="1">Berechnung3!N81</f>
        <v/>
      </c>
      <c r="C81" s="71" t="str">
        <f ca="1">Berechnung3!O81</f>
        <v/>
      </c>
      <c r="D81" s="71" t="str">
        <f ca="1">Berechnung3!P81</f>
        <v/>
      </c>
    </row>
    <row r="82" spans="1:4" x14ac:dyDescent="0.2">
      <c r="A82" s="129" t="str">
        <f ca="1">Berechnung3!L82</f>
        <v/>
      </c>
      <c r="B82" s="129" t="str">
        <f ca="1">Berechnung3!N82</f>
        <v/>
      </c>
      <c r="C82" s="71" t="str">
        <f ca="1">Berechnung3!O82</f>
        <v/>
      </c>
      <c r="D82" s="71" t="str">
        <f ca="1">Berechnung3!P82</f>
        <v/>
      </c>
    </row>
    <row r="83" spans="1:4" x14ac:dyDescent="0.2">
      <c r="A83" s="129" t="str">
        <f ca="1">Berechnung3!L83</f>
        <v/>
      </c>
      <c r="B83" s="129" t="str">
        <f ca="1">Berechnung3!N83</f>
        <v/>
      </c>
      <c r="C83" s="71" t="str">
        <f ca="1">Berechnung3!O83</f>
        <v/>
      </c>
      <c r="D83" s="71" t="str">
        <f ca="1">Berechnung3!P83</f>
        <v/>
      </c>
    </row>
    <row r="84" spans="1:4" x14ac:dyDescent="0.2">
      <c r="A84" s="129" t="str">
        <f ca="1">Berechnung3!L84</f>
        <v/>
      </c>
      <c r="B84" s="129" t="str">
        <f ca="1">Berechnung3!N84</f>
        <v/>
      </c>
      <c r="C84" s="71" t="str">
        <f ca="1">Berechnung3!O84</f>
        <v/>
      </c>
      <c r="D84" s="71" t="str">
        <f ca="1">Berechnung3!P84</f>
        <v/>
      </c>
    </row>
    <row r="85" spans="1:4" x14ac:dyDescent="0.2">
      <c r="A85" s="129" t="str">
        <f ca="1">Berechnung3!L85</f>
        <v/>
      </c>
      <c r="B85" s="129" t="str">
        <f ca="1">Berechnung3!N85</f>
        <v/>
      </c>
      <c r="C85" s="71" t="str">
        <f ca="1">Berechnung3!O85</f>
        <v/>
      </c>
      <c r="D85" s="71" t="str">
        <f ca="1">Berechnung3!P85</f>
        <v/>
      </c>
    </row>
    <row r="86" spans="1:4" x14ac:dyDescent="0.2">
      <c r="A86" s="129" t="str">
        <f ca="1">Berechnung3!L86</f>
        <v/>
      </c>
      <c r="B86" s="129" t="str">
        <f ca="1">Berechnung3!N86</f>
        <v/>
      </c>
      <c r="C86" s="71" t="str">
        <f ca="1">Berechnung3!O86</f>
        <v/>
      </c>
      <c r="D86" s="71" t="str">
        <f ca="1">Berechnung3!P86</f>
        <v/>
      </c>
    </row>
    <row r="87" spans="1:4" x14ac:dyDescent="0.2">
      <c r="A87" s="129" t="str">
        <f ca="1">Berechnung3!L87</f>
        <v/>
      </c>
      <c r="B87" s="129" t="str">
        <f ca="1">Berechnung3!N87</f>
        <v/>
      </c>
      <c r="C87" s="71" t="str">
        <f ca="1">Berechnung3!O87</f>
        <v/>
      </c>
      <c r="D87" s="71" t="str">
        <f ca="1">Berechnung3!P87</f>
        <v/>
      </c>
    </row>
    <row r="88" spans="1:4" x14ac:dyDescent="0.2">
      <c r="A88" s="129" t="str">
        <f ca="1">Berechnung3!L88</f>
        <v/>
      </c>
      <c r="B88" s="129" t="str">
        <f ca="1">Berechnung3!N88</f>
        <v/>
      </c>
      <c r="C88" s="71" t="str">
        <f ca="1">Berechnung3!O88</f>
        <v/>
      </c>
      <c r="D88" s="71" t="str">
        <f ca="1">Berechnung3!P88</f>
        <v/>
      </c>
    </row>
    <row r="89" spans="1:4" x14ac:dyDescent="0.2">
      <c r="A89" s="129" t="str">
        <f ca="1">Berechnung3!L89</f>
        <v/>
      </c>
      <c r="B89" s="129" t="str">
        <f ca="1">Berechnung3!N89</f>
        <v/>
      </c>
      <c r="C89" s="71" t="str">
        <f ca="1">Berechnung3!O89</f>
        <v/>
      </c>
      <c r="D89" s="71" t="str">
        <f ca="1">Berechnung3!P89</f>
        <v/>
      </c>
    </row>
    <row r="90" spans="1:4" x14ac:dyDescent="0.2">
      <c r="A90" s="129" t="str">
        <f ca="1">Berechnung3!L90</f>
        <v/>
      </c>
      <c r="B90" s="129" t="str">
        <f ca="1">Berechnung3!N90</f>
        <v/>
      </c>
      <c r="C90" s="71" t="str">
        <f ca="1">Berechnung3!O90</f>
        <v/>
      </c>
      <c r="D90" s="71" t="str">
        <f ca="1">Berechnung3!P90</f>
        <v/>
      </c>
    </row>
    <row r="91" spans="1:4" x14ac:dyDescent="0.2">
      <c r="A91" s="129" t="str">
        <f ca="1">Berechnung3!L91</f>
        <v/>
      </c>
      <c r="B91" s="129" t="str">
        <f ca="1">Berechnung3!N91</f>
        <v/>
      </c>
      <c r="C91" s="71" t="str">
        <f ca="1">Berechnung3!O91</f>
        <v/>
      </c>
      <c r="D91" s="71" t="str">
        <f ca="1">Berechnung3!P91</f>
        <v/>
      </c>
    </row>
    <row r="92" spans="1:4" x14ac:dyDescent="0.2">
      <c r="A92" s="129" t="str">
        <f ca="1">Berechnung3!L92</f>
        <v/>
      </c>
      <c r="B92" s="129" t="str">
        <f ca="1">Berechnung3!N92</f>
        <v/>
      </c>
      <c r="C92" s="71" t="str">
        <f ca="1">Berechnung3!O92</f>
        <v/>
      </c>
      <c r="D92" s="71" t="str">
        <f ca="1">Berechnung3!P92</f>
        <v/>
      </c>
    </row>
    <row r="93" spans="1:4" x14ac:dyDescent="0.2">
      <c r="A93" s="129" t="str">
        <f ca="1">Berechnung3!L93</f>
        <v/>
      </c>
      <c r="B93" s="129" t="str">
        <f ca="1">Berechnung3!N93</f>
        <v/>
      </c>
      <c r="C93" s="71" t="str">
        <f ca="1">Berechnung3!O93</f>
        <v/>
      </c>
      <c r="D93" s="71" t="str">
        <f ca="1">Berechnung3!P93</f>
        <v/>
      </c>
    </row>
    <row r="94" spans="1:4" x14ac:dyDescent="0.2">
      <c r="A94" s="129" t="str">
        <f ca="1">Berechnung3!L94</f>
        <v/>
      </c>
      <c r="B94" s="129" t="str">
        <f ca="1">Berechnung3!N94</f>
        <v/>
      </c>
      <c r="C94" s="71" t="str">
        <f ca="1">Berechnung3!O94</f>
        <v/>
      </c>
      <c r="D94" s="71" t="str">
        <f ca="1">Berechnung3!P94</f>
        <v/>
      </c>
    </row>
    <row r="95" spans="1:4" x14ac:dyDescent="0.2">
      <c r="A95" s="129" t="str">
        <f ca="1">Berechnung3!L95</f>
        <v/>
      </c>
      <c r="B95" s="129" t="str">
        <f ca="1">Berechnung3!N95</f>
        <v/>
      </c>
      <c r="C95" s="71" t="str">
        <f ca="1">Berechnung3!O95</f>
        <v/>
      </c>
      <c r="D95" s="71" t="str">
        <f ca="1">Berechnung3!P95</f>
        <v/>
      </c>
    </row>
    <row r="96" spans="1:4" x14ac:dyDescent="0.2">
      <c r="A96" s="129" t="str">
        <f ca="1">Berechnung3!L96</f>
        <v/>
      </c>
      <c r="B96" s="129" t="str">
        <f ca="1">Berechnung3!N96</f>
        <v/>
      </c>
      <c r="C96" s="71" t="str">
        <f ca="1">Berechnung3!O96</f>
        <v/>
      </c>
      <c r="D96" s="71" t="str">
        <f ca="1">Berechnung3!P96</f>
        <v/>
      </c>
    </row>
    <row r="97" spans="1:4" x14ac:dyDescent="0.2">
      <c r="A97" s="129" t="str">
        <f ca="1">Berechnung3!L97</f>
        <v/>
      </c>
      <c r="B97" s="129" t="str">
        <f ca="1">Berechnung3!N97</f>
        <v/>
      </c>
      <c r="C97" s="71" t="str">
        <f ca="1">Berechnung3!O97</f>
        <v/>
      </c>
      <c r="D97" s="71" t="str">
        <f ca="1">Berechnung3!P97</f>
        <v/>
      </c>
    </row>
    <row r="98" spans="1:4" x14ac:dyDescent="0.2">
      <c r="A98" s="129" t="str">
        <f ca="1">Berechnung3!L98</f>
        <v/>
      </c>
      <c r="B98" s="129" t="str">
        <f ca="1">Berechnung3!N98</f>
        <v/>
      </c>
      <c r="C98" s="71" t="str">
        <f ca="1">Berechnung3!O98</f>
        <v/>
      </c>
      <c r="D98" s="71" t="str">
        <f ca="1">Berechnung3!P98</f>
        <v/>
      </c>
    </row>
    <row r="99" spans="1:4" x14ac:dyDescent="0.2">
      <c r="A99" s="129" t="str">
        <f ca="1">Berechnung3!L99</f>
        <v/>
      </c>
      <c r="B99" s="129" t="str">
        <f ca="1">Berechnung3!N99</f>
        <v/>
      </c>
      <c r="C99" s="71" t="str">
        <f ca="1">Berechnung3!O99</f>
        <v/>
      </c>
      <c r="D99" s="71" t="str">
        <f ca="1">Berechnung3!P99</f>
        <v/>
      </c>
    </row>
    <row r="100" spans="1:4" x14ac:dyDescent="0.2">
      <c r="A100" s="129" t="str">
        <f ca="1">Berechnung3!L100</f>
        <v/>
      </c>
      <c r="B100" s="129" t="str">
        <f ca="1">Berechnung3!N100</f>
        <v/>
      </c>
      <c r="C100" s="71" t="str">
        <f ca="1">Berechnung3!O100</f>
        <v/>
      </c>
      <c r="D100" s="71" t="str">
        <f ca="1">Berechnung3!P100</f>
        <v/>
      </c>
    </row>
    <row r="101" spans="1:4" x14ac:dyDescent="0.2">
      <c r="A101" s="129" t="str">
        <f ca="1">Berechnung3!L101</f>
        <v/>
      </c>
      <c r="B101" s="129" t="str">
        <f ca="1">Berechnung3!N101</f>
        <v/>
      </c>
      <c r="C101" s="71" t="str">
        <f ca="1">Berechnung3!O101</f>
        <v/>
      </c>
      <c r="D101" s="71" t="str">
        <f ca="1">Berechnung3!P101</f>
        <v/>
      </c>
    </row>
    <row r="102" spans="1:4" x14ac:dyDescent="0.2">
      <c r="A102" s="129" t="str">
        <f ca="1">Berechnung3!L102</f>
        <v/>
      </c>
      <c r="B102" s="129" t="str">
        <f ca="1">Berechnung3!N102</f>
        <v/>
      </c>
      <c r="C102" s="71" t="str">
        <f ca="1">Berechnung3!O102</f>
        <v/>
      </c>
      <c r="D102" s="71" t="str">
        <f ca="1">Berechnung3!P102</f>
        <v/>
      </c>
    </row>
    <row r="103" spans="1:4" x14ac:dyDescent="0.2">
      <c r="A103" s="129" t="str">
        <f ca="1">Berechnung3!L103</f>
        <v/>
      </c>
      <c r="B103" s="129" t="str">
        <f ca="1">Berechnung3!N103</f>
        <v/>
      </c>
      <c r="C103" s="71" t="str">
        <f ca="1">Berechnung3!O103</f>
        <v/>
      </c>
      <c r="D103" s="71" t="str">
        <f ca="1">Berechnung3!P103</f>
        <v/>
      </c>
    </row>
    <row r="104" spans="1:4" x14ac:dyDescent="0.2">
      <c r="A104" s="129" t="str">
        <f ca="1">Berechnung3!L104</f>
        <v/>
      </c>
      <c r="B104" s="129" t="str">
        <f ca="1">Berechnung3!N104</f>
        <v/>
      </c>
      <c r="C104" s="71" t="str">
        <f ca="1">Berechnung3!O104</f>
        <v/>
      </c>
      <c r="D104" s="71" t="str">
        <f ca="1">Berechnung3!P104</f>
        <v/>
      </c>
    </row>
    <row r="105" spans="1:4" x14ac:dyDescent="0.2">
      <c r="A105" s="129" t="str">
        <f ca="1">Berechnung3!L105</f>
        <v/>
      </c>
      <c r="B105" s="129" t="str">
        <f ca="1">Berechnung3!N105</f>
        <v/>
      </c>
      <c r="C105" s="71" t="str">
        <f ca="1">Berechnung3!O105</f>
        <v/>
      </c>
      <c r="D105" s="71" t="str">
        <f ca="1">Berechnung3!P105</f>
        <v/>
      </c>
    </row>
    <row r="106" spans="1:4" x14ac:dyDescent="0.2">
      <c r="A106" s="129" t="str">
        <f ca="1">Berechnung3!L106</f>
        <v/>
      </c>
      <c r="B106" s="129" t="str">
        <f ca="1">Berechnung3!N106</f>
        <v/>
      </c>
      <c r="C106" s="71" t="str">
        <f ca="1">Berechnung3!O106</f>
        <v/>
      </c>
      <c r="D106" s="71" t="str">
        <f ca="1">Berechnung3!P106</f>
        <v/>
      </c>
    </row>
    <row r="107" spans="1:4" x14ac:dyDescent="0.2">
      <c r="A107" s="129" t="str">
        <f ca="1">Berechnung3!L107</f>
        <v/>
      </c>
      <c r="B107" s="129" t="str">
        <f ca="1">Berechnung3!N107</f>
        <v/>
      </c>
      <c r="C107" s="71" t="str">
        <f ca="1">Berechnung3!O107</f>
        <v/>
      </c>
      <c r="D107" s="71" t="str">
        <f ca="1">Berechnung3!P107</f>
        <v/>
      </c>
    </row>
    <row r="108" spans="1:4" x14ac:dyDescent="0.2">
      <c r="A108" s="129" t="str">
        <f ca="1">Berechnung3!L108</f>
        <v/>
      </c>
      <c r="B108" s="129" t="str">
        <f ca="1">Berechnung3!N108</f>
        <v/>
      </c>
      <c r="C108" s="71" t="str">
        <f ca="1">Berechnung3!O108</f>
        <v/>
      </c>
      <c r="D108" s="71" t="str">
        <f ca="1">Berechnung3!P108</f>
        <v/>
      </c>
    </row>
    <row r="109" spans="1:4" x14ac:dyDescent="0.2">
      <c r="A109" s="129" t="str">
        <f ca="1">Berechnung3!L109</f>
        <v/>
      </c>
      <c r="B109" s="129" t="str">
        <f ca="1">Berechnung3!N109</f>
        <v/>
      </c>
      <c r="C109" s="71" t="str">
        <f ca="1">Berechnung3!O109</f>
        <v/>
      </c>
      <c r="D109" s="71" t="str">
        <f ca="1">Berechnung3!P109</f>
        <v/>
      </c>
    </row>
    <row r="110" spans="1:4" x14ac:dyDescent="0.2">
      <c r="A110" s="129" t="str">
        <f ca="1">Berechnung3!L110</f>
        <v/>
      </c>
      <c r="B110" s="129" t="str">
        <f ca="1">Berechnung3!N110</f>
        <v/>
      </c>
      <c r="C110" s="71" t="str">
        <f ca="1">Berechnung3!O110</f>
        <v/>
      </c>
      <c r="D110" s="71" t="str">
        <f ca="1">Berechnung3!P110</f>
        <v/>
      </c>
    </row>
    <row r="111" spans="1:4" x14ac:dyDescent="0.2">
      <c r="A111" s="129" t="str">
        <f ca="1">Berechnung3!L111</f>
        <v/>
      </c>
      <c r="B111" s="129" t="str">
        <f ca="1">Berechnung3!N111</f>
        <v/>
      </c>
      <c r="C111" s="71" t="str">
        <f ca="1">Berechnung3!O111</f>
        <v/>
      </c>
      <c r="D111" s="71" t="str">
        <f ca="1">Berechnung3!P111</f>
        <v/>
      </c>
    </row>
  </sheetData>
  <phoneticPr fontId="33" type="noConversion"/>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4"/>
  <dimension ref="A1:F7"/>
  <sheetViews>
    <sheetView workbookViewId="0">
      <selection activeCell="A11" sqref="A11"/>
    </sheetView>
  </sheetViews>
  <sheetFormatPr defaultColWidth="11.5703125" defaultRowHeight="15" x14ac:dyDescent="0.25"/>
  <cols>
    <col min="1" max="1" width="24" customWidth="1"/>
    <col min="2" max="2" width="38.5703125" customWidth="1"/>
    <col min="3" max="3" width="39.42578125" customWidth="1"/>
    <col min="4" max="4" width="38.28515625" customWidth="1"/>
    <col min="5" max="5" width="42.85546875" customWidth="1"/>
    <col min="6" max="6" width="43.7109375" customWidth="1"/>
    <col min="7" max="7" width="36" customWidth="1"/>
    <col min="8" max="8" width="16.5703125" customWidth="1"/>
    <col min="9" max="9" width="24.140625" customWidth="1"/>
    <col min="10" max="10" width="35" customWidth="1"/>
    <col min="11" max="11" width="28.140625" customWidth="1"/>
    <col min="12" max="12" width="27.7109375" customWidth="1"/>
    <col min="13" max="13" width="30.140625" customWidth="1"/>
    <col min="14" max="14" width="28.140625" customWidth="1"/>
    <col min="15" max="15" width="29.7109375" customWidth="1"/>
    <col min="16" max="16" width="15.28515625" customWidth="1"/>
    <col min="17" max="17" width="17.28515625" customWidth="1"/>
  </cols>
  <sheetData>
    <row r="1" spans="1:6" x14ac:dyDescent="0.25">
      <c r="A1" s="75" t="s">
        <v>320</v>
      </c>
      <c r="B1" s="69" t="str">
        <f>IF('Basic data'!C16=0,"",'Basic data'!C16)</f>
        <v/>
      </c>
    </row>
    <row r="2" spans="1:6" x14ac:dyDescent="0.25">
      <c r="A2" s="75" t="s">
        <v>191</v>
      </c>
      <c r="B2" s="96" t="str">
        <f>IF('Basic data'!K12=0,"",'Basic data'!K12)</f>
        <v/>
      </c>
    </row>
    <row r="3" spans="1:6" x14ac:dyDescent="0.25">
      <c r="A3" s="75" t="s">
        <v>237</v>
      </c>
      <c r="B3" s="96" t="str">
        <f>IF('Basic data'!K14=0,"",'Basic data'!K14)</f>
        <v>-----</v>
      </c>
    </row>
    <row r="6" spans="1:6" x14ac:dyDescent="0.25">
      <c r="A6" s="222" t="s">
        <v>151</v>
      </c>
      <c r="B6" s="222" t="s">
        <v>153</v>
      </c>
      <c r="C6" s="222" t="s">
        <v>351</v>
      </c>
      <c r="D6" s="222" t="s">
        <v>26</v>
      </c>
      <c r="E6" s="222" t="s">
        <v>769</v>
      </c>
      <c r="F6" s="222" t="s">
        <v>770</v>
      </c>
    </row>
    <row r="7" spans="1:6" s="70" customFormat="1" ht="12.75" x14ac:dyDescent="0.2">
      <c r="A7" s="223" t="str">
        <f>IF('Basic data'!A22=0,"",'Basic data'!A22)</f>
        <v/>
      </c>
      <c r="B7" s="223" t="str">
        <f>IF('Basic data'!A25=0,"",'Basic data'!A25)</f>
        <v/>
      </c>
      <c r="C7" s="223" t="str">
        <f>IF('Basic data'!G22=0,"",'Basic data'!G22)</f>
        <v/>
      </c>
      <c r="D7" s="223" t="str">
        <f>IF('Basic data'!G25=0,"",'Basic data'!G25)</f>
        <v>No</v>
      </c>
      <c r="E7" s="223" t="str">
        <f>IF('Basic data'!C12=0,"",'Basic data'!C12)</f>
        <v/>
      </c>
      <c r="F7" s="223" t="str">
        <f>IF('Basic data'!C14=0,"",'Basic data'!C14)</f>
        <v/>
      </c>
    </row>
  </sheetData>
  <phoneticPr fontId="33"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J17"/>
  <sheetViews>
    <sheetView zoomScaleNormal="100" workbookViewId="0">
      <selection activeCell="J2" sqref="J2"/>
    </sheetView>
  </sheetViews>
  <sheetFormatPr defaultColWidth="11.42578125" defaultRowHeight="12.75" x14ac:dyDescent="0.25"/>
  <cols>
    <col min="1" max="1" width="35.5703125" style="73" customWidth="1"/>
    <col min="2" max="2" width="13.140625" style="73" customWidth="1"/>
    <col min="3" max="6" width="11.42578125" style="73" customWidth="1"/>
    <col min="7" max="7" width="13.42578125" style="73" customWidth="1"/>
    <col min="8" max="8" width="12.85546875" style="73" customWidth="1"/>
    <col min="9" max="9" width="11.85546875" style="73" customWidth="1"/>
    <col min="10" max="10" width="12.28515625" style="73" customWidth="1"/>
    <col min="11" max="256" width="9.140625" style="73" customWidth="1"/>
    <col min="257" max="16384" width="11.42578125" style="73"/>
  </cols>
  <sheetData>
    <row r="1" spans="1:10" ht="41.25" customHeight="1" x14ac:dyDescent="0.25">
      <c r="A1" s="68" t="s">
        <v>487</v>
      </c>
      <c r="B1" s="68" t="s">
        <v>492</v>
      </c>
      <c r="C1" s="68" t="s">
        <v>493</v>
      </c>
      <c r="D1" s="68" t="s">
        <v>494</v>
      </c>
      <c r="E1" s="68" t="s">
        <v>495</v>
      </c>
      <c r="F1" s="68" t="s">
        <v>496</v>
      </c>
      <c r="G1" s="289" t="s">
        <v>366</v>
      </c>
      <c r="H1" s="68" t="s">
        <v>497</v>
      </c>
      <c r="I1" s="68" t="s">
        <v>498</v>
      </c>
      <c r="J1" s="68" t="s">
        <v>148</v>
      </c>
    </row>
    <row r="2" spans="1:10" ht="15" customHeight="1" x14ac:dyDescent="0.25">
      <c r="A2" s="74" t="s">
        <v>120</v>
      </c>
      <c r="B2" s="72" t="str">
        <f>IF('Basic data'!D30="","",'Basic data'!D30)</f>
        <v/>
      </c>
      <c r="C2" s="72" t="str">
        <f>IF('Basic data'!E30="","",'Basic data'!E30)</f>
        <v/>
      </c>
      <c r="D2" s="72" t="str">
        <f>IF('Basic data'!F30="","",'Basic data'!F30)</f>
        <v/>
      </c>
      <c r="E2" s="72" t="str">
        <f>IF('Basic data'!G30="","",'Basic data'!G30)</f>
        <v/>
      </c>
      <c r="F2" s="72" t="str">
        <f>IF('Basic data'!H30="","",'Basic data'!H30)</f>
        <v/>
      </c>
      <c r="G2" s="72" t="str">
        <f>IF('Basic data'!I30="","",'Basic data'!I30)</f>
        <v/>
      </c>
      <c r="H2" s="72" t="str">
        <f>IF('Basic data'!J30="","",'Basic data'!J30)</f>
        <v/>
      </c>
      <c r="I2" s="72" t="str">
        <f>IF('Basic data'!K30="","",'Basic data'!K30)</f>
        <v/>
      </c>
      <c r="J2" s="72" t="str">
        <f>IF('Basic data'!L30="","",'Basic data'!L30)</f>
        <v/>
      </c>
    </row>
    <row r="3" spans="1:10" ht="45" customHeight="1" x14ac:dyDescent="0.25">
      <c r="A3" s="459" t="s">
        <v>812</v>
      </c>
      <c r="B3" s="72" t="str">
        <f>IF('Basic data'!D31="","",'Basic data'!D31)</f>
        <v/>
      </c>
      <c r="C3" s="72" t="str">
        <f>IF('Basic data'!E31="","",'Basic data'!E31)</f>
        <v/>
      </c>
      <c r="D3" s="72" t="str">
        <f>IF('Basic data'!F31="","",'Basic data'!F31)</f>
        <v/>
      </c>
      <c r="E3" s="72" t="str">
        <f>IF('Basic data'!G31="","",'Basic data'!G31)</f>
        <v/>
      </c>
      <c r="F3" s="72" t="str">
        <f>IF('Basic data'!H31="","",'Basic data'!H31)</f>
        <v/>
      </c>
      <c r="G3" s="72" t="str">
        <f>IF('Basic data'!I31="","",'Basic data'!I31)</f>
        <v/>
      </c>
      <c r="H3" s="72" t="str">
        <f>IF('Basic data'!J31="","",'Basic data'!J31)</f>
        <v/>
      </c>
      <c r="I3" s="72" t="str">
        <f>IF('Basic data'!K31="","",'Basic data'!K31)</f>
        <v/>
      </c>
      <c r="J3" s="72" t="str">
        <f>IF('Basic data'!L31="","",'Basic data'!L31)</f>
        <v/>
      </c>
    </row>
    <row r="4" spans="1:10" ht="15" customHeight="1" x14ac:dyDescent="0.25">
      <c r="A4" s="74" t="s">
        <v>488</v>
      </c>
      <c r="B4" s="72" t="str">
        <f>IF('Basic data'!D33="","",'Basic data'!D33)</f>
        <v/>
      </c>
      <c r="C4" s="72" t="str">
        <f>IF('Basic data'!E33="","",'Basic data'!E33)</f>
        <v/>
      </c>
      <c r="D4" s="72" t="str">
        <f>IF('Basic data'!F33="","",'Basic data'!F33)</f>
        <v/>
      </c>
      <c r="E4" s="72" t="str">
        <f>IF('Basic data'!G33="","",'Basic data'!G33)</f>
        <v/>
      </c>
      <c r="F4" s="72" t="str">
        <f>IF('Basic data'!H33="","",'Basic data'!H33)</f>
        <v/>
      </c>
      <c r="G4" s="72" t="str">
        <f>IF('Basic data'!I33="","",'Basic data'!I33)</f>
        <v/>
      </c>
      <c r="H4" s="72" t="str">
        <f>IF('Basic data'!J33="","",'Basic data'!J33)</f>
        <v/>
      </c>
      <c r="I4" s="72" t="str">
        <f>IF('Basic data'!K33="","",'Basic data'!K33)</f>
        <v/>
      </c>
      <c r="J4" s="72" t="str">
        <f>IF('Basic data'!L33="","",'Basic data'!L33)</f>
        <v/>
      </c>
    </row>
    <row r="5" spans="1:10" x14ac:dyDescent="0.25">
      <c r="A5" s="74" t="s">
        <v>489</v>
      </c>
      <c r="B5" s="72" t="str">
        <f>IF('Basic data'!D34="","",'Basic data'!D34)</f>
        <v/>
      </c>
      <c r="C5" s="72" t="str">
        <f>IF('Basic data'!E34="","",'Basic data'!E34)</f>
        <v/>
      </c>
      <c r="D5" s="72" t="str">
        <f>IF('Basic data'!F34="","",'Basic data'!F34)</f>
        <v/>
      </c>
      <c r="E5" s="72" t="str">
        <f>IF('Basic data'!G34="","",'Basic data'!G34)</f>
        <v/>
      </c>
      <c r="F5" s="72" t="str">
        <f>IF('Basic data'!H34="","",'Basic data'!H34)</f>
        <v/>
      </c>
      <c r="G5" s="72" t="str">
        <f>IF('Basic data'!I34="","",'Basic data'!I34)</f>
        <v/>
      </c>
      <c r="H5" s="72" t="str">
        <f>IF('Basic data'!J34="","",'Basic data'!J34)</f>
        <v/>
      </c>
      <c r="I5" s="72" t="str">
        <f>IF('Basic data'!K34="","",'Basic data'!K34)</f>
        <v/>
      </c>
      <c r="J5" s="72" t="str">
        <f>IF('Basic data'!L34="","",'Basic data'!L34)</f>
        <v/>
      </c>
    </row>
    <row r="6" spans="1:10" x14ac:dyDescent="0.25">
      <c r="A6" s="74" t="s">
        <v>490</v>
      </c>
      <c r="B6" s="72" t="str">
        <f>IF('Basic data'!D35="","",'Basic data'!D35)</f>
        <v/>
      </c>
      <c r="C6" s="72" t="str">
        <f>IF('Basic data'!E35="","",'Basic data'!E35)</f>
        <v/>
      </c>
      <c r="D6" s="72" t="str">
        <f>IF('Basic data'!F35="","",'Basic data'!F35)</f>
        <v/>
      </c>
      <c r="E6" s="72" t="str">
        <f>IF('Basic data'!G35="","",'Basic data'!G35)</f>
        <v/>
      </c>
      <c r="F6" s="72" t="str">
        <f>IF('Basic data'!H35="","",'Basic data'!H35)</f>
        <v/>
      </c>
      <c r="G6" s="72" t="str">
        <f>IF('Basic data'!I35="","",'Basic data'!I35)</f>
        <v/>
      </c>
      <c r="H6" s="72" t="str">
        <f>IF('Basic data'!J35="","",'Basic data'!J35)</f>
        <v/>
      </c>
      <c r="I6" s="72" t="str">
        <f>IF('Basic data'!K35="","",'Basic data'!K35)</f>
        <v/>
      </c>
      <c r="J6" s="72" t="str">
        <f>IF('Basic data'!L35="","",'Basic data'!L35)</f>
        <v/>
      </c>
    </row>
    <row r="7" spans="1:10" ht="40.5" customHeight="1" x14ac:dyDescent="0.25">
      <c r="A7" s="171" t="s">
        <v>491</v>
      </c>
      <c r="B7" s="72" t="str">
        <f>IF('Basic data'!D36="","",'Basic data'!D36)</f>
        <v/>
      </c>
      <c r="C7" s="72" t="str">
        <f>IF('Basic data'!E36="","",'Basic data'!E36)</f>
        <v/>
      </c>
      <c r="D7" s="72" t="str">
        <f>IF('Basic data'!F36="","",'Basic data'!F36)</f>
        <v/>
      </c>
      <c r="E7" s="72" t="str">
        <f>IF('Basic data'!G36="","",'Basic data'!G36)</f>
        <v/>
      </c>
      <c r="F7" s="72" t="str">
        <f>IF('Basic data'!H36="","",'Basic data'!H36)</f>
        <v/>
      </c>
      <c r="G7" s="72" t="str">
        <f>IF('Basic data'!I36="","",'Basic data'!I36)</f>
        <v/>
      </c>
      <c r="H7" s="72" t="str">
        <f>IF('Basic data'!J36="","",'Basic data'!J36)</f>
        <v/>
      </c>
      <c r="I7" s="72" t="str">
        <f>IF('Basic data'!K36="","",'Basic data'!K36)</f>
        <v/>
      </c>
      <c r="J7" s="72" t="str">
        <f>IF('Basic data'!L36="","",'Basic data'!L36)</f>
        <v/>
      </c>
    </row>
    <row r="17" spans="7:7" x14ac:dyDescent="0.25">
      <c r="G17" s="219"/>
    </row>
  </sheetData>
  <phoneticPr fontId="33"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J6"/>
  <sheetViews>
    <sheetView zoomScaleNormal="100" workbookViewId="0">
      <selection activeCell="C16" sqref="C16"/>
    </sheetView>
  </sheetViews>
  <sheetFormatPr defaultColWidth="11.42578125" defaultRowHeight="12.75" x14ac:dyDescent="0.25"/>
  <cols>
    <col min="1" max="1" width="26.5703125" style="73" customWidth="1"/>
    <col min="2" max="2" width="20.85546875" style="73" customWidth="1"/>
    <col min="3" max="3" width="26.42578125" style="73" customWidth="1"/>
    <col min="4" max="4" width="22.42578125" style="73" customWidth="1"/>
    <col min="5" max="6" width="11.42578125" style="73" customWidth="1"/>
    <col min="7" max="7" width="15.28515625" style="73" customWidth="1"/>
    <col min="8" max="8" width="16.7109375" style="73" customWidth="1"/>
    <col min="9" max="9" width="17.7109375" style="73" customWidth="1"/>
    <col min="10" max="10" width="17.85546875" style="73" customWidth="1"/>
    <col min="11" max="256" width="9.140625" style="73" customWidth="1"/>
    <col min="257" max="16384" width="11.42578125" style="73"/>
  </cols>
  <sheetData>
    <row r="1" spans="1:10" ht="27.75" customHeight="1" x14ac:dyDescent="0.25">
      <c r="A1" s="68" t="s">
        <v>699</v>
      </c>
      <c r="B1" s="68" t="s">
        <v>702</v>
      </c>
      <c r="C1" s="68" t="s">
        <v>703</v>
      </c>
      <c r="D1" s="68" t="s">
        <v>704</v>
      </c>
      <c r="E1" s="172"/>
      <c r="F1" s="172"/>
      <c r="G1" s="172"/>
      <c r="H1" s="172"/>
      <c r="I1" s="172"/>
      <c r="J1" s="172"/>
    </row>
    <row r="2" spans="1:10" ht="15" customHeight="1" x14ac:dyDescent="0.25">
      <c r="A2" s="171" t="s">
        <v>700</v>
      </c>
      <c r="B2" s="72" t="str">
        <f>IF('Basic data'!D39="","",'Basic data'!D39)</f>
        <v/>
      </c>
      <c r="C2" s="72" t="str">
        <f>IF('Basic data'!H39="","",'Basic data'!H39)</f>
        <v/>
      </c>
      <c r="D2" s="72" t="str">
        <f>IF('Basic data'!L39="","",'Basic data'!L39)</f>
        <v/>
      </c>
      <c r="E2" s="99"/>
      <c r="F2" s="99"/>
      <c r="G2" s="99"/>
      <c r="H2" s="99"/>
      <c r="I2" s="99"/>
      <c r="J2" s="99"/>
    </row>
    <row r="3" spans="1:10" ht="15" customHeight="1" x14ac:dyDescent="0.25">
      <c r="A3" s="171" t="s">
        <v>701</v>
      </c>
      <c r="B3" s="72" t="str">
        <f>IF('Basic data'!D40="","",'Basic data'!D40)</f>
        <v/>
      </c>
      <c r="C3" s="72" t="str">
        <f>IF('Basic data'!H40="","",'Basic data'!H40)</f>
        <v/>
      </c>
      <c r="D3" s="72" t="str">
        <f>IF('Basic data'!L40="","",'Basic data'!L40)</f>
        <v/>
      </c>
      <c r="E3" s="99"/>
      <c r="F3" s="99"/>
      <c r="G3" s="99"/>
      <c r="H3" s="99"/>
      <c r="I3" s="99"/>
      <c r="J3" s="99"/>
    </row>
    <row r="4" spans="1:10" x14ac:dyDescent="0.25">
      <c r="A4" s="219" t="s">
        <v>345</v>
      </c>
      <c r="B4" s="220"/>
      <c r="C4" s="220"/>
      <c r="D4" s="72" t="str">
        <f>IF('Basic data'!L41="","",'Basic data'!L41)</f>
        <v/>
      </c>
      <c r="E4" s="99"/>
      <c r="F4" s="99"/>
      <c r="G4" s="99"/>
      <c r="H4" s="99"/>
      <c r="I4" s="99"/>
      <c r="J4" s="99"/>
    </row>
    <row r="5" spans="1:10" x14ac:dyDescent="0.25">
      <c r="A5" s="74" t="s">
        <v>148</v>
      </c>
      <c r="B5" s="72" t="str">
        <f>IF('Basic data'!D42="","",'Basic data'!D42)</f>
        <v/>
      </c>
      <c r="C5" s="72" t="str">
        <f>IF('Basic data'!H42="","",'Basic data'!H42)</f>
        <v/>
      </c>
      <c r="D5" s="220"/>
      <c r="E5" s="99"/>
      <c r="F5" s="99"/>
      <c r="G5" s="99"/>
      <c r="H5" s="99"/>
      <c r="I5" s="99"/>
      <c r="J5" s="99"/>
    </row>
    <row r="6" spans="1:10" ht="18.75" customHeight="1" x14ac:dyDescent="0.25">
      <c r="A6" s="173"/>
      <c r="B6" s="99"/>
      <c r="C6" s="99"/>
      <c r="D6" s="99"/>
      <c r="E6" s="99"/>
      <c r="F6" s="99"/>
      <c r="G6" s="99"/>
      <c r="H6" s="99"/>
      <c r="I6" s="99"/>
      <c r="J6" s="99"/>
    </row>
  </sheetData>
  <phoneticPr fontId="33"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2"/>
  <dimension ref="A1:O259"/>
  <sheetViews>
    <sheetView zoomScaleNormal="100" workbookViewId="0">
      <selection activeCell="A2" sqref="A2"/>
    </sheetView>
  </sheetViews>
  <sheetFormatPr defaultColWidth="11.42578125" defaultRowHeight="11.25" x14ac:dyDescent="0.25"/>
  <cols>
    <col min="1" max="1" width="30.5703125" style="26" customWidth="1"/>
    <col min="2" max="2" width="68.28515625" style="26" customWidth="1"/>
    <col min="3" max="3" width="77.5703125" style="26" customWidth="1"/>
    <col min="4" max="4" width="16.28515625" style="26" customWidth="1"/>
    <col min="5" max="5" width="22.42578125" style="26" customWidth="1"/>
    <col min="6" max="6" width="19.140625" style="310" customWidth="1"/>
    <col min="7" max="7" width="10.7109375" style="26" customWidth="1"/>
    <col min="8" max="8" width="12.7109375" style="26" customWidth="1"/>
    <col min="9" max="9" width="15.7109375" style="26" customWidth="1"/>
    <col min="10" max="10" width="19.42578125" style="26" customWidth="1"/>
    <col min="11" max="11" width="18.85546875" style="26" customWidth="1"/>
    <col min="12" max="12" width="20.42578125" style="26" customWidth="1"/>
    <col min="13" max="13" width="19.28515625" style="26" customWidth="1"/>
    <col min="14" max="14" width="20" style="26" customWidth="1"/>
    <col min="15" max="15" width="19.28515625" style="26" customWidth="1"/>
    <col min="16" max="27" width="40.7109375" style="26" customWidth="1"/>
    <col min="28" max="32" width="9.140625" style="26" customWidth="1"/>
    <col min="33" max="33" width="13.5703125" style="26" customWidth="1"/>
    <col min="34" max="105" width="9.140625" style="26" customWidth="1"/>
    <col min="106" max="107" width="16.5703125" style="26" customWidth="1"/>
    <col min="108" max="108" width="15.5703125" style="26" customWidth="1"/>
    <col min="109" max="109" width="19" style="26" customWidth="1"/>
    <col min="110" max="256" width="9.140625" style="26" customWidth="1"/>
    <col min="257" max="16384" width="11.42578125" style="26"/>
  </cols>
  <sheetData>
    <row r="1" spans="1:7" x14ac:dyDescent="0.2">
      <c r="A1" s="303" t="s">
        <v>153</v>
      </c>
      <c r="B1" s="124" t="s">
        <v>813</v>
      </c>
      <c r="D1" s="304"/>
      <c r="E1" s="305"/>
      <c r="F1" s="305" t="str">
        <f>IF('Basic data'!K14="---",E1,'Basic data'!K14)</f>
        <v>-----</v>
      </c>
    </row>
    <row r="2" spans="1:7" x14ac:dyDescent="0.2">
      <c r="A2" s="409" t="s">
        <v>820</v>
      </c>
      <c r="B2" s="124" t="s">
        <v>371</v>
      </c>
      <c r="D2" s="304"/>
      <c r="E2" s="26" t="s">
        <v>157</v>
      </c>
      <c r="F2" s="26"/>
    </row>
    <row r="3" spans="1:7" x14ac:dyDescent="0.2">
      <c r="A3" s="306"/>
      <c r="B3" s="124" t="s">
        <v>5</v>
      </c>
      <c r="D3" s="304"/>
      <c r="E3" s="307" t="str">
        <f>'Basic data'!K14</f>
        <v>-----</v>
      </c>
      <c r="F3" s="308">
        <f>IF(E3&gt;E4,0,DATEDIF(E3,E4,"y"))</f>
        <v>0</v>
      </c>
    </row>
    <row r="4" spans="1:7" x14ac:dyDescent="0.2">
      <c r="A4" s="306"/>
      <c r="B4" s="124" t="s">
        <v>817</v>
      </c>
      <c r="D4" s="304"/>
      <c r="E4" s="335">
        <v>46387</v>
      </c>
      <c r="F4" s="308"/>
      <c r="G4" s="309"/>
    </row>
    <row r="5" spans="1:7" x14ac:dyDescent="0.2">
      <c r="A5" s="306"/>
      <c r="B5" s="124" t="s">
        <v>818</v>
      </c>
      <c r="D5" s="304"/>
      <c r="E5" s="306"/>
    </row>
    <row r="6" spans="1:7" x14ac:dyDescent="0.2">
      <c r="A6" s="306"/>
      <c r="B6" s="124" t="s">
        <v>154</v>
      </c>
      <c r="D6" s="304"/>
      <c r="E6" s="306"/>
    </row>
    <row r="7" spans="1:7" x14ac:dyDescent="0.2">
      <c r="A7" s="306"/>
      <c r="B7" s="124" t="s">
        <v>819</v>
      </c>
      <c r="D7" s="304"/>
      <c r="E7" s="306"/>
    </row>
    <row r="8" spans="1:7" x14ac:dyDescent="0.2">
      <c r="A8" s="306"/>
      <c r="B8" s="124" t="s">
        <v>152</v>
      </c>
      <c r="D8" s="304"/>
      <c r="E8" s="306"/>
    </row>
    <row r="9" spans="1:7" x14ac:dyDescent="0.2">
      <c r="A9" s="306"/>
      <c r="B9" s="124" t="s">
        <v>155</v>
      </c>
      <c r="D9" s="304"/>
      <c r="E9" s="306"/>
    </row>
    <row r="10" spans="1:7" x14ac:dyDescent="0.2">
      <c r="A10" s="306"/>
      <c r="B10" s="124" t="s">
        <v>318</v>
      </c>
      <c r="D10" s="304"/>
      <c r="E10" s="306"/>
    </row>
    <row r="11" spans="1:7" x14ac:dyDescent="0.2">
      <c r="A11" s="306"/>
      <c r="B11" s="124" t="s">
        <v>187</v>
      </c>
      <c r="D11" s="304"/>
      <c r="E11" s="306"/>
    </row>
    <row r="12" spans="1:7" x14ac:dyDescent="0.2">
      <c r="A12" s="306"/>
      <c r="B12" s="124" t="s">
        <v>312</v>
      </c>
      <c r="D12" s="304"/>
      <c r="E12" s="306"/>
    </row>
    <row r="13" spans="1:7" x14ac:dyDescent="0.25">
      <c r="A13" s="306"/>
      <c r="B13" s="124" t="s">
        <v>365</v>
      </c>
      <c r="E13" s="306"/>
    </row>
    <row r="14" spans="1:7" x14ac:dyDescent="0.2">
      <c r="A14" s="306"/>
      <c r="B14" s="124" t="s">
        <v>372</v>
      </c>
      <c r="D14" s="304"/>
      <c r="E14" s="306"/>
    </row>
    <row r="15" spans="1:7" x14ac:dyDescent="0.2">
      <c r="A15" s="306"/>
      <c r="B15" s="124" t="s">
        <v>313</v>
      </c>
      <c r="D15" s="304"/>
      <c r="E15" s="306"/>
    </row>
    <row r="16" spans="1:7" x14ac:dyDescent="0.2">
      <c r="A16" s="306"/>
      <c r="B16" s="124" t="s">
        <v>188</v>
      </c>
      <c r="D16" s="304"/>
      <c r="E16" s="306"/>
    </row>
    <row r="17" spans="1:9" x14ac:dyDescent="0.2">
      <c r="A17" s="306"/>
      <c r="B17" s="124" t="s">
        <v>314</v>
      </c>
      <c r="D17" s="304"/>
      <c r="E17" s="306"/>
    </row>
    <row r="18" spans="1:9" x14ac:dyDescent="0.2">
      <c r="A18" s="306"/>
      <c r="B18" s="124" t="s">
        <v>315</v>
      </c>
      <c r="D18" s="304"/>
      <c r="E18" s="306"/>
    </row>
    <row r="19" spans="1:9" x14ac:dyDescent="0.2">
      <c r="A19" s="112"/>
      <c r="B19" s="124" t="s">
        <v>29</v>
      </c>
      <c r="D19" s="304"/>
      <c r="E19" s="306"/>
    </row>
    <row r="20" spans="1:9" x14ac:dyDescent="0.2">
      <c r="A20" s="112"/>
      <c r="B20" s="124" t="s">
        <v>316</v>
      </c>
      <c r="D20" s="304"/>
      <c r="E20" s="306"/>
    </row>
    <row r="21" spans="1:9" x14ac:dyDescent="0.2">
      <c r="A21" s="306"/>
      <c r="B21" s="124" t="s">
        <v>6</v>
      </c>
      <c r="D21" s="304"/>
      <c r="E21" s="306"/>
    </row>
    <row r="22" spans="1:9" x14ac:dyDescent="0.2">
      <c r="A22" s="306"/>
      <c r="B22" s="124" t="s">
        <v>317</v>
      </c>
      <c r="D22" s="304"/>
      <c r="E22" s="306"/>
    </row>
    <row r="23" spans="1:9" x14ac:dyDescent="0.2">
      <c r="A23" s="306"/>
      <c r="B23" s="124" t="s">
        <v>346</v>
      </c>
      <c r="D23" s="304"/>
      <c r="E23" s="306"/>
    </row>
    <row r="24" spans="1:9" x14ac:dyDescent="0.2">
      <c r="A24" s="306"/>
      <c r="B24" s="124" t="s">
        <v>421</v>
      </c>
      <c r="D24" s="304"/>
    </row>
    <row r="25" spans="1:9" x14ac:dyDescent="0.2">
      <c r="A25" s="306"/>
      <c r="B25" s="124" t="s">
        <v>422</v>
      </c>
      <c r="D25" s="304"/>
    </row>
    <row r="26" spans="1:9" x14ac:dyDescent="0.25">
      <c r="A26" s="306"/>
      <c r="B26" s="112"/>
      <c r="C26" s="112"/>
      <c r="D26" s="311"/>
      <c r="E26" s="112"/>
      <c r="F26" s="312"/>
      <c r="I26" s="112"/>
    </row>
    <row r="27" spans="1:9" x14ac:dyDescent="0.25">
      <c r="A27" s="306"/>
      <c r="B27" s="112" t="str">
        <f>IF(H26="","",IF(CHOOSE(Datenquelle!#REF!,Datenquelle!I27:I37,Datenquelle!J27:J31,Datenquelle!K27:K31,Datenquelle!L27:L30,Datenquelle!M27:M30,Datenquelle!N27:N30,Datenquelle!O27:O30,Datenquelle!P27:P30,Datenquelle!Q27:Q30,Datenquelle!R27:R31,Datenquelle!S27:S30,Datenquelle!T27:T30,Datenquelle!U27:U30,Datenquelle!V27:V30,Datenquelle!W27:W30,Datenquelle!X27:X30,Datenquelle!Y27:Y29,Datenquelle!Z27:Z29,Datenquelle!AA27:AA29)=0,"",CHOOSE(Datenquelle!#REF!,Datenquelle!I27:I37,Datenquelle!J27:J31,Datenquelle!K27:K31,Datenquelle!L27:L30,Datenquelle!M27:M30,Datenquelle!N27:N30,Datenquelle!O27:O30,Datenquelle!P27:P30,Datenquelle!Q27:Q30,Datenquelle!R27:R31,Datenquelle!S27:S30,Datenquelle!T27:T30,Datenquelle!U27:U30,Datenquelle!V27:V30,Datenquelle!W27:W30,Datenquelle!X27:X30,Datenquelle!Y27:Y29,Datenquelle!Z27:Z29,Datenquelle!AA27:AA29)))</f>
        <v/>
      </c>
      <c r="C27" s="112"/>
      <c r="D27" s="311"/>
      <c r="E27" s="112"/>
      <c r="F27" s="312"/>
      <c r="I27" s="112"/>
    </row>
    <row r="28" spans="1:9" x14ac:dyDescent="0.25">
      <c r="A28" s="303" t="s">
        <v>26</v>
      </c>
      <c r="B28" s="124" t="s">
        <v>172</v>
      </c>
      <c r="C28" s="112"/>
      <c r="D28" s="311"/>
      <c r="E28" s="112"/>
      <c r="F28" s="312"/>
    </row>
    <row r="29" spans="1:9" x14ac:dyDescent="0.25">
      <c r="A29" s="306"/>
      <c r="B29" s="124" t="s">
        <v>173</v>
      </c>
      <c r="C29" s="112"/>
      <c r="D29" s="311"/>
      <c r="E29" s="112"/>
      <c r="F29" s="312"/>
    </row>
    <row r="30" spans="1:9" x14ac:dyDescent="0.25">
      <c r="A30" s="306"/>
      <c r="B30" s="112"/>
      <c r="C30" s="112"/>
      <c r="D30" s="311"/>
      <c r="E30" s="112"/>
      <c r="F30" s="312"/>
    </row>
    <row r="31" spans="1:9" x14ac:dyDescent="0.25">
      <c r="A31" s="306"/>
      <c r="D31" s="311"/>
    </row>
    <row r="32" spans="1:9" x14ac:dyDescent="0.25">
      <c r="B32" s="313"/>
      <c r="D32" s="311"/>
    </row>
    <row r="33" spans="1:15" x14ac:dyDescent="0.25">
      <c r="A33" s="314" t="s">
        <v>170</v>
      </c>
      <c r="B33" s="315" t="s">
        <v>349</v>
      </c>
      <c r="D33" s="311"/>
    </row>
    <row r="34" spans="1:15" x14ac:dyDescent="0.25">
      <c r="B34" s="114" t="s">
        <v>274</v>
      </c>
      <c r="D34" s="311"/>
    </row>
    <row r="35" spans="1:15" x14ac:dyDescent="0.25">
      <c r="B35" s="315" t="s">
        <v>275</v>
      </c>
      <c r="D35" s="311"/>
    </row>
    <row r="36" spans="1:15" x14ac:dyDescent="0.25">
      <c r="B36" s="315" t="s">
        <v>276</v>
      </c>
      <c r="D36" s="311"/>
    </row>
    <row r="37" spans="1:15" x14ac:dyDescent="0.25">
      <c r="B37" s="315" t="s">
        <v>100</v>
      </c>
      <c r="D37" s="311"/>
    </row>
    <row r="38" spans="1:15" x14ac:dyDescent="0.25">
      <c r="D38" s="311"/>
    </row>
    <row r="40" spans="1:15" x14ac:dyDescent="0.25">
      <c r="E40" s="367" t="s">
        <v>824</v>
      </c>
    </row>
    <row r="41" spans="1:15" x14ac:dyDescent="0.25">
      <c r="A41" s="115" t="s">
        <v>150</v>
      </c>
      <c r="B41" s="115" t="s">
        <v>246</v>
      </c>
      <c r="C41" s="115" t="s">
        <v>254</v>
      </c>
      <c r="D41" s="115" t="s">
        <v>255</v>
      </c>
      <c r="E41" s="115" t="s">
        <v>151</v>
      </c>
      <c r="F41" s="316" t="s">
        <v>194</v>
      </c>
      <c r="H41" s="57"/>
      <c r="I41" s="57"/>
      <c r="J41" s="57"/>
      <c r="K41" s="57"/>
      <c r="L41" s="57"/>
      <c r="M41" s="57"/>
      <c r="N41" s="57"/>
      <c r="O41" s="57"/>
    </row>
    <row r="42" spans="1:15" x14ac:dyDescent="0.2">
      <c r="A42" s="114" t="str">
        <f>IF('Basic data'!C6="","",'Basic data'!C6)</f>
        <v>Not listed</v>
      </c>
      <c r="B42" s="318" t="str">
        <f>IF($A$42="","",VLOOKUP($A$42,$A$45:$J$49,2,FALSE))</f>
        <v>-----</v>
      </c>
      <c r="C42" s="318" t="str">
        <f>IF($A$42="","",VLOOKUP($A$42,$A$45:$J$49,3,FALSE))</f>
        <v>-----</v>
      </c>
      <c r="D42" s="318" t="str">
        <f>IF($A$42="","",VLOOKUP($A$42,$A$45:$J$49,4,FALSE))</f>
        <v>-----</v>
      </c>
      <c r="E42" s="318" t="str">
        <f>IF($A$42="","",VLOOKUP($A$42,$A$45:$J$49,5,FALSE))</f>
        <v>-----</v>
      </c>
      <c r="F42" s="317" t="str">
        <f>IF($A$42="","",VLOOKUP($A$42,$A$45:$J$49,6,FALSE))</f>
        <v>-----</v>
      </c>
      <c r="H42" s="304"/>
    </row>
    <row r="44" spans="1:15" x14ac:dyDescent="0.25">
      <c r="A44" s="115" t="s">
        <v>150</v>
      </c>
      <c r="B44" s="115" t="s">
        <v>246</v>
      </c>
      <c r="C44" s="115" t="s">
        <v>254</v>
      </c>
      <c r="D44" s="115" t="s">
        <v>255</v>
      </c>
      <c r="E44" s="115" t="s">
        <v>151</v>
      </c>
      <c r="F44" s="316" t="s">
        <v>194</v>
      </c>
    </row>
    <row r="45" spans="1:15" x14ac:dyDescent="0.25">
      <c r="A45" s="114" t="s">
        <v>772</v>
      </c>
      <c r="B45" s="114" t="s">
        <v>773</v>
      </c>
      <c r="C45" s="114" t="s">
        <v>774</v>
      </c>
      <c r="D45" s="114" t="s">
        <v>171</v>
      </c>
      <c r="E45" s="114" t="s">
        <v>171</v>
      </c>
      <c r="F45" s="317">
        <v>38924</v>
      </c>
    </row>
    <row r="46" spans="1:15" x14ac:dyDescent="0.25">
      <c r="A46" s="114" t="s">
        <v>775</v>
      </c>
      <c r="B46" s="114" t="s">
        <v>773</v>
      </c>
      <c r="C46" s="114" t="s">
        <v>776</v>
      </c>
      <c r="D46" s="114" t="s">
        <v>171</v>
      </c>
      <c r="E46" s="114" t="s">
        <v>171</v>
      </c>
      <c r="F46" s="317">
        <v>38924</v>
      </c>
    </row>
    <row r="47" spans="1:15" x14ac:dyDescent="0.25">
      <c r="A47" s="114" t="s">
        <v>777</v>
      </c>
      <c r="B47" s="114" t="s">
        <v>778</v>
      </c>
      <c r="C47" s="114" t="s">
        <v>779</v>
      </c>
      <c r="D47" s="114" t="s">
        <v>780</v>
      </c>
      <c r="E47" s="114" t="s">
        <v>780</v>
      </c>
      <c r="F47" s="317">
        <v>44299</v>
      </c>
    </row>
    <row r="48" spans="1:15" x14ac:dyDescent="0.25">
      <c r="A48" s="114" t="s">
        <v>821</v>
      </c>
      <c r="B48" s="114" t="s">
        <v>822</v>
      </c>
      <c r="C48" s="114" t="s">
        <v>823</v>
      </c>
      <c r="D48" s="114" t="s">
        <v>639</v>
      </c>
      <c r="E48" s="114" t="s">
        <v>639</v>
      </c>
      <c r="F48" s="317">
        <v>45618</v>
      </c>
    </row>
    <row r="49" spans="1:6" x14ac:dyDescent="0.25">
      <c r="A49" s="114" t="s">
        <v>421</v>
      </c>
      <c r="B49" s="318" t="s">
        <v>272</v>
      </c>
      <c r="C49" s="318" t="s">
        <v>272</v>
      </c>
      <c r="D49" s="318" t="s">
        <v>272</v>
      </c>
      <c r="E49" s="318" t="s">
        <v>272</v>
      </c>
      <c r="F49" s="317" t="s">
        <v>272</v>
      </c>
    </row>
    <row r="64" spans="1:6" ht="12" x14ac:dyDescent="0.2">
      <c r="A64" s="387" t="s">
        <v>499</v>
      </c>
    </row>
    <row r="65" spans="1:1" ht="12" x14ac:dyDescent="0.2">
      <c r="A65" s="387" t="s">
        <v>500</v>
      </c>
    </row>
    <row r="66" spans="1:1" ht="12" x14ac:dyDescent="0.2">
      <c r="A66" s="387" t="s">
        <v>501</v>
      </c>
    </row>
    <row r="67" spans="1:1" ht="12" x14ac:dyDescent="0.2">
      <c r="A67" s="387" t="s">
        <v>502</v>
      </c>
    </row>
    <row r="68" spans="1:1" ht="12" x14ac:dyDescent="0.2">
      <c r="A68" s="387" t="s">
        <v>503</v>
      </c>
    </row>
    <row r="69" spans="1:1" ht="12" x14ac:dyDescent="0.2">
      <c r="A69" s="387" t="s">
        <v>504</v>
      </c>
    </row>
    <row r="70" spans="1:1" ht="12" x14ac:dyDescent="0.2">
      <c r="A70" s="387" t="s">
        <v>505</v>
      </c>
    </row>
    <row r="71" spans="1:1" ht="12" x14ac:dyDescent="0.2">
      <c r="A71" s="387" t="s">
        <v>506</v>
      </c>
    </row>
    <row r="72" spans="1:1" ht="12" x14ac:dyDescent="0.2">
      <c r="A72" s="387" t="s">
        <v>507</v>
      </c>
    </row>
    <row r="73" spans="1:1" ht="12" x14ac:dyDescent="0.2">
      <c r="A73" s="387" t="s">
        <v>508</v>
      </c>
    </row>
    <row r="74" spans="1:1" ht="12" x14ac:dyDescent="0.2">
      <c r="A74" s="387" t="s">
        <v>509</v>
      </c>
    </row>
    <row r="75" spans="1:1" ht="12" x14ac:dyDescent="0.2">
      <c r="A75" s="387" t="s">
        <v>510</v>
      </c>
    </row>
    <row r="76" spans="1:1" ht="12" x14ac:dyDescent="0.2">
      <c r="A76" s="387" t="s">
        <v>511</v>
      </c>
    </row>
    <row r="77" spans="1:1" ht="12" x14ac:dyDescent="0.2">
      <c r="A77" s="387" t="s">
        <v>512</v>
      </c>
    </row>
    <row r="78" spans="1:1" ht="12" x14ac:dyDescent="0.2">
      <c r="A78" s="387" t="s">
        <v>513</v>
      </c>
    </row>
    <row r="79" spans="1:1" ht="12" x14ac:dyDescent="0.2">
      <c r="A79" s="387" t="s">
        <v>514</v>
      </c>
    </row>
    <row r="80" spans="1:1" ht="12" x14ac:dyDescent="0.2">
      <c r="A80" s="387" t="s">
        <v>515</v>
      </c>
    </row>
    <row r="81" spans="1:1" ht="12" x14ac:dyDescent="0.2">
      <c r="A81" s="387" t="s">
        <v>516</v>
      </c>
    </row>
    <row r="82" spans="1:1" ht="12" x14ac:dyDescent="0.2">
      <c r="A82" s="387" t="s">
        <v>517</v>
      </c>
    </row>
    <row r="83" spans="1:1" ht="12" x14ac:dyDescent="0.2">
      <c r="A83" s="387" t="s">
        <v>518</v>
      </c>
    </row>
    <row r="84" spans="1:1" ht="12" x14ac:dyDescent="0.2">
      <c r="A84" s="387" t="s">
        <v>519</v>
      </c>
    </row>
    <row r="85" spans="1:1" ht="12" x14ac:dyDescent="0.2">
      <c r="A85" s="387" t="s">
        <v>520</v>
      </c>
    </row>
    <row r="86" spans="1:1" ht="12" x14ac:dyDescent="0.2">
      <c r="A86" s="387" t="s">
        <v>521</v>
      </c>
    </row>
    <row r="87" spans="1:1" ht="12" x14ac:dyDescent="0.2">
      <c r="A87" s="387" t="s">
        <v>522</v>
      </c>
    </row>
    <row r="88" spans="1:1" ht="12" x14ac:dyDescent="0.2">
      <c r="A88" s="387" t="s">
        <v>523</v>
      </c>
    </row>
    <row r="89" spans="1:1" ht="12" x14ac:dyDescent="0.2">
      <c r="A89" s="387" t="s">
        <v>524</v>
      </c>
    </row>
    <row r="90" spans="1:1" ht="12" x14ac:dyDescent="0.2">
      <c r="A90" s="387" t="s">
        <v>525</v>
      </c>
    </row>
    <row r="91" spans="1:1" ht="12" x14ac:dyDescent="0.2">
      <c r="A91" s="387" t="s">
        <v>526</v>
      </c>
    </row>
    <row r="92" spans="1:1" ht="12" x14ac:dyDescent="0.2">
      <c r="A92" s="387" t="s">
        <v>527</v>
      </c>
    </row>
    <row r="93" spans="1:1" ht="12" x14ac:dyDescent="0.2">
      <c r="A93" s="387" t="s">
        <v>528</v>
      </c>
    </row>
    <row r="94" spans="1:1" ht="12" x14ac:dyDescent="0.2">
      <c r="A94" s="387" t="s">
        <v>529</v>
      </c>
    </row>
    <row r="95" spans="1:1" ht="12" x14ac:dyDescent="0.2">
      <c r="A95" s="387" t="s">
        <v>530</v>
      </c>
    </row>
    <row r="96" spans="1:1" ht="12" x14ac:dyDescent="0.2">
      <c r="A96" s="387" t="s">
        <v>531</v>
      </c>
    </row>
    <row r="97" spans="1:1" ht="12" x14ac:dyDescent="0.2">
      <c r="A97" s="387" t="s">
        <v>532</v>
      </c>
    </row>
    <row r="98" spans="1:1" ht="12" x14ac:dyDescent="0.2">
      <c r="A98" s="387" t="s">
        <v>533</v>
      </c>
    </row>
    <row r="99" spans="1:1" ht="12" x14ac:dyDescent="0.2">
      <c r="A99" s="387" t="s">
        <v>534</v>
      </c>
    </row>
    <row r="100" spans="1:1" ht="12" x14ac:dyDescent="0.2">
      <c r="A100" s="387" t="s">
        <v>535</v>
      </c>
    </row>
    <row r="101" spans="1:1" ht="12" x14ac:dyDescent="0.2">
      <c r="A101" s="387" t="s">
        <v>536</v>
      </c>
    </row>
    <row r="102" spans="1:1" ht="12" x14ac:dyDescent="0.2">
      <c r="A102" s="387" t="s">
        <v>537</v>
      </c>
    </row>
    <row r="103" spans="1:1" ht="12" x14ac:dyDescent="0.2">
      <c r="A103" s="387" t="s">
        <v>538</v>
      </c>
    </row>
    <row r="104" spans="1:1" ht="12" x14ac:dyDescent="0.2">
      <c r="A104" s="387" t="s">
        <v>539</v>
      </c>
    </row>
    <row r="105" spans="1:1" ht="12" x14ac:dyDescent="0.2">
      <c r="A105" s="387" t="s">
        <v>540</v>
      </c>
    </row>
    <row r="106" spans="1:1" ht="12" x14ac:dyDescent="0.2">
      <c r="A106" s="387" t="s">
        <v>541</v>
      </c>
    </row>
    <row r="107" spans="1:1" ht="12" x14ac:dyDescent="0.2">
      <c r="A107" s="387" t="s">
        <v>542</v>
      </c>
    </row>
    <row r="108" spans="1:1" ht="12" x14ac:dyDescent="0.2">
      <c r="A108" s="387" t="s">
        <v>543</v>
      </c>
    </row>
    <row r="109" spans="1:1" ht="12" x14ac:dyDescent="0.2">
      <c r="A109" s="387" t="s">
        <v>544</v>
      </c>
    </row>
    <row r="110" spans="1:1" ht="12" x14ac:dyDescent="0.2">
      <c r="A110" s="387" t="s">
        <v>545</v>
      </c>
    </row>
    <row r="111" spans="1:1" ht="12" x14ac:dyDescent="0.2">
      <c r="A111" s="387" t="s">
        <v>546</v>
      </c>
    </row>
    <row r="112" spans="1:1" ht="12" x14ac:dyDescent="0.2">
      <c r="A112" s="387" t="s">
        <v>547</v>
      </c>
    </row>
    <row r="113" spans="1:1" ht="12" x14ac:dyDescent="0.2">
      <c r="A113" s="387" t="s">
        <v>548</v>
      </c>
    </row>
    <row r="114" spans="1:1" ht="12" x14ac:dyDescent="0.2">
      <c r="A114" s="387" t="s">
        <v>549</v>
      </c>
    </row>
    <row r="115" spans="1:1" ht="12" x14ac:dyDescent="0.2">
      <c r="A115" s="387" t="s">
        <v>550</v>
      </c>
    </row>
    <row r="116" spans="1:1" ht="12" x14ac:dyDescent="0.2">
      <c r="A116" s="387" t="s">
        <v>551</v>
      </c>
    </row>
    <row r="117" spans="1:1" ht="12" x14ac:dyDescent="0.2">
      <c r="A117" s="387" t="s">
        <v>552</v>
      </c>
    </row>
    <row r="118" spans="1:1" ht="12" x14ac:dyDescent="0.2">
      <c r="A118" s="387" t="s">
        <v>553</v>
      </c>
    </row>
    <row r="119" spans="1:1" ht="12" x14ac:dyDescent="0.2">
      <c r="A119" s="387" t="s">
        <v>554</v>
      </c>
    </row>
    <row r="120" spans="1:1" ht="12" x14ac:dyDescent="0.2">
      <c r="A120" s="387" t="s">
        <v>555</v>
      </c>
    </row>
    <row r="121" spans="1:1" ht="12" x14ac:dyDescent="0.2">
      <c r="A121" s="387" t="s">
        <v>556</v>
      </c>
    </row>
    <row r="122" spans="1:1" ht="12" x14ac:dyDescent="0.2">
      <c r="A122" s="387" t="s">
        <v>557</v>
      </c>
    </row>
    <row r="123" spans="1:1" ht="12" x14ac:dyDescent="0.2">
      <c r="A123" s="387" t="s">
        <v>558</v>
      </c>
    </row>
    <row r="124" spans="1:1" ht="12" x14ac:dyDescent="0.2">
      <c r="A124" s="387" t="s">
        <v>559</v>
      </c>
    </row>
    <row r="125" spans="1:1" ht="12" x14ac:dyDescent="0.2">
      <c r="A125" s="387" t="s">
        <v>560</v>
      </c>
    </row>
    <row r="126" spans="1:1" ht="12" x14ac:dyDescent="0.2">
      <c r="A126" s="387" t="s">
        <v>561</v>
      </c>
    </row>
    <row r="127" spans="1:1" ht="12" x14ac:dyDescent="0.2">
      <c r="A127" s="387" t="s">
        <v>562</v>
      </c>
    </row>
    <row r="128" spans="1:1" ht="12" x14ac:dyDescent="0.2">
      <c r="A128" s="387" t="s">
        <v>563</v>
      </c>
    </row>
    <row r="129" spans="1:1" ht="12" x14ac:dyDescent="0.2">
      <c r="A129" s="387" t="s">
        <v>564</v>
      </c>
    </row>
    <row r="130" spans="1:1" ht="12" x14ac:dyDescent="0.2">
      <c r="A130" s="387" t="s">
        <v>565</v>
      </c>
    </row>
    <row r="131" spans="1:1" ht="12" x14ac:dyDescent="0.2">
      <c r="A131" s="387" t="s">
        <v>566</v>
      </c>
    </row>
    <row r="132" spans="1:1" ht="12" x14ac:dyDescent="0.2">
      <c r="A132" s="387" t="s">
        <v>567</v>
      </c>
    </row>
    <row r="133" spans="1:1" ht="12" x14ac:dyDescent="0.2">
      <c r="A133" s="387" t="s">
        <v>568</v>
      </c>
    </row>
    <row r="134" spans="1:1" ht="12" x14ac:dyDescent="0.2">
      <c r="A134" s="387" t="s">
        <v>569</v>
      </c>
    </row>
    <row r="135" spans="1:1" ht="12" x14ac:dyDescent="0.2">
      <c r="A135" s="387" t="s">
        <v>570</v>
      </c>
    </row>
    <row r="136" spans="1:1" ht="12" x14ac:dyDescent="0.2">
      <c r="A136" s="387" t="s">
        <v>571</v>
      </c>
    </row>
    <row r="137" spans="1:1" ht="12" x14ac:dyDescent="0.2">
      <c r="A137" s="387" t="s">
        <v>572</v>
      </c>
    </row>
    <row r="138" spans="1:1" ht="12" x14ac:dyDescent="0.2">
      <c r="A138" s="387" t="s">
        <v>573</v>
      </c>
    </row>
    <row r="139" spans="1:1" ht="12" x14ac:dyDescent="0.2">
      <c r="A139" s="387" t="s">
        <v>574</v>
      </c>
    </row>
    <row r="140" spans="1:1" ht="12" x14ac:dyDescent="0.2">
      <c r="A140" s="387" t="s">
        <v>575</v>
      </c>
    </row>
    <row r="141" spans="1:1" ht="12" x14ac:dyDescent="0.2">
      <c r="A141" s="387" t="s">
        <v>576</v>
      </c>
    </row>
    <row r="142" spans="1:1" ht="12" x14ac:dyDescent="0.2">
      <c r="A142" s="387" t="s">
        <v>577</v>
      </c>
    </row>
    <row r="143" spans="1:1" ht="12" x14ac:dyDescent="0.2">
      <c r="A143" s="387" t="s">
        <v>578</v>
      </c>
    </row>
    <row r="144" spans="1:1" ht="12" x14ac:dyDescent="0.2">
      <c r="A144" s="387" t="s">
        <v>579</v>
      </c>
    </row>
    <row r="145" spans="1:1" ht="12" x14ac:dyDescent="0.2">
      <c r="A145" s="387" t="s">
        <v>580</v>
      </c>
    </row>
    <row r="146" spans="1:1" ht="12" x14ac:dyDescent="0.2">
      <c r="A146" s="387" t="s">
        <v>581</v>
      </c>
    </row>
    <row r="147" spans="1:1" ht="12" x14ac:dyDescent="0.2">
      <c r="A147" s="387" t="s">
        <v>582</v>
      </c>
    </row>
    <row r="148" spans="1:1" ht="12" x14ac:dyDescent="0.2">
      <c r="A148" s="387" t="s">
        <v>583</v>
      </c>
    </row>
    <row r="149" spans="1:1" ht="12" x14ac:dyDescent="0.2">
      <c r="A149" s="387" t="s">
        <v>584</v>
      </c>
    </row>
    <row r="150" spans="1:1" ht="12" x14ac:dyDescent="0.2">
      <c r="A150" s="387" t="s">
        <v>585</v>
      </c>
    </row>
    <row r="151" spans="1:1" ht="12" x14ac:dyDescent="0.2">
      <c r="A151" s="387" t="s">
        <v>586</v>
      </c>
    </row>
    <row r="152" spans="1:1" ht="12" x14ac:dyDescent="0.2">
      <c r="A152" s="387" t="s">
        <v>587</v>
      </c>
    </row>
    <row r="153" spans="1:1" ht="12" x14ac:dyDescent="0.2">
      <c r="A153" s="387" t="s">
        <v>588</v>
      </c>
    </row>
    <row r="154" spans="1:1" ht="12" x14ac:dyDescent="0.2">
      <c r="A154" s="387" t="s">
        <v>589</v>
      </c>
    </row>
    <row r="155" spans="1:1" ht="12" x14ac:dyDescent="0.2">
      <c r="A155" s="387" t="s">
        <v>590</v>
      </c>
    </row>
    <row r="156" spans="1:1" ht="12" x14ac:dyDescent="0.2">
      <c r="A156" s="387" t="s">
        <v>591</v>
      </c>
    </row>
    <row r="157" spans="1:1" ht="12" x14ac:dyDescent="0.2">
      <c r="A157" s="387" t="s">
        <v>592</v>
      </c>
    </row>
    <row r="158" spans="1:1" ht="12" x14ac:dyDescent="0.2">
      <c r="A158" s="387" t="s">
        <v>593</v>
      </c>
    </row>
    <row r="159" spans="1:1" ht="12" x14ac:dyDescent="0.2">
      <c r="A159" s="387" t="s">
        <v>594</v>
      </c>
    </row>
    <row r="160" spans="1:1" ht="12" x14ac:dyDescent="0.2">
      <c r="A160" s="387" t="s">
        <v>595</v>
      </c>
    </row>
    <row r="161" spans="1:1" ht="12" x14ac:dyDescent="0.2">
      <c r="A161" s="387" t="s">
        <v>596</v>
      </c>
    </row>
    <row r="162" spans="1:1" ht="12" x14ac:dyDescent="0.2">
      <c r="A162" s="387" t="s">
        <v>597</v>
      </c>
    </row>
    <row r="163" spans="1:1" ht="12" x14ac:dyDescent="0.2">
      <c r="A163" s="387" t="s">
        <v>598</v>
      </c>
    </row>
    <row r="164" spans="1:1" ht="12" x14ac:dyDescent="0.2">
      <c r="A164" s="387" t="s">
        <v>599</v>
      </c>
    </row>
    <row r="165" spans="1:1" ht="12" x14ac:dyDescent="0.2">
      <c r="A165" s="387" t="s">
        <v>600</v>
      </c>
    </row>
    <row r="166" spans="1:1" ht="12" x14ac:dyDescent="0.2">
      <c r="A166" s="387" t="s">
        <v>601</v>
      </c>
    </row>
    <row r="167" spans="1:1" ht="12" x14ac:dyDescent="0.2">
      <c r="A167" s="387" t="s">
        <v>602</v>
      </c>
    </row>
    <row r="168" spans="1:1" ht="12" x14ac:dyDescent="0.2">
      <c r="A168" s="387" t="s">
        <v>603</v>
      </c>
    </row>
    <row r="169" spans="1:1" ht="12" x14ac:dyDescent="0.2">
      <c r="A169" s="387" t="s">
        <v>604</v>
      </c>
    </row>
    <row r="170" spans="1:1" ht="12" x14ac:dyDescent="0.2">
      <c r="A170" s="387" t="s">
        <v>605</v>
      </c>
    </row>
    <row r="171" spans="1:1" ht="12" x14ac:dyDescent="0.2">
      <c r="A171" s="387" t="s">
        <v>606</v>
      </c>
    </row>
    <row r="172" spans="1:1" ht="12" x14ac:dyDescent="0.2">
      <c r="A172" s="387" t="s">
        <v>607</v>
      </c>
    </row>
    <row r="173" spans="1:1" ht="12" x14ac:dyDescent="0.2">
      <c r="A173" s="387" t="s">
        <v>608</v>
      </c>
    </row>
    <row r="174" spans="1:1" ht="12" x14ac:dyDescent="0.2">
      <c r="A174" s="387" t="s">
        <v>609</v>
      </c>
    </row>
    <row r="175" spans="1:1" ht="12" x14ac:dyDescent="0.2">
      <c r="A175" s="387" t="s">
        <v>610</v>
      </c>
    </row>
    <row r="176" spans="1:1" ht="12" x14ac:dyDescent="0.2">
      <c r="A176" s="387" t="s">
        <v>611</v>
      </c>
    </row>
    <row r="177" spans="1:1" ht="12" x14ac:dyDescent="0.2">
      <c r="A177" s="387" t="s">
        <v>612</v>
      </c>
    </row>
    <row r="178" spans="1:1" ht="12" x14ac:dyDescent="0.2">
      <c r="A178" s="387" t="s">
        <v>613</v>
      </c>
    </row>
    <row r="179" spans="1:1" ht="12" x14ac:dyDescent="0.2">
      <c r="A179" s="387" t="s">
        <v>614</v>
      </c>
    </row>
    <row r="180" spans="1:1" ht="12" x14ac:dyDescent="0.2">
      <c r="A180" s="387" t="s">
        <v>615</v>
      </c>
    </row>
    <row r="181" spans="1:1" ht="12" x14ac:dyDescent="0.2">
      <c r="A181" s="387" t="s">
        <v>616</v>
      </c>
    </row>
    <row r="182" spans="1:1" ht="12" x14ac:dyDescent="0.2">
      <c r="A182" s="387" t="s">
        <v>617</v>
      </c>
    </row>
    <row r="183" spans="1:1" ht="12" x14ac:dyDescent="0.2">
      <c r="A183" s="387" t="s">
        <v>618</v>
      </c>
    </row>
    <row r="184" spans="1:1" ht="12" x14ac:dyDescent="0.2">
      <c r="A184" s="387" t="s">
        <v>619</v>
      </c>
    </row>
    <row r="185" spans="1:1" ht="12" x14ac:dyDescent="0.2">
      <c r="A185" s="387" t="s">
        <v>620</v>
      </c>
    </row>
    <row r="186" spans="1:1" ht="12" x14ac:dyDescent="0.2">
      <c r="A186" s="387" t="s">
        <v>621</v>
      </c>
    </row>
    <row r="187" spans="1:1" ht="12" x14ac:dyDescent="0.2">
      <c r="A187" s="387" t="s">
        <v>622</v>
      </c>
    </row>
    <row r="188" spans="1:1" ht="12" x14ac:dyDescent="0.2">
      <c r="A188" s="387" t="s">
        <v>623</v>
      </c>
    </row>
    <row r="189" spans="1:1" ht="12" x14ac:dyDescent="0.2">
      <c r="A189" s="387" t="s">
        <v>624</v>
      </c>
    </row>
    <row r="190" spans="1:1" ht="12" x14ac:dyDescent="0.2">
      <c r="A190" s="387" t="s">
        <v>625</v>
      </c>
    </row>
    <row r="191" spans="1:1" ht="12" x14ac:dyDescent="0.2">
      <c r="A191" s="387" t="s">
        <v>626</v>
      </c>
    </row>
    <row r="192" spans="1:1" ht="12" x14ac:dyDescent="0.2">
      <c r="A192" s="387" t="s">
        <v>627</v>
      </c>
    </row>
    <row r="193" spans="1:1" ht="12" x14ac:dyDescent="0.2">
      <c r="A193" s="387" t="s">
        <v>628</v>
      </c>
    </row>
    <row r="194" spans="1:1" ht="12" x14ac:dyDescent="0.2">
      <c r="A194" s="387" t="s">
        <v>629</v>
      </c>
    </row>
    <row r="195" spans="1:1" ht="12" x14ac:dyDescent="0.2">
      <c r="A195" s="387" t="s">
        <v>630</v>
      </c>
    </row>
    <row r="196" spans="1:1" ht="12" x14ac:dyDescent="0.2">
      <c r="A196" s="387" t="s">
        <v>631</v>
      </c>
    </row>
    <row r="197" spans="1:1" ht="12" x14ac:dyDescent="0.2">
      <c r="A197" s="387" t="s">
        <v>632</v>
      </c>
    </row>
    <row r="198" spans="1:1" ht="12" x14ac:dyDescent="0.2">
      <c r="A198" s="387" t="s">
        <v>633</v>
      </c>
    </row>
    <row r="199" spans="1:1" ht="12" x14ac:dyDescent="0.2">
      <c r="A199" s="387" t="s">
        <v>634</v>
      </c>
    </row>
    <row r="200" spans="1:1" ht="12" x14ac:dyDescent="0.2">
      <c r="A200" s="387" t="s">
        <v>635</v>
      </c>
    </row>
    <row r="201" spans="1:1" ht="12" x14ac:dyDescent="0.2">
      <c r="A201" s="387" t="s">
        <v>636</v>
      </c>
    </row>
    <row r="202" spans="1:1" ht="12" x14ac:dyDescent="0.2">
      <c r="A202" s="387" t="s">
        <v>637</v>
      </c>
    </row>
    <row r="203" spans="1:1" ht="12" x14ac:dyDescent="0.2">
      <c r="A203" s="387" t="s">
        <v>638</v>
      </c>
    </row>
    <row r="204" spans="1:1" ht="12" x14ac:dyDescent="0.2">
      <c r="A204" s="387" t="s">
        <v>639</v>
      </c>
    </row>
    <row r="205" spans="1:1" ht="12" x14ac:dyDescent="0.2">
      <c r="A205" s="387" t="s">
        <v>640</v>
      </c>
    </row>
    <row r="206" spans="1:1" ht="12" x14ac:dyDescent="0.2">
      <c r="A206" s="387" t="s">
        <v>641</v>
      </c>
    </row>
    <row r="207" spans="1:1" ht="12" x14ac:dyDescent="0.2">
      <c r="A207" s="387" t="s">
        <v>642</v>
      </c>
    </row>
    <row r="208" spans="1:1" ht="12" x14ac:dyDescent="0.2">
      <c r="A208" s="387" t="s">
        <v>643</v>
      </c>
    </row>
    <row r="209" spans="1:1" ht="12" x14ac:dyDescent="0.2">
      <c r="A209" s="387" t="s">
        <v>644</v>
      </c>
    </row>
    <row r="210" spans="1:1" ht="12" x14ac:dyDescent="0.2">
      <c r="A210" s="387" t="s">
        <v>645</v>
      </c>
    </row>
    <row r="211" spans="1:1" ht="12" x14ac:dyDescent="0.2">
      <c r="A211" s="387" t="s">
        <v>646</v>
      </c>
    </row>
    <row r="212" spans="1:1" ht="12" x14ac:dyDescent="0.2">
      <c r="A212" s="387" t="s">
        <v>647</v>
      </c>
    </row>
    <row r="213" spans="1:1" ht="12" x14ac:dyDescent="0.2">
      <c r="A213" s="387" t="s">
        <v>648</v>
      </c>
    </row>
    <row r="214" spans="1:1" ht="12" x14ac:dyDescent="0.2">
      <c r="A214" s="387" t="s">
        <v>649</v>
      </c>
    </row>
    <row r="215" spans="1:1" ht="12" x14ac:dyDescent="0.2">
      <c r="A215" s="387" t="s">
        <v>650</v>
      </c>
    </row>
    <row r="216" spans="1:1" ht="12" x14ac:dyDescent="0.2">
      <c r="A216" s="387" t="s">
        <v>651</v>
      </c>
    </row>
    <row r="217" spans="1:1" ht="12" x14ac:dyDescent="0.2">
      <c r="A217" s="387" t="s">
        <v>652</v>
      </c>
    </row>
    <row r="218" spans="1:1" ht="12" x14ac:dyDescent="0.2">
      <c r="A218" s="387" t="s">
        <v>653</v>
      </c>
    </row>
    <row r="219" spans="1:1" ht="12" x14ac:dyDescent="0.2">
      <c r="A219" s="387" t="s">
        <v>654</v>
      </c>
    </row>
    <row r="220" spans="1:1" ht="12" x14ac:dyDescent="0.2">
      <c r="A220" s="387" t="s">
        <v>655</v>
      </c>
    </row>
    <row r="221" spans="1:1" ht="12" x14ac:dyDescent="0.2">
      <c r="A221" s="387" t="s">
        <v>656</v>
      </c>
    </row>
    <row r="222" spans="1:1" ht="12" x14ac:dyDescent="0.2">
      <c r="A222" s="387" t="s">
        <v>657</v>
      </c>
    </row>
    <row r="223" spans="1:1" ht="12" x14ac:dyDescent="0.2">
      <c r="A223" s="387" t="s">
        <v>658</v>
      </c>
    </row>
    <row r="224" spans="1:1" ht="12" x14ac:dyDescent="0.2">
      <c r="A224" s="387" t="s">
        <v>659</v>
      </c>
    </row>
    <row r="225" spans="1:1" ht="12" x14ac:dyDescent="0.2">
      <c r="A225" s="387" t="s">
        <v>660</v>
      </c>
    </row>
    <row r="226" spans="1:1" ht="12" x14ac:dyDescent="0.2">
      <c r="A226" s="387" t="s">
        <v>661</v>
      </c>
    </row>
    <row r="227" spans="1:1" ht="12" x14ac:dyDescent="0.2">
      <c r="A227" s="387" t="s">
        <v>662</v>
      </c>
    </row>
    <row r="228" spans="1:1" ht="12" x14ac:dyDescent="0.2">
      <c r="A228" s="387" t="s">
        <v>663</v>
      </c>
    </row>
    <row r="229" spans="1:1" ht="12" x14ac:dyDescent="0.2">
      <c r="A229" s="387" t="s">
        <v>664</v>
      </c>
    </row>
    <row r="230" spans="1:1" ht="12" x14ac:dyDescent="0.2">
      <c r="A230" s="387" t="s">
        <v>665</v>
      </c>
    </row>
    <row r="231" spans="1:1" ht="12" x14ac:dyDescent="0.2">
      <c r="A231" s="387" t="s">
        <v>666</v>
      </c>
    </row>
    <row r="232" spans="1:1" ht="12" x14ac:dyDescent="0.2">
      <c r="A232" s="387" t="s">
        <v>667</v>
      </c>
    </row>
    <row r="233" spans="1:1" ht="12" x14ac:dyDescent="0.2">
      <c r="A233" s="387" t="s">
        <v>668</v>
      </c>
    </row>
    <row r="234" spans="1:1" ht="12" x14ac:dyDescent="0.2">
      <c r="A234" s="387" t="s">
        <v>669</v>
      </c>
    </row>
    <row r="235" spans="1:1" ht="12" x14ac:dyDescent="0.2">
      <c r="A235" s="387" t="s">
        <v>670</v>
      </c>
    </row>
    <row r="236" spans="1:1" ht="12" x14ac:dyDescent="0.2">
      <c r="A236" s="387" t="s">
        <v>671</v>
      </c>
    </row>
    <row r="237" spans="1:1" ht="12" x14ac:dyDescent="0.2">
      <c r="A237" s="387" t="s">
        <v>672</v>
      </c>
    </row>
    <row r="238" spans="1:1" ht="12" x14ac:dyDescent="0.2">
      <c r="A238" s="387" t="s">
        <v>673</v>
      </c>
    </row>
    <row r="239" spans="1:1" ht="12" x14ac:dyDescent="0.2">
      <c r="A239" s="387" t="s">
        <v>674</v>
      </c>
    </row>
    <row r="240" spans="1:1" ht="12" x14ac:dyDescent="0.2">
      <c r="A240" s="387" t="s">
        <v>675</v>
      </c>
    </row>
    <row r="241" spans="1:1" ht="12" x14ac:dyDescent="0.2">
      <c r="A241" s="387" t="s">
        <v>676</v>
      </c>
    </row>
    <row r="242" spans="1:1" ht="12" x14ac:dyDescent="0.2">
      <c r="A242" s="387" t="s">
        <v>677</v>
      </c>
    </row>
    <row r="243" spans="1:1" ht="12" x14ac:dyDescent="0.2">
      <c r="A243" s="387" t="s">
        <v>678</v>
      </c>
    </row>
    <row r="244" spans="1:1" ht="12" x14ac:dyDescent="0.2">
      <c r="A244" s="387" t="s">
        <v>679</v>
      </c>
    </row>
    <row r="245" spans="1:1" ht="12" x14ac:dyDescent="0.2">
      <c r="A245" s="387" t="s">
        <v>680</v>
      </c>
    </row>
    <row r="246" spans="1:1" ht="12" x14ac:dyDescent="0.2">
      <c r="A246" s="387" t="s">
        <v>681</v>
      </c>
    </row>
    <row r="247" spans="1:1" ht="12" x14ac:dyDescent="0.2">
      <c r="A247" s="387" t="s">
        <v>682</v>
      </c>
    </row>
    <row r="248" spans="1:1" ht="12" x14ac:dyDescent="0.2">
      <c r="A248" s="387" t="s">
        <v>683</v>
      </c>
    </row>
    <row r="249" spans="1:1" ht="12" x14ac:dyDescent="0.2">
      <c r="A249" s="387" t="s">
        <v>684</v>
      </c>
    </row>
    <row r="250" spans="1:1" ht="12" x14ac:dyDescent="0.2">
      <c r="A250" s="387" t="s">
        <v>685</v>
      </c>
    </row>
    <row r="251" spans="1:1" ht="12" x14ac:dyDescent="0.2">
      <c r="A251" s="387" t="s">
        <v>686</v>
      </c>
    </row>
    <row r="252" spans="1:1" ht="12" x14ac:dyDescent="0.2">
      <c r="A252" s="387" t="s">
        <v>687</v>
      </c>
    </row>
    <row r="253" spans="1:1" ht="12" x14ac:dyDescent="0.2">
      <c r="A253" s="387" t="s">
        <v>688</v>
      </c>
    </row>
    <row r="254" spans="1:1" ht="12" x14ac:dyDescent="0.2">
      <c r="A254" s="387" t="s">
        <v>689</v>
      </c>
    </row>
    <row r="255" spans="1:1" ht="12" x14ac:dyDescent="0.2">
      <c r="A255" s="387" t="s">
        <v>690</v>
      </c>
    </row>
    <row r="256" spans="1:1" ht="12" x14ac:dyDescent="0.2">
      <c r="A256" s="387" t="s">
        <v>691</v>
      </c>
    </row>
    <row r="257" spans="1:1" ht="12" x14ac:dyDescent="0.2">
      <c r="A257" s="387" t="s">
        <v>692</v>
      </c>
    </row>
    <row r="258" spans="1:1" ht="12" x14ac:dyDescent="0.2">
      <c r="A258" s="387" t="s">
        <v>693</v>
      </c>
    </row>
    <row r="259" spans="1:1" ht="12" x14ac:dyDescent="0.2">
      <c r="A259" s="387" t="s">
        <v>694</v>
      </c>
    </row>
  </sheetData>
  <autoFilter ref="A41:F42" xr:uid="{00000000-0009-0000-0000-000004000000}"/>
  <phoneticPr fontId="33" type="noConversion"/>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F51FE-F29C-4B62-8729-64F8FC7D9BC3}">
  <sheetPr>
    <pageSetUpPr fitToPage="1"/>
  </sheetPr>
  <dimension ref="A1:K60"/>
  <sheetViews>
    <sheetView showGridLines="0" zoomScaleNormal="100" workbookViewId="0">
      <pane ySplit="10" topLeftCell="A11" activePane="bottomLeft" state="frozen"/>
      <selection pane="bottomLeft" activeCell="A11" sqref="A11"/>
    </sheetView>
  </sheetViews>
  <sheetFormatPr defaultColWidth="9.140625" defaultRowHeight="15" x14ac:dyDescent="0.25"/>
  <cols>
    <col min="1" max="1" width="46.7109375" customWidth="1"/>
    <col min="2" max="2" width="45.7109375" customWidth="1"/>
    <col min="3" max="5" width="21.28515625" customWidth="1"/>
    <col min="9" max="11" width="9.140625" style="483" hidden="1" customWidth="1"/>
  </cols>
  <sheetData>
    <row r="1" spans="1:11" ht="7.5" customHeight="1" x14ac:dyDescent="0.25"/>
    <row r="2" spans="1:11" x14ac:dyDescent="0.25">
      <c r="A2" s="428" t="str">
        <f>'Basic data'!A2</f>
        <v>Annex CR Version N1.1 (Audit year 2026 / Indicator year 2025)</v>
      </c>
    </row>
    <row r="3" spans="1:11" ht="15.75" x14ac:dyDescent="0.25">
      <c r="A3" s="484" t="s">
        <v>799</v>
      </c>
    </row>
    <row r="4" spans="1:11" ht="15.95" customHeight="1" thickBot="1" x14ac:dyDescent="0.3"/>
    <row r="5" spans="1:11" ht="18" customHeight="1" thickBot="1" x14ac:dyDescent="0.3">
      <c r="D5" s="485" t="s">
        <v>831</v>
      </c>
      <c r="E5" s="486">
        <f>SUM(K11:K60)</f>
        <v>0</v>
      </c>
    </row>
    <row r="7" spans="1:11" ht="35.25" customHeight="1" x14ac:dyDescent="0.25">
      <c r="A7" s="590" t="s">
        <v>834</v>
      </c>
      <c r="B7" s="591"/>
      <c r="C7" s="591"/>
      <c r="D7" s="591"/>
      <c r="E7" s="591"/>
    </row>
    <row r="8" spans="1:11" ht="8.25" customHeight="1" thickBot="1" x14ac:dyDescent="0.3"/>
    <row r="9" spans="1:11" ht="18.75" customHeight="1" x14ac:dyDescent="0.25">
      <c r="A9" s="592" t="s">
        <v>800</v>
      </c>
      <c r="B9" s="594" t="s">
        <v>801</v>
      </c>
      <c r="C9" s="594" t="s">
        <v>832</v>
      </c>
      <c r="D9" s="594"/>
      <c r="E9" s="596"/>
    </row>
    <row r="10" spans="1:11" ht="51.75" customHeight="1" thickBot="1" x14ac:dyDescent="0.3">
      <c r="A10" s="593"/>
      <c r="B10" s="595"/>
      <c r="C10" s="487" t="s">
        <v>833</v>
      </c>
      <c r="D10" s="487" t="s">
        <v>835</v>
      </c>
      <c r="E10" s="488" t="s">
        <v>836</v>
      </c>
    </row>
    <row r="11" spans="1:11" ht="26.1" customHeight="1" x14ac:dyDescent="0.25">
      <c r="A11" s="451"/>
      <c r="B11" s="489"/>
      <c r="C11" s="490"/>
      <c r="D11" s="490"/>
      <c r="E11" s="491"/>
      <c r="I11" s="483">
        <f>IF(A11&lt;&gt;"",1,0)</f>
        <v>0</v>
      </c>
      <c r="J11" s="483">
        <f>IF(B11&lt;&gt;"",1,0)</f>
        <v>0</v>
      </c>
      <c r="K11" s="483" t="str">
        <f>IF(AND(SUM($C$11:$C$60)&gt;=1,SUM(I11:J11)=2),SUM(C11:E11),"")</f>
        <v/>
      </c>
    </row>
    <row r="12" spans="1:11" ht="26.1" customHeight="1" x14ac:dyDescent="0.25">
      <c r="A12" s="451"/>
      <c r="B12" s="489"/>
      <c r="C12" s="490"/>
      <c r="D12" s="490"/>
      <c r="E12" s="491"/>
      <c r="I12" s="483">
        <f t="shared" ref="I12:J60" si="0">IF(A12&lt;&gt;"",1,0)</f>
        <v>0</v>
      </c>
      <c r="J12" s="483">
        <f t="shared" si="0"/>
        <v>0</v>
      </c>
      <c r="K12" s="483" t="str">
        <f t="shared" ref="K12:K60" si="1">IF(AND(SUM($C$11:$C$60)&gt;=1,SUM(I12:J12)=2),SUM(C12:E12),"")</f>
        <v/>
      </c>
    </row>
    <row r="13" spans="1:11" ht="26.1" customHeight="1" x14ac:dyDescent="0.25">
      <c r="A13" s="451"/>
      <c r="B13" s="489"/>
      <c r="C13" s="490"/>
      <c r="D13" s="490"/>
      <c r="E13" s="491"/>
      <c r="I13" s="483">
        <f t="shared" si="0"/>
        <v>0</v>
      </c>
      <c r="J13" s="483">
        <f t="shared" si="0"/>
        <v>0</v>
      </c>
      <c r="K13" s="483" t="str">
        <f t="shared" si="1"/>
        <v/>
      </c>
    </row>
    <row r="14" spans="1:11" ht="26.1" customHeight="1" x14ac:dyDescent="0.25">
      <c r="A14" s="451"/>
      <c r="B14" s="489"/>
      <c r="C14" s="490"/>
      <c r="D14" s="490"/>
      <c r="E14" s="491"/>
      <c r="I14" s="483">
        <f t="shared" si="0"/>
        <v>0</v>
      </c>
      <c r="J14" s="483">
        <f t="shared" si="0"/>
        <v>0</v>
      </c>
      <c r="K14" s="483" t="str">
        <f t="shared" si="1"/>
        <v/>
      </c>
    </row>
    <row r="15" spans="1:11" ht="26.1" customHeight="1" x14ac:dyDescent="0.25">
      <c r="A15" s="451"/>
      <c r="B15" s="489"/>
      <c r="C15" s="490"/>
      <c r="D15" s="490"/>
      <c r="E15" s="491"/>
      <c r="I15" s="483">
        <f t="shared" si="0"/>
        <v>0</v>
      </c>
      <c r="J15" s="483">
        <f t="shared" si="0"/>
        <v>0</v>
      </c>
      <c r="K15" s="483" t="str">
        <f t="shared" si="1"/>
        <v/>
      </c>
    </row>
    <row r="16" spans="1:11" ht="26.1" customHeight="1" x14ac:dyDescent="0.25">
      <c r="A16" s="451"/>
      <c r="B16" s="489"/>
      <c r="C16" s="490"/>
      <c r="D16" s="490"/>
      <c r="E16" s="491"/>
      <c r="I16" s="483">
        <f t="shared" si="0"/>
        <v>0</v>
      </c>
      <c r="J16" s="483">
        <f t="shared" si="0"/>
        <v>0</v>
      </c>
      <c r="K16" s="483" t="str">
        <f t="shared" si="1"/>
        <v/>
      </c>
    </row>
    <row r="17" spans="1:11" ht="26.1" customHeight="1" x14ac:dyDescent="0.25">
      <c r="A17" s="451"/>
      <c r="B17" s="489"/>
      <c r="C17" s="490"/>
      <c r="D17" s="490"/>
      <c r="E17" s="491"/>
      <c r="I17" s="483">
        <f t="shared" si="0"/>
        <v>0</v>
      </c>
      <c r="J17" s="483">
        <f t="shared" si="0"/>
        <v>0</v>
      </c>
      <c r="K17" s="483" t="str">
        <f t="shared" si="1"/>
        <v/>
      </c>
    </row>
    <row r="18" spans="1:11" ht="26.1" customHeight="1" x14ac:dyDescent="0.25">
      <c r="A18" s="451"/>
      <c r="B18" s="489"/>
      <c r="C18" s="490"/>
      <c r="D18" s="490"/>
      <c r="E18" s="491"/>
      <c r="I18" s="483">
        <f t="shared" si="0"/>
        <v>0</v>
      </c>
      <c r="J18" s="483">
        <f t="shared" si="0"/>
        <v>0</v>
      </c>
      <c r="K18" s="483" t="str">
        <f t="shared" si="1"/>
        <v/>
      </c>
    </row>
    <row r="19" spans="1:11" ht="26.1" customHeight="1" x14ac:dyDescent="0.25">
      <c r="A19" s="451"/>
      <c r="B19" s="489"/>
      <c r="C19" s="490"/>
      <c r="D19" s="490"/>
      <c r="E19" s="491"/>
      <c r="I19" s="483">
        <f t="shared" si="0"/>
        <v>0</v>
      </c>
      <c r="J19" s="483">
        <f t="shared" si="0"/>
        <v>0</v>
      </c>
      <c r="K19" s="483" t="str">
        <f t="shared" si="1"/>
        <v/>
      </c>
    </row>
    <row r="20" spans="1:11" ht="26.1" customHeight="1" x14ac:dyDescent="0.25">
      <c r="A20" s="451"/>
      <c r="B20" s="489"/>
      <c r="C20" s="490"/>
      <c r="D20" s="490"/>
      <c r="E20" s="491"/>
      <c r="I20" s="483">
        <f t="shared" si="0"/>
        <v>0</v>
      </c>
      <c r="J20" s="483">
        <f t="shared" si="0"/>
        <v>0</v>
      </c>
      <c r="K20" s="483" t="str">
        <f t="shared" si="1"/>
        <v/>
      </c>
    </row>
    <row r="21" spans="1:11" ht="26.1" customHeight="1" x14ac:dyDescent="0.25">
      <c r="A21" s="451"/>
      <c r="B21" s="489"/>
      <c r="C21" s="490"/>
      <c r="D21" s="490"/>
      <c r="E21" s="491"/>
      <c r="I21" s="483">
        <f t="shared" si="0"/>
        <v>0</v>
      </c>
      <c r="J21" s="483">
        <f t="shared" si="0"/>
        <v>0</v>
      </c>
      <c r="K21" s="483" t="str">
        <f t="shared" si="1"/>
        <v/>
      </c>
    </row>
    <row r="22" spans="1:11" ht="26.1" customHeight="1" x14ac:dyDescent="0.25">
      <c r="A22" s="451"/>
      <c r="B22" s="489"/>
      <c r="C22" s="490"/>
      <c r="D22" s="490"/>
      <c r="E22" s="491"/>
      <c r="I22" s="483">
        <f t="shared" si="0"/>
        <v>0</v>
      </c>
      <c r="J22" s="483">
        <f t="shared" si="0"/>
        <v>0</v>
      </c>
      <c r="K22" s="483" t="str">
        <f t="shared" si="1"/>
        <v/>
      </c>
    </row>
    <row r="23" spans="1:11" ht="26.1" customHeight="1" x14ac:dyDescent="0.25">
      <c r="A23" s="451"/>
      <c r="B23" s="489"/>
      <c r="C23" s="490"/>
      <c r="D23" s="490"/>
      <c r="E23" s="491"/>
      <c r="I23" s="483">
        <f t="shared" si="0"/>
        <v>0</v>
      </c>
      <c r="J23" s="483">
        <f t="shared" si="0"/>
        <v>0</v>
      </c>
      <c r="K23" s="483" t="str">
        <f t="shared" si="1"/>
        <v/>
      </c>
    </row>
    <row r="24" spans="1:11" ht="26.1" customHeight="1" x14ac:dyDescent="0.25">
      <c r="A24" s="451"/>
      <c r="B24" s="489"/>
      <c r="C24" s="490"/>
      <c r="D24" s="490"/>
      <c r="E24" s="491"/>
      <c r="I24" s="483">
        <f t="shared" si="0"/>
        <v>0</v>
      </c>
      <c r="J24" s="483">
        <f t="shared" si="0"/>
        <v>0</v>
      </c>
      <c r="K24" s="483" t="str">
        <f t="shared" si="1"/>
        <v/>
      </c>
    </row>
    <row r="25" spans="1:11" ht="26.1" customHeight="1" x14ac:dyDescent="0.25">
      <c r="A25" s="451"/>
      <c r="B25" s="489"/>
      <c r="C25" s="490"/>
      <c r="D25" s="490"/>
      <c r="E25" s="491"/>
      <c r="I25" s="483">
        <f t="shared" si="0"/>
        <v>0</v>
      </c>
      <c r="J25" s="483">
        <f t="shared" si="0"/>
        <v>0</v>
      </c>
      <c r="K25" s="483" t="str">
        <f t="shared" si="1"/>
        <v/>
      </c>
    </row>
    <row r="26" spans="1:11" ht="26.1" customHeight="1" x14ac:dyDescent="0.25">
      <c r="A26" s="451"/>
      <c r="B26" s="489"/>
      <c r="C26" s="490"/>
      <c r="D26" s="490"/>
      <c r="E26" s="491"/>
      <c r="I26" s="483">
        <f t="shared" si="0"/>
        <v>0</v>
      </c>
      <c r="J26" s="483">
        <f t="shared" si="0"/>
        <v>0</v>
      </c>
      <c r="K26" s="483" t="str">
        <f t="shared" si="1"/>
        <v/>
      </c>
    </row>
    <row r="27" spans="1:11" ht="26.1" customHeight="1" x14ac:dyDescent="0.25">
      <c r="A27" s="451"/>
      <c r="B27" s="489"/>
      <c r="C27" s="490"/>
      <c r="D27" s="490"/>
      <c r="E27" s="491"/>
      <c r="I27" s="483">
        <f t="shared" si="0"/>
        <v>0</v>
      </c>
      <c r="J27" s="483">
        <f t="shared" si="0"/>
        <v>0</v>
      </c>
      <c r="K27" s="483" t="str">
        <f t="shared" si="1"/>
        <v/>
      </c>
    </row>
    <row r="28" spans="1:11" ht="26.1" customHeight="1" x14ac:dyDescent="0.25">
      <c r="A28" s="451"/>
      <c r="B28" s="489"/>
      <c r="C28" s="490"/>
      <c r="D28" s="490"/>
      <c r="E28" s="491"/>
      <c r="I28" s="483">
        <f t="shared" si="0"/>
        <v>0</v>
      </c>
      <c r="J28" s="483">
        <f t="shared" si="0"/>
        <v>0</v>
      </c>
      <c r="K28" s="483" t="str">
        <f t="shared" si="1"/>
        <v/>
      </c>
    </row>
    <row r="29" spans="1:11" ht="26.1" customHeight="1" x14ac:dyDescent="0.25">
      <c r="A29" s="451"/>
      <c r="B29" s="489"/>
      <c r="C29" s="490"/>
      <c r="D29" s="490"/>
      <c r="E29" s="491"/>
      <c r="I29" s="483">
        <f t="shared" si="0"/>
        <v>0</v>
      </c>
      <c r="J29" s="483">
        <f t="shared" si="0"/>
        <v>0</v>
      </c>
      <c r="K29" s="483" t="str">
        <f t="shared" si="1"/>
        <v/>
      </c>
    </row>
    <row r="30" spans="1:11" ht="26.1" customHeight="1" x14ac:dyDescent="0.25">
      <c r="A30" s="451"/>
      <c r="B30" s="489"/>
      <c r="C30" s="490"/>
      <c r="D30" s="490"/>
      <c r="E30" s="491"/>
      <c r="I30" s="483">
        <f t="shared" si="0"/>
        <v>0</v>
      </c>
      <c r="J30" s="483">
        <f t="shared" si="0"/>
        <v>0</v>
      </c>
      <c r="K30" s="483" t="str">
        <f t="shared" si="1"/>
        <v/>
      </c>
    </row>
    <row r="31" spans="1:11" ht="26.1" customHeight="1" x14ac:dyDescent="0.25">
      <c r="A31" s="451"/>
      <c r="B31" s="489"/>
      <c r="C31" s="490"/>
      <c r="D31" s="490"/>
      <c r="E31" s="491"/>
      <c r="I31" s="483">
        <f t="shared" si="0"/>
        <v>0</v>
      </c>
      <c r="J31" s="483">
        <f t="shared" si="0"/>
        <v>0</v>
      </c>
      <c r="K31" s="483" t="str">
        <f t="shared" si="1"/>
        <v/>
      </c>
    </row>
    <row r="32" spans="1:11" ht="26.1" customHeight="1" x14ac:dyDescent="0.25">
      <c r="A32" s="451"/>
      <c r="B32" s="489"/>
      <c r="C32" s="490"/>
      <c r="D32" s="490"/>
      <c r="E32" s="491"/>
      <c r="I32" s="483">
        <f t="shared" si="0"/>
        <v>0</v>
      </c>
      <c r="J32" s="483">
        <f t="shared" si="0"/>
        <v>0</v>
      </c>
      <c r="K32" s="483" t="str">
        <f t="shared" si="1"/>
        <v/>
      </c>
    </row>
    <row r="33" spans="1:11" ht="26.1" customHeight="1" x14ac:dyDescent="0.25">
      <c r="A33" s="451"/>
      <c r="B33" s="489"/>
      <c r="C33" s="490"/>
      <c r="D33" s="490"/>
      <c r="E33" s="491"/>
      <c r="I33" s="483">
        <f t="shared" si="0"/>
        <v>0</v>
      </c>
      <c r="J33" s="483">
        <f t="shared" si="0"/>
        <v>0</v>
      </c>
      <c r="K33" s="483" t="str">
        <f t="shared" si="1"/>
        <v/>
      </c>
    </row>
    <row r="34" spans="1:11" ht="26.1" customHeight="1" x14ac:dyDescent="0.25">
      <c r="A34" s="451"/>
      <c r="B34" s="489"/>
      <c r="C34" s="490"/>
      <c r="D34" s="490"/>
      <c r="E34" s="491"/>
      <c r="I34" s="483">
        <f t="shared" si="0"/>
        <v>0</v>
      </c>
      <c r="J34" s="483">
        <f t="shared" si="0"/>
        <v>0</v>
      </c>
      <c r="K34" s="483" t="str">
        <f t="shared" si="1"/>
        <v/>
      </c>
    </row>
    <row r="35" spans="1:11" ht="26.1" customHeight="1" x14ac:dyDescent="0.25">
      <c r="A35" s="451"/>
      <c r="B35" s="489"/>
      <c r="C35" s="490"/>
      <c r="D35" s="490"/>
      <c r="E35" s="491"/>
      <c r="I35" s="483">
        <f t="shared" si="0"/>
        <v>0</v>
      </c>
      <c r="J35" s="483">
        <f t="shared" si="0"/>
        <v>0</v>
      </c>
      <c r="K35" s="483" t="str">
        <f t="shared" si="1"/>
        <v/>
      </c>
    </row>
    <row r="36" spans="1:11" ht="26.1" customHeight="1" x14ac:dyDescent="0.25">
      <c r="A36" s="451"/>
      <c r="B36" s="489"/>
      <c r="C36" s="490"/>
      <c r="D36" s="490"/>
      <c r="E36" s="491"/>
      <c r="I36" s="483">
        <f t="shared" si="0"/>
        <v>0</v>
      </c>
      <c r="J36" s="483">
        <f t="shared" si="0"/>
        <v>0</v>
      </c>
      <c r="K36" s="483" t="str">
        <f t="shared" si="1"/>
        <v/>
      </c>
    </row>
    <row r="37" spans="1:11" ht="26.1" customHeight="1" x14ac:dyDescent="0.25">
      <c r="A37" s="451"/>
      <c r="B37" s="489"/>
      <c r="C37" s="490"/>
      <c r="D37" s="490"/>
      <c r="E37" s="491"/>
      <c r="I37" s="483">
        <f t="shared" si="0"/>
        <v>0</v>
      </c>
      <c r="J37" s="483">
        <f t="shared" si="0"/>
        <v>0</v>
      </c>
      <c r="K37" s="483" t="str">
        <f t="shared" si="1"/>
        <v/>
      </c>
    </row>
    <row r="38" spans="1:11" ht="26.1" customHeight="1" x14ac:dyDescent="0.25">
      <c r="A38" s="451"/>
      <c r="B38" s="489"/>
      <c r="C38" s="490"/>
      <c r="D38" s="490"/>
      <c r="E38" s="491"/>
      <c r="I38" s="483">
        <f t="shared" si="0"/>
        <v>0</v>
      </c>
      <c r="J38" s="483">
        <f t="shared" si="0"/>
        <v>0</v>
      </c>
      <c r="K38" s="483" t="str">
        <f t="shared" si="1"/>
        <v/>
      </c>
    </row>
    <row r="39" spans="1:11" ht="26.1" customHeight="1" x14ac:dyDescent="0.25">
      <c r="A39" s="451"/>
      <c r="B39" s="489"/>
      <c r="C39" s="490"/>
      <c r="D39" s="490"/>
      <c r="E39" s="491"/>
      <c r="I39" s="483">
        <f t="shared" si="0"/>
        <v>0</v>
      </c>
      <c r="J39" s="483">
        <f t="shared" si="0"/>
        <v>0</v>
      </c>
      <c r="K39" s="483" t="str">
        <f t="shared" si="1"/>
        <v/>
      </c>
    </row>
    <row r="40" spans="1:11" ht="26.1" customHeight="1" x14ac:dyDescent="0.25">
      <c r="A40" s="451"/>
      <c r="B40" s="489"/>
      <c r="C40" s="490"/>
      <c r="D40" s="490"/>
      <c r="E40" s="491"/>
      <c r="I40" s="483">
        <f t="shared" si="0"/>
        <v>0</v>
      </c>
      <c r="J40" s="483">
        <f t="shared" si="0"/>
        <v>0</v>
      </c>
      <c r="K40" s="483" t="str">
        <f t="shared" si="1"/>
        <v/>
      </c>
    </row>
    <row r="41" spans="1:11" ht="26.1" customHeight="1" x14ac:dyDescent="0.25">
      <c r="A41" s="451"/>
      <c r="B41" s="489"/>
      <c r="C41" s="490"/>
      <c r="D41" s="490"/>
      <c r="E41" s="491"/>
      <c r="I41" s="483">
        <f t="shared" si="0"/>
        <v>0</v>
      </c>
      <c r="J41" s="483">
        <f t="shared" si="0"/>
        <v>0</v>
      </c>
      <c r="K41" s="483" t="str">
        <f t="shared" si="1"/>
        <v/>
      </c>
    </row>
    <row r="42" spans="1:11" ht="26.1" customHeight="1" x14ac:dyDescent="0.25">
      <c r="A42" s="451"/>
      <c r="B42" s="489"/>
      <c r="C42" s="490"/>
      <c r="D42" s="490"/>
      <c r="E42" s="491"/>
      <c r="I42" s="483">
        <f t="shared" si="0"/>
        <v>0</v>
      </c>
      <c r="J42" s="483">
        <f t="shared" si="0"/>
        <v>0</v>
      </c>
      <c r="K42" s="483" t="str">
        <f t="shared" si="1"/>
        <v/>
      </c>
    </row>
    <row r="43" spans="1:11" ht="26.1" customHeight="1" x14ac:dyDescent="0.25">
      <c r="A43" s="451"/>
      <c r="B43" s="489"/>
      <c r="C43" s="490"/>
      <c r="D43" s="490"/>
      <c r="E43" s="491"/>
      <c r="I43" s="483">
        <f t="shared" si="0"/>
        <v>0</v>
      </c>
      <c r="J43" s="483">
        <f t="shared" si="0"/>
        <v>0</v>
      </c>
      <c r="K43" s="483" t="str">
        <f t="shared" si="1"/>
        <v/>
      </c>
    </row>
    <row r="44" spans="1:11" ht="26.1" customHeight="1" x14ac:dyDescent="0.25">
      <c r="A44" s="451"/>
      <c r="B44" s="489"/>
      <c r="C44" s="490"/>
      <c r="D44" s="490"/>
      <c r="E44" s="491"/>
      <c r="I44" s="483">
        <f t="shared" si="0"/>
        <v>0</v>
      </c>
      <c r="J44" s="483">
        <f t="shared" si="0"/>
        <v>0</v>
      </c>
      <c r="K44" s="483" t="str">
        <f t="shared" si="1"/>
        <v/>
      </c>
    </row>
    <row r="45" spans="1:11" ht="26.1" customHeight="1" x14ac:dyDescent="0.25">
      <c r="A45" s="451"/>
      <c r="B45" s="489"/>
      <c r="C45" s="490"/>
      <c r="D45" s="490"/>
      <c r="E45" s="491"/>
      <c r="I45" s="483">
        <f t="shared" si="0"/>
        <v>0</v>
      </c>
      <c r="J45" s="483">
        <f t="shared" si="0"/>
        <v>0</v>
      </c>
      <c r="K45" s="483" t="str">
        <f t="shared" si="1"/>
        <v/>
      </c>
    </row>
    <row r="46" spans="1:11" ht="26.1" customHeight="1" x14ac:dyDescent="0.25">
      <c r="A46" s="451"/>
      <c r="B46" s="489"/>
      <c r="C46" s="490"/>
      <c r="D46" s="490"/>
      <c r="E46" s="491"/>
      <c r="I46" s="483">
        <f t="shared" si="0"/>
        <v>0</v>
      </c>
      <c r="J46" s="483">
        <f t="shared" si="0"/>
        <v>0</v>
      </c>
      <c r="K46" s="483" t="str">
        <f t="shared" si="1"/>
        <v/>
      </c>
    </row>
    <row r="47" spans="1:11" ht="26.1" customHeight="1" x14ac:dyDescent="0.25">
      <c r="A47" s="451"/>
      <c r="B47" s="489"/>
      <c r="C47" s="490"/>
      <c r="D47" s="490"/>
      <c r="E47" s="491"/>
      <c r="I47" s="483">
        <f t="shared" si="0"/>
        <v>0</v>
      </c>
      <c r="J47" s="483">
        <f t="shared" si="0"/>
        <v>0</v>
      </c>
      <c r="K47" s="483" t="str">
        <f t="shared" si="1"/>
        <v/>
      </c>
    </row>
    <row r="48" spans="1:11" ht="26.1" customHeight="1" x14ac:dyDescent="0.25">
      <c r="A48" s="451"/>
      <c r="B48" s="489"/>
      <c r="C48" s="490"/>
      <c r="D48" s="490"/>
      <c r="E48" s="491"/>
      <c r="I48" s="483">
        <f t="shared" si="0"/>
        <v>0</v>
      </c>
      <c r="J48" s="483">
        <f t="shared" si="0"/>
        <v>0</v>
      </c>
      <c r="K48" s="483" t="str">
        <f t="shared" si="1"/>
        <v/>
      </c>
    </row>
    <row r="49" spans="1:11" ht="26.1" customHeight="1" x14ac:dyDescent="0.25">
      <c r="A49" s="451"/>
      <c r="B49" s="489"/>
      <c r="C49" s="490"/>
      <c r="D49" s="490"/>
      <c r="E49" s="491"/>
      <c r="I49" s="483">
        <f t="shared" si="0"/>
        <v>0</v>
      </c>
      <c r="J49" s="483">
        <f t="shared" si="0"/>
        <v>0</v>
      </c>
      <c r="K49" s="483" t="str">
        <f t="shared" si="1"/>
        <v/>
      </c>
    </row>
    <row r="50" spans="1:11" ht="26.1" customHeight="1" x14ac:dyDescent="0.25">
      <c r="A50" s="451"/>
      <c r="B50" s="489"/>
      <c r="C50" s="490"/>
      <c r="D50" s="490"/>
      <c r="E50" s="491"/>
      <c r="I50" s="483">
        <f t="shared" si="0"/>
        <v>0</v>
      </c>
      <c r="J50" s="483">
        <f t="shared" si="0"/>
        <v>0</v>
      </c>
      <c r="K50" s="483" t="str">
        <f t="shared" si="1"/>
        <v/>
      </c>
    </row>
    <row r="51" spans="1:11" ht="26.1" customHeight="1" x14ac:dyDescent="0.25">
      <c r="A51" s="451"/>
      <c r="B51" s="489"/>
      <c r="C51" s="490"/>
      <c r="D51" s="490"/>
      <c r="E51" s="491"/>
      <c r="I51" s="483">
        <f t="shared" si="0"/>
        <v>0</v>
      </c>
      <c r="J51" s="483">
        <f t="shared" si="0"/>
        <v>0</v>
      </c>
      <c r="K51" s="483" t="str">
        <f t="shared" si="1"/>
        <v/>
      </c>
    </row>
    <row r="52" spans="1:11" ht="26.1" customHeight="1" x14ac:dyDescent="0.25">
      <c r="A52" s="451"/>
      <c r="B52" s="489"/>
      <c r="C52" s="490"/>
      <c r="D52" s="490"/>
      <c r="E52" s="491"/>
      <c r="I52" s="483">
        <f t="shared" si="0"/>
        <v>0</v>
      </c>
      <c r="J52" s="483">
        <f t="shared" si="0"/>
        <v>0</v>
      </c>
      <c r="K52" s="483" t="str">
        <f t="shared" si="1"/>
        <v/>
      </c>
    </row>
    <row r="53" spans="1:11" ht="26.1" customHeight="1" x14ac:dyDescent="0.25">
      <c r="A53" s="451"/>
      <c r="B53" s="489"/>
      <c r="C53" s="490"/>
      <c r="D53" s="490"/>
      <c r="E53" s="491"/>
      <c r="I53" s="483">
        <f t="shared" si="0"/>
        <v>0</v>
      </c>
      <c r="J53" s="483">
        <f t="shared" si="0"/>
        <v>0</v>
      </c>
      <c r="K53" s="483" t="str">
        <f t="shared" si="1"/>
        <v/>
      </c>
    </row>
    <row r="54" spans="1:11" ht="26.1" customHeight="1" x14ac:dyDescent="0.25">
      <c r="A54" s="451"/>
      <c r="B54" s="489"/>
      <c r="C54" s="490"/>
      <c r="D54" s="490"/>
      <c r="E54" s="491"/>
      <c r="I54" s="483">
        <f t="shared" si="0"/>
        <v>0</v>
      </c>
      <c r="J54" s="483">
        <f t="shared" si="0"/>
        <v>0</v>
      </c>
      <c r="K54" s="483" t="str">
        <f t="shared" si="1"/>
        <v/>
      </c>
    </row>
    <row r="55" spans="1:11" ht="26.1" customHeight="1" x14ac:dyDescent="0.25">
      <c r="A55" s="451"/>
      <c r="B55" s="489"/>
      <c r="C55" s="490"/>
      <c r="D55" s="490"/>
      <c r="E55" s="491"/>
      <c r="I55" s="483">
        <f t="shared" si="0"/>
        <v>0</v>
      </c>
      <c r="J55" s="483">
        <f t="shared" si="0"/>
        <v>0</v>
      </c>
      <c r="K55" s="483" t="str">
        <f t="shared" si="1"/>
        <v/>
      </c>
    </row>
    <row r="56" spans="1:11" ht="26.1" customHeight="1" x14ac:dyDescent="0.25">
      <c r="A56" s="451"/>
      <c r="B56" s="489"/>
      <c r="C56" s="490"/>
      <c r="D56" s="490"/>
      <c r="E56" s="491"/>
      <c r="I56" s="483">
        <f t="shared" si="0"/>
        <v>0</v>
      </c>
      <c r="J56" s="483">
        <f t="shared" si="0"/>
        <v>0</v>
      </c>
      <c r="K56" s="483" t="str">
        <f t="shared" si="1"/>
        <v/>
      </c>
    </row>
    <row r="57" spans="1:11" ht="26.1" customHeight="1" x14ac:dyDescent="0.25">
      <c r="A57" s="451"/>
      <c r="B57" s="489"/>
      <c r="C57" s="490"/>
      <c r="D57" s="490"/>
      <c r="E57" s="491"/>
      <c r="I57" s="483">
        <f t="shared" si="0"/>
        <v>0</v>
      </c>
      <c r="J57" s="483">
        <f t="shared" si="0"/>
        <v>0</v>
      </c>
      <c r="K57" s="483" t="str">
        <f t="shared" si="1"/>
        <v/>
      </c>
    </row>
    <row r="58" spans="1:11" ht="26.1" customHeight="1" x14ac:dyDescent="0.25">
      <c r="A58" s="451"/>
      <c r="B58" s="489"/>
      <c r="C58" s="490"/>
      <c r="D58" s="490"/>
      <c r="E58" s="491"/>
      <c r="I58" s="483">
        <f t="shared" si="0"/>
        <v>0</v>
      </c>
      <c r="J58" s="483">
        <f t="shared" si="0"/>
        <v>0</v>
      </c>
      <c r="K58" s="483" t="str">
        <f t="shared" si="1"/>
        <v/>
      </c>
    </row>
    <row r="59" spans="1:11" ht="26.1" customHeight="1" x14ac:dyDescent="0.25">
      <c r="A59" s="451"/>
      <c r="B59" s="489"/>
      <c r="C59" s="490"/>
      <c r="D59" s="490"/>
      <c r="E59" s="491"/>
      <c r="I59" s="483">
        <f t="shared" si="0"/>
        <v>0</v>
      </c>
      <c r="J59" s="483">
        <f t="shared" si="0"/>
        <v>0</v>
      </c>
      <c r="K59" s="483" t="str">
        <f t="shared" si="1"/>
        <v/>
      </c>
    </row>
    <row r="60" spans="1:11" ht="26.1" customHeight="1" thickBot="1" x14ac:dyDescent="0.3">
      <c r="A60" s="444"/>
      <c r="B60" s="492"/>
      <c r="C60" s="493"/>
      <c r="D60" s="493"/>
      <c r="E60" s="494"/>
      <c r="I60" s="483">
        <f t="shared" si="0"/>
        <v>0</v>
      </c>
      <c r="J60" s="483">
        <f t="shared" si="0"/>
        <v>0</v>
      </c>
      <c r="K60" s="483" t="str">
        <f t="shared" si="1"/>
        <v/>
      </c>
    </row>
  </sheetData>
  <sheetProtection algorithmName="SHA-512" hashValue="BgMqMKbR9vRqc6UJoMOfiqxsBypf93phC1YkHRew6GGDSnPwIbiasMTzY24wYHhoHPNWVgc5A6iWLcLEUVVz4A==" saltValue="HtdYm4veNgc1NGO2wkHhOQ==" spinCount="100000" sheet="1" objects="1" scenarios="1" selectLockedCells="1"/>
  <mergeCells count="4">
    <mergeCell ref="A7:E7"/>
    <mergeCell ref="A9:A10"/>
    <mergeCell ref="B9:B10"/>
    <mergeCell ref="C9:E9"/>
  </mergeCells>
  <conditionalFormatting sqref="A11:E60">
    <cfRule type="expression" dxfId="150" priority="2" stopIfTrue="1">
      <formula>LEN(TRIM(A11))=0</formula>
    </cfRule>
  </conditionalFormatting>
  <conditionalFormatting sqref="B11:B60">
    <cfRule type="duplicateValues" dxfId="149" priority="1"/>
  </conditionalFormatting>
  <dataValidations count="4">
    <dataValidation type="whole" showInputMessage="1" showErrorMessage="1" errorTitle="Input data error" error="Whole number between 0 and 5000._x000a_" sqref="D11:E59" xr:uid="{19EFD25B-083A-4B3C-8C3E-55EE20059BD5}">
      <formula1>0</formula1>
      <formula2>5000</formula2>
    </dataValidation>
    <dataValidation type="whole" allowBlank="1" showInputMessage="1" showErrorMessage="1" errorTitle="Input data error" error="Whole number between 0 and 5000._x000a_" sqref="C11:C59" xr:uid="{817BC0B2-37FE-4EE8-8CB5-0CC407C47AAD}">
      <formula1>0</formula1>
      <formula2>5000</formula2>
    </dataValidation>
    <dataValidation type="whole" showInputMessage="1" showErrorMessage="1" errorTitle="Input data error" error="Whole number between 0 and 5000." sqref="C60:E60" xr:uid="{0D9CE846-8A79-4000-B3BD-4203DF701E18}">
      <formula1>0</formula1>
      <formula2>5000</formula2>
    </dataValidation>
    <dataValidation type="textLength" showInputMessage="1" showErrorMessage="1" errorTitle="Character length" error="Only text input up to 200 characters possible." sqref="A11:B60" xr:uid="{7F9CE89B-57AA-4730-B67B-CCF0812415C8}">
      <formula1>2</formula1>
      <formula2>200</formula2>
    </dataValidation>
  </dataValidations>
  <pageMargins left="0.70866141732283472" right="0.70866141732283472" top="0.74803149606299213" bottom="0.74803149606299213" header="0.31496062992125984" footer="0.31496062992125984"/>
  <pageSetup scale="57" fitToHeight="0" orientation="portrait" r:id="rId1"/>
  <headerFooter>
    <oddFooter>&amp;L&amp;"Arial,Regular"&amp;8&amp;F&amp;R&amp;"Arial,Regular"&amp;8&amp;P</oddFooter>
  </headerFooter>
  <colBreaks count="1" manualBreakCount="1">
    <brk id="5"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4B814-8F4D-4D0B-8BEB-06DA7EA1A132}">
  <dimension ref="A1:M51"/>
  <sheetViews>
    <sheetView workbookViewId="0">
      <selection activeCell="A2" sqref="A2:XFD2"/>
    </sheetView>
  </sheetViews>
  <sheetFormatPr defaultColWidth="9.140625" defaultRowHeight="12.75" x14ac:dyDescent="0.2"/>
  <cols>
    <col min="1" max="1" width="35.42578125" style="428" customWidth="1"/>
    <col min="2" max="2" width="21.28515625" style="428" customWidth="1"/>
    <col min="3" max="3" width="22.42578125" style="428" customWidth="1"/>
    <col min="4" max="4" width="29.85546875" style="428" customWidth="1"/>
    <col min="5" max="5" width="28.28515625" style="428" customWidth="1"/>
    <col min="6" max="6" width="12.140625" style="428" customWidth="1"/>
    <col min="7" max="7" width="12.42578125" style="428" customWidth="1"/>
    <col min="8" max="8" width="12.5703125" style="428" customWidth="1"/>
    <col min="9" max="9" width="9.7109375" style="428" customWidth="1"/>
    <col min="10" max="10" width="9.5703125" style="428" customWidth="1"/>
    <col min="11" max="11" width="9.140625" style="428"/>
    <col min="12" max="12" width="15.28515625" style="435" customWidth="1"/>
    <col min="13" max="13" width="17.42578125" style="428" customWidth="1"/>
    <col min="14" max="16384" width="9.140625" style="428"/>
  </cols>
  <sheetData>
    <row r="1" spans="1:13" ht="63.75" customHeight="1" x14ac:dyDescent="0.2">
      <c r="A1" s="425" t="s">
        <v>787</v>
      </c>
      <c r="B1" s="425" t="s">
        <v>786</v>
      </c>
      <c r="C1" s="426" t="s">
        <v>788</v>
      </c>
      <c r="D1" s="426" t="s">
        <v>789</v>
      </c>
      <c r="E1" s="426" t="s">
        <v>790</v>
      </c>
      <c r="F1" s="426" t="s">
        <v>791</v>
      </c>
      <c r="G1" s="426" t="s">
        <v>792</v>
      </c>
      <c r="H1" s="426" t="s">
        <v>793</v>
      </c>
      <c r="I1" s="426" t="s">
        <v>794</v>
      </c>
      <c r="J1" s="426" t="s">
        <v>795</v>
      </c>
      <c r="K1" s="426" t="s">
        <v>796</v>
      </c>
      <c r="L1" s="427" t="s">
        <v>797</v>
      </c>
      <c r="M1" s="426" t="s">
        <v>798</v>
      </c>
    </row>
    <row r="2" spans="1:13" x14ac:dyDescent="0.2">
      <c r="A2" s="429" t="e">
        <f>IF(AND(SUM(#REF!)=2,#REF!&lt;&gt;0),#REF!,"")</f>
        <v>#REF!</v>
      </c>
      <c r="B2" s="429" t="e">
        <f>IF(AND(SUM(#REF!)=2,#REF!&lt;&gt;0),#REF!,"")</f>
        <v>#REF!</v>
      </c>
      <c r="C2" s="430"/>
      <c r="D2" s="431"/>
      <c r="E2" s="432"/>
      <c r="F2" s="433"/>
      <c r="G2" s="433"/>
      <c r="H2" s="433"/>
      <c r="I2" s="433"/>
      <c r="J2" s="433"/>
      <c r="K2" s="433"/>
      <c r="L2" s="434" t="e">
        <f>IF(AND(SUM(#REF!)=2,#REF!&lt;&gt;0),#REF!,"")</f>
        <v>#REF!</v>
      </c>
      <c r="M2" s="433"/>
    </row>
    <row r="3" spans="1:13" x14ac:dyDescent="0.2">
      <c r="A3" s="429" t="e">
        <f>IF(AND(SUM(#REF!)=2,#REF!&lt;&gt;0),#REF!,"")</f>
        <v>#REF!</v>
      </c>
      <c r="B3" s="429" t="e">
        <f>IF(AND(SUM(#REF!)=2,#REF!&lt;&gt;0),#REF!,"")</f>
        <v>#REF!</v>
      </c>
      <c r="C3" s="430"/>
      <c r="D3" s="431"/>
      <c r="E3" s="431"/>
      <c r="F3" s="433"/>
      <c r="G3" s="433"/>
      <c r="H3" s="433"/>
      <c r="I3" s="433"/>
      <c r="J3" s="433"/>
      <c r="K3" s="433"/>
      <c r="L3" s="434" t="e">
        <f>IF(AND(SUM(#REF!)=2,#REF!&lt;&gt;0),#REF!,"")</f>
        <v>#REF!</v>
      </c>
      <c r="M3" s="433"/>
    </row>
    <row r="4" spans="1:13" x14ac:dyDescent="0.2">
      <c r="A4" s="429" t="e">
        <f>IF(AND(SUM(#REF!)=2,#REF!&lt;&gt;0),#REF!,"")</f>
        <v>#REF!</v>
      </c>
      <c r="B4" s="429" t="e">
        <f>IF(AND(SUM(#REF!)=2,#REF!&lt;&gt;0),#REF!,"")</f>
        <v>#REF!</v>
      </c>
      <c r="C4" s="430"/>
      <c r="D4" s="431"/>
      <c r="E4" s="431"/>
      <c r="F4" s="433"/>
      <c r="G4" s="433"/>
      <c r="H4" s="433"/>
      <c r="I4" s="433"/>
      <c r="J4" s="433"/>
      <c r="K4" s="433"/>
      <c r="L4" s="434" t="e">
        <f>IF(AND(SUM(#REF!)=2,#REF!&lt;&gt;0),#REF!,"")</f>
        <v>#REF!</v>
      </c>
      <c r="M4" s="433"/>
    </row>
    <row r="5" spans="1:13" x14ac:dyDescent="0.2">
      <c r="A5" s="429" t="e">
        <f>IF(AND(SUM(#REF!)=2,#REF!&lt;&gt;0),#REF!,"")</f>
        <v>#REF!</v>
      </c>
      <c r="B5" s="429" t="e">
        <f>IF(AND(SUM(#REF!)=2,#REF!&lt;&gt;0),#REF!,"")</f>
        <v>#REF!</v>
      </c>
      <c r="C5" s="430"/>
      <c r="D5" s="431"/>
      <c r="E5" s="431"/>
      <c r="F5" s="433"/>
      <c r="G5" s="433"/>
      <c r="H5" s="433"/>
      <c r="I5" s="433"/>
      <c r="J5" s="433"/>
      <c r="K5" s="433"/>
      <c r="L5" s="434" t="e">
        <f>IF(AND(SUM(#REF!)=2,#REF!&lt;&gt;0),#REF!,"")</f>
        <v>#REF!</v>
      </c>
      <c r="M5" s="433"/>
    </row>
    <row r="6" spans="1:13" x14ac:dyDescent="0.2">
      <c r="A6" s="429" t="e">
        <f>IF(AND(SUM(#REF!)=2,#REF!&lt;&gt;0),#REF!,"")</f>
        <v>#REF!</v>
      </c>
      <c r="B6" s="429" t="e">
        <f>IF(AND(SUM(#REF!)=2,#REF!&lt;&gt;0),#REF!,"")</f>
        <v>#REF!</v>
      </c>
      <c r="C6" s="430"/>
      <c r="D6" s="431"/>
      <c r="E6" s="431"/>
      <c r="F6" s="433"/>
      <c r="G6" s="433"/>
      <c r="H6" s="433"/>
      <c r="I6" s="433"/>
      <c r="J6" s="433"/>
      <c r="K6" s="433"/>
      <c r="L6" s="434" t="e">
        <f>IF(AND(SUM(#REF!)=2,#REF!&lt;&gt;0),#REF!,"")</f>
        <v>#REF!</v>
      </c>
      <c r="M6" s="433"/>
    </row>
    <row r="7" spans="1:13" x14ac:dyDescent="0.2">
      <c r="A7" s="429" t="e">
        <f>IF(AND(SUM(#REF!)=2,#REF!&lt;&gt;0),#REF!,"")</f>
        <v>#REF!</v>
      </c>
      <c r="B7" s="429" t="e">
        <f>IF(AND(SUM(#REF!)=2,#REF!&lt;&gt;0),#REF!,"")</f>
        <v>#REF!</v>
      </c>
      <c r="C7" s="430"/>
      <c r="D7" s="431"/>
      <c r="E7" s="431"/>
      <c r="F7" s="433"/>
      <c r="G7" s="433"/>
      <c r="H7" s="433"/>
      <c r="I7" s="433"/>
      <c r="J7" s="433"/>
      <c r="K7" s="433"/>
      <c r="L7" s="434" t="e">
        <f>IF(AND(SUM(#REF!)=2,#REF!&lt;&gt;0),#REF!,"")</f>
        <v>#REF!</v>
      </c>
      <c r="M7" s="433"/>
    </row>
    <row r="8" spans="1:13" x14ac:dyDescent="0.2">
      <c r="A8" s="429" t="e">
        <f>IF(AND(SUM(#REF!)=2,#REF!&lt;&gt;0),#REF!,"")</f>
        <v>#REF!</v>
      </c>
      <c r="B8" s="429" t="e">
        <f>IF(AND(SUM(#REF!)=2,#REF!&lt;&gt;0),#REF!,"")</f>
        <v>#REF!</v>
      </c>
      <c r="C8" s="430"/>
      <c r="D8" s="431"/>
      <c r="E8" s="431"/>
      <c r="F8" s="433"/>
      <c r="G8" s="433"/>
      <c r="H8" s="433"/>
      <c r="I8" s="433"/>
      <c r="J8" s="433"/>
      <c r="K8" s="433"/>
      <c r="L8" s="434" t="e">
        <f>IF(AND(SUM(#REF!)=2,#REF!&lt;&gt;0),#REF!,"")</f>
        <v>#REF!</v>
      </c>
      <c r="M8" s="433"/>
    </row>
    <row r="9" spans="1:13" x14ac:dyDescent="0.2">
      <c r="A9" s="429" t="e">
        <f>IF(AND(SUM(#REF!)=2,#REF!&lt;&gt;0),#REF!,"")</f>
        <v>#REF!</v>
      </c>
      <c r="B9" s="429" t="e">
        <f>IF(AND(SUM(#REF!)=2,#REF!&lt;&gt;0),#REF!,"")</f>
        <v>#REF!</v>
      </c>
      <c r="C9" s="430"/>
      <c r="D9" s="431"/>
      <c r="E9" s="431"/>
      <c r="F9" s="433"/>
      <c r="G9" s="433"/>
      <c r="H9" s="433"/>
      <c r="I9" s="433"/>
      <c r="J9" s="433"/>
      <c r="K9" s="433"/>
      <c r="L9" s="434" t="e">
        <f>IF(AND(SUM(#REF!)=2,#REF!&lt;&gt;0),#REF!,"")</f>
        <v>#REF!</v>
      </c>
      <c r="M9" s="433"/>
    </row>
    <row r="10" spans="1:13" x14ac:dyDescent="0.2">
      <c r="A10" s="429" t="e">
        <f>IF(AND(SUM(#REF!)=2,#REF!&lt;&gt;0),#REF!,"")</f>
        <v>#REF!</v>
      </c>
      <c r="B10" s="429" t="e">
        <f>IF(AND(SUM(#REF!)=2,#REF!&lt;&gt;0),#REF!,"")</f>
        <v>#REF!</v>
      </c>
      <c r="C10" s="430"/>
      <c r="D10" s="431"/>
      <c r="E10" s="431"/>
      <c r="F10" s="433"/>
      <c r="G10" s="433"/>
      <c r="H10" s="433"/>
      <c r="I10" s="433"/>
      <c r="J10" s="433"/>
      <c r="K10" s="433"/>
      <c r="L10" s="434" t="e">
        <f>IF(AND(SUM(#REF!)=2,#REF!&lt;&gt;0),#REF!,"")</f>
        <v>#REF!</v>
      </c>
      <c r="M10" s="433"/>
    </row>
    <row r="11" spans="1:13" x14ac:dyDescent="0.2">
      <c r="A11" s="429" t="e">
        <f>IF(AND(SUM(#REF!)=2,#REF!&lt;&gt;0),#REF!,"")</f>
        <v>#REF!</v>
      </c>
      <c r="B11" s="429" t="e">
        <f>IF(AND(SUM(#REF!)=2,#REF!&lt;&gt;0),#REF!,"")</f>
        <v>#REF!</v>
      </c>
      <c r="C11" s="430"/>
      <c r="D11" s="431"/>
      <c r="E11" s="431"/>
      <c r="F11" s="433"/>
      <c r="G11" s="433"/>
      <c r="H11" s="433"/>
      <c r="I11" s="433"/>
      <c r="J11" s="433"/>
      <c r="K11" s="433"/>
      <c r="L11" s="434" t="e">
        <f>IF(AND(SUM(#REF!)=2,#REF!&lt;&gt;0),#REF!,"")</f>
        <v>#REF!</v>
      </c>
      <c r="M11" s="433"/>
    </row>
    <row r="12" spans="1:13" x14ac:dyDescent="0.2">
      <c r="A12" s="429" t="e">
        <f>IF(AND(SUM(#REF!)=2,#REF!&lt;&gt;0),#REF!,"")</f>
        <v>#REF!</v>
      </c>
      <c r="B12" s="429" t="e">
        <f>IF(AND(SUM(#REF!)=2,#REF!&lt;&gt;0),#REF!,"")</f>
        <v>#REF!</v>
      </c>
      <c r="C12" s="430"/>
      <c r="D12" s="431"/>
      <c r="E12" s="431"/>
      <c r="F12" s="433"/>
      <c r="G12" s="433"/>
      <c r="H12" s="433"/>
      <c r="I12" s="433"/>
      <c r="J12" s="433"/>
      <c r="K12" s="433"/>
      <c r="L12" s="434" t="e">
        <f>IF(AND(SUM(#REF!)=2,#REF!&lt;&gt;0),#REF!,"")</f>
        <v>#REF!</v>
      </c>
      <c r="M12" s="433"/>
    </row>
    <row r="13" spans="1:13" x14ac:dyDescent="0.2">
      <c r="A13" s="429" t="e">
        <f>IF(AND(SUM(#REF!)=2,#REF!&lt;&gt;0),#REF!,"")</f>
        <v>#REF!</v>
      </c>
      <c r="B13" s="429" t="e">
        <f>IF(AND(SUM(#REF!)=2,#REF!&lt;&gt;0),#REF!,"")</f>
        <v>#REF!</v>
      </c>
      <c r="C13" s="430"/>
      <c r="D13" s="431"/>
      <c r="E13" s="431"/>
      <c r="F13" s="433"/>
      <c r="G13" s="433"/>
      <c r="H13" s="433"/>
      <c r="I13" s="433"/>
      <c r="J13" s="433"/>
      <c r="K13" s="433"/>
      <c r="L13" s="434" t="e">
        <f>IF(AND(SUM(#REF!)=2,#REF!&lt;&gt;0),#REF!,"")</f>
        <v>#REF!</v>
      </c>
      <c r="M13" s="433"/>
    </row>
    <row r="14" spans="1:13" x14ac:dyDescent="0.2">
      <c r="A14" s="429" t="e">
        <f>IF(AND(SUM(#REF!)=2,#REF!&lt;&gt;0),#REF!,"")</f>
        <v>#REF!</v>
      </c>
      <c r="B14" s="429" t="e">
        <f>IF(AND(SUM(#REF!)=2,#REF!&lt;&gt;0),#REF!,"")</f>
        <v>#REF!</v>
      </c>
      <c r="C14" s="430"/>
      <c r="D14" s="431"/>
      <c r="E14" s="431"/>
      <c r="F14" s="433"/>
      <c r="G14" s="433"/>
      <c r="H14" s="433"/>
      <c r="I14" s="433"/>
      <c r="J14" s="433"/>
      <c r="K14" s="433"/>
      <c r="L14" s="434" t="e">
        <f>IF(AND(SUM(#REF!)=2,#REF!&lt;&gt;0),#REF!,"")</f>
        <v>#REF!</v>
      </c>
      <c r="M14" s="433"/>
    </row>
    <row r="15" spans="1:13" x14ac:dyDescent="0.2">
      <c r="A15" s="429" t="e">
        <f>IF(AND(SUM(#REF!)=2,#REF!&lt;&gt;0),#REF!,"")</f>
        <v>#REF!</v>
      </c>
      <c r="B15" s="429" t="e">
        <f>IF(AND(SUM(#REF!)=2,#REF!&lt;&gt;0),#REF!,"")</f>
        <v>#REF!</v>
      </c>
      <c r="C15" s="430"/>
      <c r="D15" s="431"/>
      <c r="E15" s="431"/>
      <c r="F15" s="433"/>
      <c r="G15" s="433"/>
      <c r="H15" s="433"/>
      <c r="I15" s="433"/>
      <c r="J15" s="433"/>
      <c r="K15" s="433"/>
      <c r="L15" s="434" t="e">
        <f>IF(AND(SUM(#REF!)=2,#REF!&lt;&gt;0),#REF!,"")</f>
        <v>#REF!</v>
      </c>
      <c r="M15" s="433"/>
    </row>
    <row r="16" spans="1:13" x14ac:dyDescent="0.2">
      <c r="A16" s="429" t="e">
        <f>IF(AND(SUM(#REF!)=2,#REF!&lt;&gt;0),#REF!,"")</f>
        <v>#REF!</v>
      </c>
      <c r="B16" s="429" t="e">
        <f>IF(AND(SUM(#REF!)=2,#REF!&lt;&gt;0),#REF!,"")</f>
        <v>#REF!</v>
      </c>
      <c r="C16" s="430"/>
      <c r="D16" s="431"/>
      <c r="E16" s="431"/>
      <c r="F16" s="433"/>
      <c r="G16" s="433"/>
      <c r="H16" s="433"/>
      <c r="I16" s="433"/>
      <c r="J16" s="433"/>
      <c r="K16" s="433"/>
      <c r="L16" s="434" t="e">
        <f>IF(AND(SUM(#REF!)=2,#REF!&lt;&gt;0),#REF!,"")</f>
        <v>#REF!</v>
      </c>
      <c r="M16" s="433"/>
    </row>
    <row r="17" spans="1:13" x14ac:dyDescent="0.2">
      <c r="A17" s="429" t="e">
        <f>IF(AND(SUM(#REF!)=2,#REF!&lt;&gt;0),#REF!,"")</f>
        <v>#REF!</v>
      </c>
      <c r="B17" s="429" t="e">
        <f>IF(AND(SUM(#REF!)=2,#REF!&lt;&gt;0),#REF!,"")</f>
        <v>#REF!</v>
      </c>
      <c r="C17" s="430"/>
      <c r="D17" s="431"/>
      <c r="E17" s="431"/>
      <c r="F17" s="433"/>
      <c r="G17" s="433"/>
      <c r="H17" s="433"/>
      <c r="I17" s="433"/>
      <c r="J17" s="433"/>
      <c r="K17" s="433"/>
      <c r="L17" s="434" t="e">
        <f>IF(AND(SUM(#REF!)=2,#REF!&lt;&gt;0),#REF!,"")</f>
        <v>#REF!</v>
      </c>
      <c r="M17" s="433"/>
    </row>
    <row r="18" spans="1:13" x14ac:dyDescent="0.2">
      <c r="A18" s="429" t="e">
        <f>IF(AND(SUM(#REF!)=2,#REF!&lt;&gt;0),#REF!,"")</f>
        <v>#REF!</v>
      </c>
      <c r="B18" s="429" t="e">
        <f>IF(AND(SUM(#REF!)=2,#REF!&lt;&gt;0),#REF!,"")</f>
        <v>#REF!</v>
      </c>
      <c r="C18" s="430"/>
      <c r="D18" s="431"/>
      <c r="E18" s="431"/>
      <c r="F18" s="433"/>
      <c r="G18" s="433"/>
      <c r="H18" s="433"/>
      <c r="I18" s="433"/>
      <c r="J18" s="433"/>
      <c r="K18" s="433"/>
      <c r="L18" s="434" t="e">
        <f>IF(AND(SUM(#REF!)=2,#REF!&lt;&gt;0),#REF!,"")</f>
        <v>#REF!</v>
      </c>
      <c r="M18" s="433"/>
    </row>
    <row r="19" spans="1:13" x14ac:dyDescent="0.2">
      <c r="A19" s="429" t="e">
        <f>IF(AND(SUM(#REF!)=2,#REF!&lt;&gt;0),#REF!,"")</f>
        <v>#REF!</v>
      </c>
      <c r="B19" s="429" t="e">
        <f>IF(AND(SUM(#REF!)=2,#REF!&lt;&gt;0),#REF!,"")</f>
        <v>#REF!</v>
      </c>
      <c r="C19" s="430"/>
      <c r="D19" s="431"/>
      <c r="E19" s="431"/>
      <c r="F19" s="433"/>
      <c r="G19" s="433"/>
      <c r="H19" s="433"/>
      <c r="I19" s="433"/>
      <c r="J19" s="433"/>
      <c r="K19" s="433"/>
      <c r="L19" s="434" t="e">
        <f>IF(AND(SUM(#REF!)=2,#REF!&lt;&gt;0),#REF!,"")</f>
        <v>#REF!</v>
      </c>
      <c r="M19" s="433"/>
    </row>
    <row r="20" spans="1:13" x14ac:dyDescent="0.2">
      <c r="A20" s="429" t="e">
        <f>IF(AND(SUM(#REF!)=2,#REF!&lt;&gt;0),#REF!,"")</f>
        <v>#REF!</v>
      </c>
      <c r="B20" s="429" t="e">
        <f>IF(AND(SUM(#REF!)=2,#REF!&lt;&gt;0),#REF!,"")</f>
        <v>#REF!</v>
      </c>
      <c r="C20" s="430"/>
      <c r="D20" s="431"/>
      <c r="E20" s="431"/>
      <c r="F20" s="433"/>
      <c r="G20" s="433"/>
      <c r="H20" s="433"/>
      <c r="I20" s="433"/>
      <c r="J20" s="433"/>
      <c r="K20" s="433"/>
      <c r="L20" s="434" t="e">
        <f>IF(AND(SUM(#REF!)=2,#REF!&lt;&gt;0),#REF!,"")</f>
        <v>#REF!</v>
      </c>
      <c r="M20" s="433"/>
    </row>
    <row r="21" spans="1:13" x14ac:dyDescent="0.2">
      <c r="A21" s="429" t="e">
        <f>IF(AND(SUM(#REF!)=2,#REF!&lt;&gt;0),#REF!,"")</f>
        <v>#REF!</v>
      </c>
      <c r="B21" s="429" t="e">
        <f>IF(AND(SUM(#REF!)=2,#REF!&lt;&gt;0),#REF!,"")</f>
        <v>#REF!</v>
      </c>
      <c r="C21" s="430"/>
      <c r="D21" s="431"/>
      <c r="E21" s="431"/>
      <c r="F21" s="433"/>
      <c r="G21" s="433"/>
      <c r="H21" s="433"/>
      <c r="I21" s="433"/>
      <c r="J21" s="433"/>
      <c r="K21" s="433"/>
      <c r="L21" s="434" t="e">
        <f>IF(AND(SUM(#REF!)=2,#REF!&lt;&gt;0),#REF!,"")</f>
        <v>#REF!</v>
      </c>
      <c r="M21" s="433"/>
    </row>
    <row r="22" spans="1:13" x14ac:dyDescent="0.2">
      <c r="A22" s="429" t="e">
        <f>IF(AND(SUM(#REF!)=2,#REF!&lt;&gt;0),#REF!,"")</f>
        <v>#REF!</v>
      </c>
      <c r="B22" s="429" t="e">
        <f>IF(AND(SUM(#REF!)=2,#REF!&lt;&gt;0),#REF!,"")</f>
        <v>#REF!</v>
      </c>
      <c r="C22" s="430"/>
      <c r="D22" s="431"/>
      <c r="E22" s="431"/>
      <c r="F22" s="433"/>
      <c r="G22" s="433"/>
      <c r="H22" s="433"/>
      <c r="I22" s="433"/>
      <c r="J22" s="433"/>
      <c r="K22" s="433"/>
      <c r="L22" s="434" t="e">
        <f>IF(AND(SUM(#REF!)=2,#REF!&lt;&gt;0),#REF!,"")</f>
        <v>#REF!</v>
      </c>
      <c r="M22" s="433"/>
    </row>
    <row r="23" spans="1:13" x14ac:dyDescent="0.2">
      <c r="A23" s="429" t="e">
        <f>IF(AND(SUM(#REF!)=2,#REF!&lt;&gt;0),#REF!,"")</f>
        <v>#REF!</v>
      </c>
      <c r="B23" s="429" t="e">
        <f>IF(AND(SUM(#REF!)=2,#REF!&lt;&gt;0),#REF!,"")</f>
        <v>#REF!</v>
      </c>
      <c r="C23" s="430"/>
      <c r="D23" s="431"/>
      <c r="E23" s="431"/>
      <c r="F23" s="433"/>
      <c r="G23" s="433"/>
      <c r="H23" s="433"/>
      <c r="I23" s="433"/>
      <c r="J23" s="433"/>
      <c r="K23" s="433"/>
      <c r="L23" s="434" t="e">
        <f>IF(AND(SUM(#REF!)=2,#REF!&lt;&gt;0),#REF!,"")</f>
        <v>#REF!</v>
      </c>
      <c r="M23" s="433"/>
    </row>
    <row r="24" spans="1:13" x14ac:dyDescent="0.2">
      <c r="A24" s="429" t="e">
        <f>IF(AND(SUM(#REF!)=2,#REF!&lt;&gt;0),#REF!,"")</f>
        <v>#REF!</v>
      </c>
      <c r="B24" s="429" t="e">
        <f>IF(AND(SUM(#REF!)=2,#REF!&lt;&gt;0),#REF!,"")</f>
        <v>#REF!</v>
      </c>
      <c r="C24" s="430"/>
      <c r="D24" s="431"/>
      <c r="E24" s="431"/>
      <c r="F24" s="433"/>
      <c r="G24" s="433"/>
      <c r="H24" s="433"/>
      <c r="I24" s="433"/>
      <c r="J24" s="433"/>
      <c r="K24" s="433"/>
      <c r="L24" s="434" t="e">
        <f>IF(AND(SUM(#REF!)=2,#REF!&lt;&gt;0),#REF!,"")</f>
        <v>#REF!</v>
      </c>
      <c r="M24" s="433"/>
    </row>
    <row r="25" spans="1:13" x14ac:dyDescent="0.2">
      <c r="A25" s="429" t="e">
        <f>IF(AND(SUM(#REF!)=2,#REF!&lt;&gt;0),#REF!,"")</f>
        <v>#REF!</v>
      </c>
      <c r="B25" s="429" t="e">
        <f>IF(AND(SUM(#REF!)=2,#REF!&lt;&gt;0),#REF!,"")</f>
        <v>#REF!</v>
      </c>
      <c r="C25" s="430"/>
      <c r="D25" s="431"/>
      <c r="E25" s="431"/>
      <c r="F25" s="433"/>
      <c r="G25" s="433"/>
      <c r="H25" s="433"/>
      <c r="I25" s="433"/>
      <c r="J25" s="433"/>
      <c r="K25" s="433"/>
      <c r="L25" s="434" t="e">
        <f>IF(AND(SUM(#REF!)=2,#REF!&lt;&gt;0),#REF!,"")</f>
        <v>#REF!</v>
      </c>
      <c r="M25" s="433"/>
    </row>
    <row r="26" spans="1:13" x14ac:dyDescent="0.2">
      <c r="A26" s="429" t="e">
        <f>IF(AND(SUM(#REF!)=2,#REF!&lt;&gt;0),#REF!,"")</f>
        <v>#REF!</v>
      </c>
      <c r="B26" s="429" t="e">
        <f>IF(AND(SUM(#REF!)=2,#REF!&lt;&gt;0),#REF!,"")</f>
        <v>#REF!</v>
      </c>
      <c r="C26" s="430"/>
      <c r="D26" s="431"/>
      <c r="E26" s="431"/>
      <c r="F26" s="433"/>
      <c r="G26" s="433"/>
      <c r="H26" s="433"/>
      <c r="I26" s="433"/>
      <c r="J26" s="433"/>
      <c r="K26" s="433"/>
      <c r="L26" s="434" t="e">
        <f>IF(AND(SUM(#REF!)=2,#REF!&lt;&gt;0),#REF!,"")</f>
        <v>#REF!</v>
      </c>
      <c r="M26" s="433"/>
    </row>
    <row r="27" spans="1:13" x14ac:dyDescent="0.2">
      <c r="A27" s="429" t="e">
        <f>IF(AND(SUM(#REF!)=2,#REF!&lt;&gt;0),#REF!,"")</f>
        <v>#REF!</v>
      </c>
      <c r="B27" s="429" t="e">
        <f>IF(AND(SUM(#REF!)=2,#REF!&lt;&gt;0),#REF!,"")</f>
        <v>#REF!</v>
      </c>
      <c r="C27" s="430"/>
      <c r="D27" s="431"/>
      <c r="E27" s="431"/>
      <c r="F27" s="433"/>
      <c r="G27" s="433"/>
      <c r="H27" s="433"/>
      <c r="I27" s="433"/>
      <c r="J27" s="433"/>
      <c r="K27" s="433"/>
      <c r="L27" s="434" t="e">
        <f>IF(AND(SUM(#REF!)=2,#REF!&lt;&gt;0),#REF!,"")</f>
        <v>#REF!</v>
      </c>
      <c r="M27" s="433"/>
    </row>
    <row r="28" spans="1:13" x14ac:dyDescent="0.2">
      <c r="A28" s="429" t="e">
        <f>IF(AND(SUM(#REF!)=2,#REF!&lt;&gt;0),#REF!,"")</f>
        <v>#REF!</v>
      </c>
      <c r="B28" s="429" t="e">
        <f>IF(AND(SUM(#REF!)=2,#REF!&lt;&gt;0),#REF!,"")</f>
        <v>#REF!</v>
      </c>
      <c r="C28" s="430"/>
      <c r="D28" s="431"/>
      <c r="E28" s="431"/>
      <c r="F28" s="433"/>
      <c r="G28" s="433"/>
      <c r="H28" s="433"/>
      <c r="I28" s="433"/>
      <c r="J28" s="433"/>
      <c r="K28" s="433"/>
      <c r="L28" s="434" t="e">
        <f>IF(AND(SUM(#REF!)=2,#REF!&lt;&gt;0),#REF!,"")</f>
        <v>#REF!</v>
      </c>
      <c r="M28" s="433"/>
    </row>
    <row r="29" spans="1:13" x14ac:dyDescent="0.2">
      <c r="A29" s="429" t="e">
        <f>IF(AND(SUM(#REF!)=2,#REF!&lt;&gt;0),#REF!,"")</f>
        <v>#REF!</v>
      </c>
      <c r="B29" s="429" t="e">
        <f>IF(AND(SUM(#REF!)=2,#REF!&lt;&gt;0),#REF!,"")</f>
        <v>#REF!</v>
      </c>
      <c r="C29" s="430"/>
      <c r="D29" s="431"/>
      <c r="E29" s="431"/>
      <c r="F29" s="433"/>
      <c r="G29" s="433"/>
      <c r="H29" s="433"/>
      <c r="I29" s="433"/>
      <c r="J29" s="433"/>
      <c r="K29" s="433"/>
      <c r="L29" s="434" t="e">
        <f>IF(AND(SUM(#REF!)=2,#REF!&lt;&gt;0),#REF!,"")</f>
        <v>#REF!</v>
      </c>
      <c r="M29" s="433"/>
    </row>
    <row r="30" spans="1:13" x14ac:dyDescent="0.2">
      <c r="A30" s="429" t="e">
        <f>IF(AND(SUM(#REF!)=2,#REF!&lt;&gt;0),#REF!,"")</f>
        <v>#REF!</v>
      </c>
      <c r="B30" s="429" t="e">
        <f>IF(AND(SUM(#REF!)=2,#REF!&lt;&gt;0),#REF!,"")</f>
        <v>#REF!</v>
      </c>
      <c r="C30" s="430"/>
      <c r="D30" s="431"/>
      <c r="E30" s="431"/>
      <c r="F30" s="433"/>
      <c r="G30" s="433"/>
      <c r="H30" s="433"/>
      <c r="I30" s="433"/>
      <c r="J30" s="433"/>
      <c r="K30" s="433"/>
      <c r="L30" s="434" t="e">
        <f>IF(AND(SUM(#REF!)=2,#REF!&lt;&gt;0),#REF!,"")</f>
        <v>#REF!</v>
      </c>
      <c r="M30" s="433"/>
    </row>
    <row r="31" spans="1:13" x14ac:dyDescent="0.2">
      <c r="A31" s="429" t="e">
        <f>IF(AND(SUM(#REF!)=2,#REF!&lt;&gt;0),#REF!,"")</f>
        <v>#REF!</v>
      </c>
      <c r="B31" s="429" t="e">
        <f>IF(AND(SUM(#REF!)=2,#REF!&lt;&gt;0),#REF!,"")</f>
        <v>#REF!</v>
      </c>
      <c r="C31" s="430"/>
      <c r="D31" s="431"/>
      <c r="E31" s="431"/>
      <c r="F31" s="433"/>
      <c r="G31" s="433"/>
      <c r="H31" s="433"/>
      <c r="I31" s="433"/>
      <c r="J31" s="433"/>
      <c r="K31" s="433"/>
      <c r="L31" s="434" t="e">
        <f>IF(AND(SUM(#REF!)=2,#REF!&lt;&gt;0),#REF!,"")</f>
        <v>#REF!</v>
      </c>
      <c r="M31" s="433"/>
    </row>
    <row r="32" spans="1:13" x14ac:dyDescent="0.2">
      <c r="A32" s="429" t="e">
        <f>IF(AND(SUM(#REF!)=2,#REF!&lt;&gt;0),#REF!,"")</f>
        <v>#REF!</v>
      </c>
      <c r="B32" s="429" t="e">
        <f>IF(AND(SUM(#REF!)=2,#REF!&lt;&gt;0),#REF!,"")</f>
        <v>#REF!</v>
      </c>
      <c r="C32" s="431"/>
      <c r="D32" s="431"/>
      <c r="E32" s="431"/>
      <c r="F32" s="431"/>
      <c r="G32" s="431"/>
      <c r="H32" s="431"/>
      <c r="I32" s="431"/>
      <c r="J32" s="431"/>
      <c r="K32" s="431"/>
      <c r="L32" s="434" t="e">
        <f>IF(AND(SUM(#REF!)=2,#REF!&lt;&gt;0),#REF!,"")</f>
        <v>#REF!</v>
      </c>
      <c r="M32" s="431"/>
    </row>
    <row r="33" spans="1:13" x14ac:dyDescent="0.2">
      <c r="A33" s="429" t="e">
        <f>IF(AND(SUM(#REF!)=2,#REF!&lt;&gt;0),#REF!,"")</f>
        <v>#REF!</v>
      </c>
      <c r="B33" s="429" t="e">
        <f>IF(AND(SUM(#REF!)=2,#REF!&lt;&gt;0),#REF!,"")</f>
        <v>#REF!</v>
      </c>
      <c r="C33" s="431"/>
      <c r="D33" s="431"/>
      <c r="E33" s="431"/>
      <c r="F33" s="431"/>
      <c r="G33" s="431"/>
      <c r="H33" s="431"/>
      <c r="I33" s="431"/>
      <c r="J33" s="431"/>
      <c r="K33" s="431"/>
      <c r="L33" s="434" t="e">
        <f>IF(AND(SUM(#REF!)=2,#REF!&lt;&gt;0),#REF!,"")</f>
        <v>#REF!</v>
      </c>
      <c r="M33" s="431"/>
    </row>
    <row r="34" spans="1:13" x14ac:dyDescent="0.2">
      <c r="A34" s="429" t="e">
        <f>IF(AND(SUM(#REF!)=2,#REF!&lt;&gt;0),#REF!,"")</f>
        <v>#REF!</v>
      </c>
      <c r="B34" s="429" t="e">
        <f>IF(AND(SUM(#REF!)=2,#REF!&lt;&gt;0),#REF!,"")</f>
        <v>#REF!</v>
      </c>
      <c r="C34" s="431"/>
      <c r="D34" s="431"/>
      <c r="E34" s="431"/>
      <c r="F34" s="431"/>
      <c r="G34" s="431"/>
      <c r="H34" s="431"/>
      <c r="I34" s="431"/>
      <c r="J34" s="431"/>
      <c r="K34" s="431"/>
      <c r="L34" s="434" t="e">
        <f>IF(AND(SUM(#REF!)=2,#REF!&lt;&gt;0),#REF!,"")</f>
        <v>#REF!</v>
      </c>
      <c r="M34" s="431"/>
    </row>
    <row r="35" spans="1:13" x14ac:dyDescent="0.2">
      <c r="A35" s="429" t="e">
        <f>IF(AND(SUM(#REF!)=2,#REF!&lt;&gt;0),#REF!,"")</f>
        <v>#REF!</v>
      </c>
      <c r="B35" s="429" t="e">
        <f>IF(AND(SUM(#REF!)=2,#REF!&lt;&gt;0),#REF!,"")</f>
        <v>#REF!</v>
      </c>
      <c r="C35" s="431"/>
      <c r="D35" s="431"/>
      <c r="E35" s="431"/>
      <c r="F35" s="431"/>
      <c r="G35" s="431"/>
      <c r="H35" s="431"/>
      <c r="I35" s="431"/>
      <c r="J35" s="431"/>
      <c r="K35" s="431"/>
      <c r="L35" s="434" t="e">
        <f>IF(AND(SUM(#REF!)=2,#REF!&lt;&gt;0),#REF!,"")</f>
        <v>#REF!</v>
      </c>
      <c r="M35" s="431"/>
    </row>
    <row r="36" spans="1:13" x14ac:dyDescent="0.2">
      <c r="A36" s="429" t="e">
        <f>IF(AND(SUM(#REF!)=2,#REF!&lt;&gt;0),#REF!,"")</f>
        <v>#REF!</v>
      </c>
      <c r="B36" s="429" t="e">
        <f>IF(AND(SUM(#REF!)=2,#REF!&lt;&gt;0),#REF!,"")</f>
        <v>#REF!</v>
      </c>
      <c r="C36" s="431"/>
      <c r="D36" s="431"/>
      <c r="E36" s="431"/>
      <c r="F36" s="431"/>
      <c r="G36" s="431"/>
      <c r="H36" s="431"/>
      <c r="I36" s="431"/>
      <c r="J36" s="431"/>
      <c r="K36" s="431"/>
      <c r="L36" s="434" t="e">
        <f>IF(AND(SUM(#REF!)=2,#REF!&lt;&gt;0),#REF!,"")</f>
        <v>#REF!</v>
      </c>
      <c r="M36" s="431"/>
    </row>
    <row r="37" spans="1:13" x14ac:dyDescent="0.2">
      <c r="A37" s="429" t="e">
        <f>IF(AND(SUM(#REF!)=2,#REF!&lt;&gt;0),#REF!,"")</f>
        <v>#REF!</v>
      </c>
      <c r="B37" s="429" t="e">
        <f>IF(AND(SUM(#REF!)=2,#REF!&lt;&gt;0),#REF!,"")</f>
        <v>#REF!</v>
      </c>
      <c r="C37" s="431"/>
      <c r="D37" s="431"/>
      <c r="E37" s="431"/>
      <c r="F37" s="431"/>
      <c r="G37" s="431"/>
      <c r="H37" s="431"/>
      <c r="I37" s="431"/>
      <c r="J37" s="431"/>
      <c r="K37" s="431"/>
      <c r="L37" s="434" t="e">
        <f>IF(AND(SUM(#REF!)=2,#REF!&lt;&gt;0),#REF!,"")</f>
        <v>#REF!</v>
      </c>
      <c r="M37" s="431"/>
    </row>
    <row r="38" spans="1:13" x14ac:dyDescent="0.2">
      <c r="A38" s="429" t="e">
        <f>IF(AND(SUM(#REF!)=2,#REF!&lt;&gt;0),#REF!,"")</f>
        <v>#REF!</v>
      </c>
      <c r="B38" s="429" t="e">
        <f>IF(AND(SUM(#REF!)=2,#REF!&lt;&gt;0),#REF!,"")</f>
        <v>#REF!</v>
      </c>
      <c r="C38" s="431"/>
      <c r="D38" s="431"/>
      <c r="E38" s="431"/>
      <c r="F38" s="431"/>
      <c r="G38" s="431"/>
      <c r="H38" s="431"/>
      <c r="I38" s="431"/>
      <c r="J38" s="431"/>
      <c r="K38" s="431"/>
      <c r="L38" s="434" t="e">
        <f>IF(AND(SUM(#REF!)=2,#REF!&lt;&gt;0),#REF!,"")</f>
        <v>#REF!</v>
      </c>
      <c r="M38" s="431"/>
    </row>
    <row r="39" spans="1:13" x14ac:dyDescent="0.2">
      <c r="A39" s="429" t="e">
        <f>IF(AND(SUM(#REF!)=2,#REF!&lt;&gt;0),#REF!,"")</f>
        <v>#REF!</v>
      </c>
      <c r="B39" s="429" t="e">
        <f>IF(AND(SUM(#REF!)=2,#REF!&lt;&gt;0),#REF!,"")</f>
        <v>#REF!</v>
      </c>
      <c r="C39" s="431"/>
      <c r="D39" s="431"/>
      <c r="E39" s="431"/>
      <c r="F39" s="431"/>
      <c r="G39" s="431"/>
      <c r="H39" s="431"/>
      <c r="I39" s="431"/>
      <c r="J39" s="431"/>
      <c r="K39" s="431"/>
      <c r="L39" s="434" t="e">
        <f>IF(AND(SUM(#REF!)=2,#REF!&lt;&gt;0),#REF!,"")</f>
        <v>#REF!</v>
      </c>
      <c r="M39" s="431"/>
    </row>
    <row r="40" spans="1:13" x14ac:dyDescent="0.2">
      <c r="A40" s="429" t="e">
        <f>IF(AND(SUM(#REF!)=2,#REF!&lt;&gt;0),#REF!,"")</f>
        <v>#REF!</v>
      </c>
      <c r="B40" s="429" t="e">
        <f>IF(AND(SUM(#REF!)=2,#REF!&lt;&gt;0),#REF!,"")</f>
        <v>#REF!</v>
      </c>
      <c r="C40" s="431"/>
      <c r="D40" s="431"/>
      <c r="E40" s="431"/>
      <c r="F40" s="431"/>
      <c r="G40" s="431"/>
      <c r="H40" s="431"/>
      <c r="I40" s="431"/>
      <c r="J40" s="431"/>
      <c r="K40" s="431"/>
      <c r="L40" s="434" t="e">
        <f>IF(AND(SUM(#REF!)=2,#REF!&lt;&gt;0),#REF!,"")</f>
        <v>#REF!</v>
      </c>
      <c r="M40" s="431"/>
    </row>
    <row r="41" spans="1:13" x14ac:dyDescent="0.2">
      <c r="A41" s="429" t="e">
        <f>IF(AND(SUM(#REF!)=2,#REF!&lt;&gt;0),#REF!,"")</f>
        <v>#REF!</v>
      </c>
      <c r="B41" s="429" t="e">
        <f>IF(AND(SUM(#REF!)=2,#REF!&lt;&gt;0),#REF!,"")</f>
        <v>#REF!</v>
      </c>
      <c r="C41" s="431"/>
      <c r="D41" s="431"/>
      <c r="E41" s="431"/>
      <c r="F41" s="431"/>
      <c r="G41" s="431"/>
      <c r="H41" s="431"/>
      <c r="I41" s="431"/>
      <c r="J41" s="431"/>
      <c r="K41" s="431"/>
      <c r="L41" s="434" t="e">
        <f>IF(AND(SUM(#REF!)=2,#REF!&lt;&gt;0),#REF!,"")</f>
        <v>#REF!</v>
      </c>
      <c r="M41" s="431"/>
    </row>
    <row r="42" spans="1:13" x14ac:dyDescent="0.2">
      <c r="A42" s="429" t="e">
        <f>IF(AND(SUM(#REF!)=2,#REF!&lt;&gt;0),#REF!,"")</f>
        <v>#REF!</v>
      </c>
      <c r="B42" s="429" t="e">
        <f>IF(AND(SUM(#REF!)=2,#REF!&lt;&gt;0),#REF!,"")</f>
        <v>#REF!</v>
      </c>
      <c r="C42" s="431"/>
      <c r="D42" s="431"/>
      <c r="E42" s="431"/>
      <c r="F42" s="431"/>
      <c r="G42" s="431"/>
      <c r="H42" s="431"/>
      <c r="I42" s="431"/>
      <c r="J42" s="431"/>
      <c r="K42" s="431"/>
      <c r="L42" s="434" t="e">
        <f>IF(AND(SUM(#REF!)=2,#REF!&lt;&gt;0),#REF!,"")</f>
        <v>#REF!</v>
      </c>
      <c r="M42" s="431"/>
    </row>
    <row r="43" spans="1:13" x14ac:dyDescent="0.2">
      <c r="A43" s="429" t="e">
        <f>IF(AND(SUM(#REF!)=2,#REF!&lt;&gt;0),#REF!,"")</f>
        <v>#REF!</v>
      </c>
      <c r="B43" s="429" t="e">
        <f>IF(AND(SUM(#REF!)=2,#REF!&lt;&gt;0),#REF!,"")</f>
        <v>#REF!</v>
      </c>
      <c r="C43" s="431"/>
      <c r="D43" s="431"/>
      <c r="E43" s="431"/>
      <c r="F43" s="431"/>
      <c r="G43" s="431"/>
      <c r="H43" s="431"/>
      <c r="I43" s="431"/>
      <c r="J43" s="431"/>
      <c r="K43" s="431"/>
      <c r="L43" s="434" t="e">
        <f>IF(AND(SUM(#REF!)=2,#REF!&lt;&gt;0),#REF!,"")</f>
        <v>#REF!</v>
      </c>
      <c r="M43" s="431"/>
    </row>
    <row r="44" spans="1:13" x14ac:dyDescent="0.2">
      <c r="A44" s="429" t="e">
        <f>IF(AND(SUM(#REF!)=2,#REF!&lt;&gt;0),#REF!,"")</f>
        <v>#REF!</v>
      </c>
      <c r="B44" s="429" t="e">
        <f>IF(AND(SUM(#REF!)=2,#REF!&lt;&gt;0),#REF!,"")</f>
        <v>#REF!</v>
      </c>
      <c r="C44" s="431"/>
      <c r="D44" s="431"/>
      <c r="E44" s="431"/>
      <c r="F44" s="431"/>
      <c r="G44" s="431"/>
      <c r="H44" s="431"/>
      <c r="I44" s="431"/>
      <c r="J44" s="431"/>
      <c r="K44" s="431"/>
      <c r="L44" s="434" t="e">
        <f>IF(AND(SUM(#REF!)=2,#REF!&lt;&gt;0),#REF!,"")</f>
        <v>#REF!</v>
      </c>
      <c r="M44" s="431"/>
    </row>
    <row r="45" spans="1:13" x14ac:dyDescent="0.2">
      <c r="A45" s="429" t="e">
        <f>IF(AND(SUM(#REF!)=2,#REF!&lt;&gt;0),#REF!,"")</f>
        <v>#REF!</v>
      </c>
      <c r="B45" s="429" t="e">
        <f>IF(AND(SUM(#REF!)=2,#REF!&lt;&gt;0),#REF!,"")</f>
        <v>#REF!</v>
      </c>
      <c r="C45" s="431"/>
      <c r="D45" s="431"/>
      <c r="E45" s="431"/>
      <c r="F45" s="431"/>
      <c r="G45" s="431"/>
      <c r="H45" s="431"/>
      <c r="I45" s="431"/>
      <c r="J45" s="431"/>
      <c r="K45" s="431"/>
      <c r="L45" s="434" t="e">
        <f>IF(AND(SUM(#REF!)=2,#REF!&lt;&gt;0),#REF!,"")</f>
        <v>#REF!</v>
      </c>
      <c r="M45" s="431"/>
    </row>
    <row r="46" spans="1:13" x14ac:dyDescent="0.2">
      <c r="A46" s="429" t="e">
        <f>IF(AND(SUM(#REF!)=2,#REF!&lt;&gt;0),#REF!,"")</f>
        <v>#REF!</v>
      </c>
      <c r="B46" s="429" t="e">
        <f>IF(AND(SUM(#REF!)=2,#REF!&lt;&gt;0),#REF!,"")</f>
        <v>#REF!</v>
      </c>
      <c r="C46" s="431"/>
      <c r="D46" s="431"/>
      <c r="E46" s="431"/>
      <c r="F46" s="431"/>
      <c r="G46" s="431"/>
      <c r="H46" s="431"/>
      <c r="I46" s="431"/>
      <c r="J46" s="431"/>
      <c r="K46" s="431"/>
      <c r="L46" s="434" t="e">
        <f>IF(AND(SUM(#REF!)=2,#REF!&lt;&gt;0),#REF!,"")</f>
        <v>#REF!</v>
      </c>
      <c r="M46" s="431"/>
    </row>
    <row r="47" spans="1:13" x14ac:dyDescent="0.2">
      <c r="A47" s="429" t="e">
        <f>IF(AND(SUM(#REF!)=2,#REF!&lt;&gt;0),#REF!,"")</f>
        <v>#REF!</v>
      </c>
      <c r="B47" s="429" t="e">
        <f>IF(AND(SUM(#REF!)=2,#REF!&lt;&gt;0),#REF!,"")</f>
        <v>#REF!</v>
      </c>
      <c r="C47" s="431"/>
      <c r="D47" s="431"/>
      <c r="E47" s="431"/>
      <c r="F47" s="431"/>
      <c r="G47" s="431"/>
      <c r="H47" s="431"/>
      <c r="I47" s="431"/>
      <c r="J47" s="431"/>
      <c r="K47" s="431"/>
      <c r="L47" s="434" t="e">
        <f>IF(AND(SUM(#REF!)=2,#REF!&lt;&gt;0),#REF!,"")</f>
        <v>#REF!</v>
      </c>
      <c r="M47" s="431"/>
    </row>
    <row r="48" spans="1:13" x14ac:dyDescent="0.2">
      <c r="A48" s="429" t="e">
        <f>IF(AND(SUM(#REF!)=2,#REF!&lt;&gt;0),#REF!,"")</f>
        <v>#REF!</v>
      </c>
      <c r="B48" s="429" t="e">
        <f>IF(AND(SUM(#REF!)=2,#REF!&lt;&gt;0),#REF!,"")</f>
        <v>#REF!</v>
      </c>
      <c r="C48" s="431"/>
      <c r="D48" s="431"/>
      <c r="E48" s="431"/>
      <c r="F48" s="431"/>
      <c r="G48" s="431"/>
      <c r="H48" s="431"/>
      <c r="I48" s="431"/>
      <c r="J48" s="431"/>
      <c r="K48" s="431"/>
      <c r="L48" s="434" t="e">
        <f>IF(AND(SUM(#REF!)=2,#REF!&lt;&gt;0),#REF!,"")</f>
        <v>#REF!</v>
      </c>
      <c r="M48" s="431"/>
    </row>
    <row r="49" spans="1:13" x14ac:dyDescent="0.2">
      <c r="A49" s="429" t="e">
        <f>IF(AND(SUM(#REF!)=2,#REF!&lt;&gt;0),#REF!,"")</f>
        <v>#REF!</v>
      </c>
      <c r="B49" s="429" t="e">
        <f>IF(AND(SUM(#REF!)=2,#REF!&lt;&gt;0),#REF!,"")</f>
        <v>#REF!</v>
      </c>
      <c r="C49" s="431"/>
      <c r="D49" s="431"/>
      <c r="E49" s="431"/>
      <c r="F49" s="431"/>
      <c r="G49" s="431"/>
      <c r="H49" s="431"/>
      <c r="I49" s="431"/>
      <c r="J49" s="431"/>
      <c r="K49" s="431"/>
      <c r="L49" s="434" t="e">
        <f>IF(AND(SUM(#REF!)=2,#REF!&lt;&gt;0),#REF!,"")</f>
        <v>#REF!</v>
      </c>
      <c r="M49" s="431"/>
    </row>
    <row r="50" spans="1:13" x14ac:dyDescent="0.2">
      <c r="A50" s="429" t="e">
        <f>IF(AND(SUM(#REF!)=2,#REF!&lt;&gt;0),#REF!,"")</f>
        <v>#REF!</v>
      </c>
      <c r="B50" s="429" t="e">
        <f>IF(AND(SUM(#REF!)=2,#REF!&lt;&gt;0),#REF!,"")</f>
        <v>#REF!</v>
      </c>
      <c r="C50" s="431"/>
      <c r="D50" s="431"/>
      <c r="E50" s="431"/>
      <c r="F50" s="431"/>
      <c r="G50" s="431"/>
      <c r="H50" s="431"/>
      <c r="I50" s="431"/>
      <c r="J50" s="431"/>
      <c r="K50" s="431"/>
      <c r="L50" s="434" t="e">
        <f>IF(AND(SUM(#REF!)=2,#REF!&lt;&gt;0),#REF!,"")</f>
        <v>#REF!</v>
      </c>
      <c r="M50" s="431"/>
    </row>
    <row r="51" spans="1:13" x14ac:dyDescent="0.2">
      <c r="A51" s="429" t="e">
        <f>IF(AND(SUM(#REF!)=2,#REF!&lt;&gt;0),#REF!,"")</f>
        <v>#REF!</v>
      </c>
      <c r="B51" s="429" t="e">
        <f>IF(AND(SUM(#REF!)=2,#REF!&lt;&gt;0),#REF!,"")</f>
        <v>#REF!</v>
      </c>
      <c r="C51" s="431"/>
      <c r="D51" s="431"/>
      <c r="E51" s="431"/>
      <c r="F51" s="431"/>
      <c r="G51" s="431"/>
      <c r="H51" s="431"/>
      <c r="I51" s="431"/>
      <c r="J51" s="431"/>
      <c r="K51" s="431"/>
      <c r="L51" s="434" t="e">
        <f>IF(AND(SUM(#REF!)=2,#REF!&lt;&gt;0),#REF!,"")</f>
        <v>#REF!</v>
      </c>
      <c r="M51" s="43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E3317-958C-4F9A-87D5-3C49FA0FB6B5}">
  <sheetPr>
    <pageSetUpPr fitToPage="1"/>
  </sheetPr>
  <dimension ref="A1:J27"/>
  <sheetViews>
    <sheetView showGridLines="0" zoomScaleNormal="100" workbookViewId="0">
      <pane ySplit="6" topLeftCell="A7" activePane="bottomLeft" state="frozen"/>
      <selection pane="bottomLeft" activeCell="A7" sqref="A7"/>
    </sheetView>
  </sheetViews>
  <sheetFormatPr defaultColWidth="11.42578125" defaultRowHeight="15" x14ac:dyDescent="0.25"/>
  <cols>
    <col min="1" max="1" width="34.7109375" style="420" customWidth="1"/>
    <col min="2" max="2" width="17.5703125" style="420" customWidth="1"/>
    <col min="3" max="3" width="44.7109375" style="420" customWidth="1"/>
    <col min="4" max="4" width="13.7109375" style="420" customWidth="1"/>
    <col min="5" max="5" width="16.7109375" style="420" customWidth="1"/>
    <col min="6" max="6" width="44.7109375" style="420" customWidth="1"/>
    <col min="7" max="7" width="11.42578125" style="420"/>
    <col min="8" max="8" width="11.42578125" style="420" hidden="1" customWidth="1"/>
    <col min="9" max="16384" width="11.42578125" style="420"/>
  </cols>
  <sheetData>
    <row r="1" spans="1:10" ht="8.25" customHeight="1" x14ac:dyDescent="0.25">
      <c r="A1" s="10"/>
      <c r="B1" s="10"/>
      <c r="C1" s="10"/>
      <c r="D1" s="10"/>
      <c r="E1" s="10"/>
      <c r="F1" s="10"/>
      <c r="G1" s="10"/>
      <c r="H1" s="10"/>
      <c r="I1" s="10"/>
      <c r="J1" s="10"/>
    </row>
    <row r="2" spans="1:10" x14ac:dyDescent="0.25">
      <c r="A2" s="380" t="str">
        <f>'Basic data'!A2</f>
        <v>Annex CR Version N1.1 (Audit year 2026 / Indicator year 2025)</v>
      </c>
      <c r="B2" s="10"/>
      <c r="C2" s="10"/>
      <c r="D2" s="10"/>
      <c r="E2" s="10"/>
      <c r="F2" s="10"/>
      <c r="G2" s="10"/>
      <c r="H2" s="10"/>
      <c r="I2" s="10"/>
      <c r="J2" s="10"/>
    </row>
    <row r="3" spans="1:10" ht="15.75" x14ac:dyDescent="0.25">
      <c r="A3" s="421" t="s">
        <v>803</v>
      </c>
      <c r="B3" s="10"/>
      <c r="C3" s="10"/>
      <c r="D3" s="10"/>
      <c r="E3" s="10"/>
      <c r="F3" s="10"/>
      <c r="G3" s="10"/>
      <c r="H3" s="10"/>
      <c r="I3" s="10"/>
      <c r="J3" s="10"/>
    </row>
    <row r="4" spans="1:10" ht="15.75" customHeight="1" x14ac:dyDescent="0.25">
      <c r="A4" s="436" t="s">
        <v>804</v>
      </c>
      <c r="B4" s="10"/>
      <c r="C4" s="10"/>
      <c r="D4" s="10"/>
      <c r="E4" s="10"/>
      <c r="F4" s="10"/>
      <c r="G4" s="10"/>
      <c r="H4" s="10"/>
      <c r="I4" s="10"/>
      <c r="J4" s="10"/>
    </row>
    <row r="5" spans="1:10" ht="9" customHeight="1" thickBot="1" x14ac:dyDescent="0.3"/>
    <row r="6" spans="1:10" ht="49.5" customHeight="1" thickBot="1" x14ac:dyDescent="0.3">
      <c r="A6" s="422" t="s">
        <v>805</v>
      </c>
      <c r="B6" s="423" t="s">
        <v>806</v>
      </c>
      <c r="C6" s="423" t="s">
        <v>814</v>
      </c>
      <c r="D6" s="423" t="s">
        <v>807</v>
      </c>
      <c r="E6" s="423" t="s">
        <v>808</v>
      </c>
      <c r="F6" s="437" t="s">
        <v>815</v>
      </c>
    </row>
    <row r="7" spans="1:10" ht="26.1" customHeight="1" x14ac:dyDescent="0.25">
      <c r="A7" s="438"/>
      <c r="B7" s="439"/>
      <c r="C7" s="440"/>
      <c r="D7" s="441"/>
      <c r="E7" s="442"/>
      <c r="F7" s="443"/>
      <c r="H7" s="112" t="s">
        <v>811</v>
      </c>
    </row>
    <row r="8" spans="1:10" ht="26.1" customHeight="1" x14ac:dyDescent="0.25">
      <c r="A8" s="451"/>
      <c r="B8" s="452"/>
      <c r="C8" s="453"/>
      <c r="D8" s="454"/>
      <c r="E8" s="455"/>
      <c r="F8" s="456"/>
      <c r="H8" s="112" t="s">
        <v>809</v>
      </c>
    </row>
    <row r="9" spans="1:10" ht="26.1" customHeight="1" x14ac:dyDescent="0.25">
      <c r="A9" s="451"/>
      <c r="B9" s="452"/>
      <c r="C9" s="453"/>
      <c r="D9" s="454"/>
      <c r="E9" s="455"/>
      <c r="F9" s="456"/>
      <c r="H9" s="112" t="s">
        <v>810</v>
      </c>
    </row>
    <row r="10" spans="1:10" ht="26.1" customHeight="1" x14ac:dyDescent="0.25">
      <c r="A10" s="451"/>
      <c r="B10" s="452"/>
      <c r="C10" s="453"/>
      <c r="D10" s="454"/>
      <c r="E10" s="455"/>
      <c r="F10" s="456"/>
      <c r="H10" s="112"/>
    </row>
    <row r="11" spans="1:10" ht="26.1" customHeight="1" x14ac:dyDescent="0.25">
      <c r="A11" s="451"/>
      <c r="B11" s="452"/>
      <c r="C11" s="453"/>
      <c r="D11" s="454"/>
      <c r="E11" s="455"/>
      <c r="F11" s="456"/>
      <c r="H11" s="112"/>
    </row>
    <row r="12" spans="1:10" ht="26.1" customHeight="1" x14ac:dyDescent="0.25">
      <c r="A12" s="451"/>
      <c r="B12" s="452"/>
      <c r="C12" s="453"/>
      <c r="D12" s="454"/>
      <c r="E12" s="455"/>
      <c r="F12" s="456"/>
      <c r="H12" s="112"/>
    </row>
    <row r="13" spans="1:10" ht="26.1" customHeight="1" x14ac:dyDescent="0.25">
      <c r="A13" s="451"/>
      <c r="B13" s="452"/>
      <c r="C13" s="453"/>
      <c r="D13" s="454"/>
      <c r="E13" s="455"/>
      <c r="F13" s="456"/>
      <c r="H13" s="112"/>
    </row>
    <row r="14" spans="1:10" ht="26.1" customHeight="1" x14ac:dyDescent="0.25">
      <c r="A14" s="451"/>
      <c r="B14" s="452"/>
      <c r="C14" s="453"/>
      <c r="D14" s="454"/>
      <c r="E14" s="455"/>
      <c r="F14" s="456"/>
      <c r="H14" s="112"/>
    </row>
    <row r="15" spans="1:10" ht="26.1" customHeight="1" x14ac:dyDescent="0.25">
      <c r="A15" s="451"/>
      <c r="B15" s="452"/>
      <c r="C15" s="453"/>
      <c r="D15" s="454"/>
      <c r="E15" s="455"/>
      <c r="F15" s="456"/>
      <c r="H15" s="112"/>
    </row>
    <row r="16" spans="1:10" ht="26.1" customHeight="1" x14ac:dyDescent="0.25">
      <c r="A16" s="451"/>
      <c r="B16" s="452"/>
      <c r="C16" s="453"/>
      <c r="D16" s="454"/>
      <c r="E16" s="455"/>
      <c r="F16" s="456"/>
      <c r="H16" s="112"/>
    </row>
    <row r="17" spans="1:8" ht="26.1" customHeight="1" x14ac:dyDescent="0.25">
      <c r="A17" s="451"/>
      <c r="B17" s="452"/>
      <c r="C17" s="453"/>
      <c r="D17" s="454"/>
      <c r="E17" s="455"/>
      <c r="F17" s="456"/>
      <c r="H17" s="112"/>
    </row>
    <row r="18" spans="1:8" ht="26.1" customHeight="1" x14ac:dyDescent="0.25">
      <c r="A18" s="451"/>
      <c r="B18" s="452"/>
      <c r="C18" s="453"/>
      <c r="D18" s="454"/>
      <c r="E18" s="455"/>
      <c r="F18" s="456"/>
      <c r="H18" s="112"/>
    </row>
    <row r="19" spans="1:8" ht="26.1" customHeight="1" x14ac:dyDescent="0.25">
      <c r="A19" s="451"/>
      <c r="B19" s="452"/>
      <c r="C19" s="453"/>
      <c r="D19" s="454"/>
      <c r="E19" s="455"/>
      <c r="F19" s="456"/>
      <c r="H19" s="112"/>
    </row>
    <row r="20" spans="1:8" ht="26.1" customHeight="1" x14ac:dyDescent="0.25">
      <c r="A20" s="451"/>
      <c r="B20" s="452"/>
      <c r="C20" s="453"/>
      <c r="D20" s="454"/>
      <c r="E20" s="455"/>
      <c r="F20" s="456"/>
      <c r="H20" s="112"/>
    </row>
    <row r="21" spans="1:8" ht="26.1" customHeight="1" x14ac:dyDescent="0.25">
      <c r="A21" s="451"/>
      <c r="B21" s="452"/>
      <c r="C21" s="453"/>
      <c r="D21" s="454"/>
      <c r="E21" s="455"/>
      <c r="F21" s="456"/>
      <c r="H21" s="112"/>
    </row>
    <row r="22" spans="1:8" ht="26.1" customHeight="1" x14ac:dyDescent="0.25">
      <c r="A22" s="451"/>
      <c r="B22" s="452"/>
      <c r="C22" s="453"/>
      <c r="D22" s="454"/>
      <c r="E22" s="455"/>
      <c r="F22" s="456"/>
      <c r="H22" s="112"/>
    </row>
    <row r="23" spans="1:8" ht="26.1" customHeight="1" thickBot="1" x14ac:dyDescent="0.3">
      <c r="A23" s="444"/>
      <c r="B23" s="445"/>
      <c r="C23" s="446"/>
      <c r="D23" s="447"/>
      <c r="E23" s="448"/>
      <c r="F23" s="449"/>
    </row>
    <row r="24" spans="1:8" ht="24.95" customHeight="1" thickBot="1" x14ac:dyDescent="0.3">
      <c r="D24" s="450" t="s">
        <v>802</v>
      </c>
      <c r="E24" s="457">
        <f>SUM(E7:E23)</f>
        <v>0</v>
      </c>
    </row>
    <row r="25" spans="1:8" ht="6.75" customHeight="1" x14ac:dyDescent="0.25"/>
    <row r="26" spans="1:8" ht="15.75" customHeight="1" x14ac:dyDescent="0.25">
      <c r="A26" s="597"/>
      <c r="B26" s="597"/>
      <c r="C26" s="597"/>
    </row>
    <row r="27" spans="1:8" x14ac:dyDescent="0.25">
      <c r="A27" s="424"/>
    </row>
  </sheetData>
  <sheetProtection algorithmName="SHA-512" hashValue="d8Exj07+y2M6MEiqRPJ/Dk9y5fAPOwawG/kNm0Rn0ROdDxs/No/etq8qBpVwqbsmMjy3mlH1vUciTD4S17CkCw==" saltValue="eAwuaz6++mAFjQZgMW1eig==" spinCount="100000" sheet="1" objects="1" scenarios="1" selectLockedCells="1"/>
  <mergeCells count="1">
    <mergeCell ref="A26:C26"/>
  </mergeCells>
  <phoneticPr fontId="142" type="noConversion"/>
  <conditionalFormatting sqref="A7:B23">
    <cfRule type="expression" dxfId="148" priority="7" stopIfTrue="1">
      <formula>LEN(TRIM(A7))=0</formula>
    </cfRule>
  </conditionalFormatting>
  <conditionalFormatting sqref="C7:F23">
    <cfRule type="expression" dxfId="147" priority="3">
      <formula>LEN(TRIM(C7))=0</formula>
    </cfRule>
  </conditionalFormatting>
  <conditionalFormatting sqref="E7:E23">
    <cfRule type="expression" dxfId="146" priority="5">
      <formula>AND(B7="Designated surgeon",E7&lt;50)</formula>
    </cfRule>
    <cfRule type="expression" dxfId="145" priority="6">
      <formula>AND(B7="Non-designated surgeon",E7&gt;=0)</formula>
    </cfRule>
  </conditionalFormatting>
  <conditionalFormatting sqref="F7:F23">
    <cfRule type="expression" dxfId="144" priority="1">
      <formula>AND($B7="Designated surgeon",$E7&gt;=50)</formula>
    </cfRule>
    <cfRule type="expression" dxfId="143" priority="2">
      <formula>AND($B7="Senior surgeon",$E7&lt;&gt;"")</formula>
    </cfRule>
    <cfRule type="expression" dxfId="142" priority="4">
      <formula>AND($B7="Non-designated surgeon",$E7&lt;&gt;"",$F7="")</formula>
    </cfRule>
  </conditionalFormatting>
  <dataValidations count="5">
    <dataValidation type="textLength" showInputMessage="1" showErrorMessage="1" errorTitle="Character length" error="Only text input up to 200 characters possible." sqref="A7:A22 A23 C7:C22 C23" xr:uid="{C727A9B7-C7AF-4DC9-BD00-474706C26C81}">
      <formula1>2</formula1>
      <formula2>200</formula2>
    </dataValidation>
    <dataValidation type="whole" showInputMessage="1" showErrorMessage="1" errorTitle="Input data error" error="Whole number between 0 and 5000." sqref="E7:E22 E23" xr:uid="{A0334849-6B5A-4430-9562-B75940D9211A}">
      <formula1>0</formula1>
      <formula2>5000</formula2>
    </dataValidation>
    <dataValidation type="textLength" showInputMessage="1" showErrorMessage="1" errorTitle="Character length" error="Only text input up to 500 characters possible." sqref="F7:F22 F23" xr:uid="{B5F99F1C-BAED-49AF-82D0-4C66D3E550F5}">
      <formula1>2</formula1>
      <formula2>500</formula2>
    </dataValidation>
    <dataValidation type="list" allowBlank="1" showInputMessage="1" showErrorMessage="1" errorTitle="Input data error" error="Only values from the dropdown list are allowed." sqref="B7:B23" xr:uid="{2933D536-C5DD-4D01-8DB4-EDE79FEDBC32}">
      <formula1>$H$7:$H$9</formula1>
    </dataValidation>
    <dataValidation type="textLength" allowBlank="1" showInputMessage="1" showErrorMessage="1" errorTitle="Note" error="Please enter the period from ... to the key figure year." sqref="D7:D23" xr:uid="{D2378A83-1AB2-4F69-B0A0-2534AE4B5739}">
      <formula1>2</formula1>
      <formula2>500</formula2>
    </dataValidation>
  </dataValidations>
  <pageMargins left="0.23622047244094491" right="0.23622047244094491" top="0.74803149606299213" bottom="0.74803149606299213" header="0.31496062992125984" footer="0.31496062992125984"/>
  <pageSetup scale="78" orientation="landscape" horizontalDpi="4294967295" verticalDpi="4294967295" r:id="rId1"/>
  <headerFooter>
    <oddFooter xml:space="preserve">&amp;L&amp;"Arial,Regular"&amp;7&amp;F&amp;R&amp;"Arial,Regular"&amp;7&amp;P       </oddFooter>
  </headerFooter>
  <rowBreaks count="1" manualBreakCount="1">
    <brk id="23" max="4"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dimension ref="A1:S86"/>
  <sheetViews>
    <sheetView showGridLines="0" showRuler="0" zoomScaleNormal="100" zoomScaleSheetLayoutView="100" workbookViewId="0">
      <pane ySplit="8" topLeftCell="A9" activePane="bottomLeft" state="frozen"/>
      <selection pane="bottomLeft" activeCell="Q9" sqref="Q9:Q11"/>
    </sheetView>
  </sheetViews>
  <sheetFormatPr defaultColWidth="11.42578125" defaultRowHeight="14.25" x14ac:dyDescent="0.2"/>
  <cols>
    <col min="1" max="1" width="6.5703125" style="1" customWidth="1"/>
    <col min="2" max="2" width="4.85546875" style="1" customWidth="1"/>
    <col min="3" max="3" width="17.5703125" style="1" customWidth="1"/>
    <col min="4" max="4" width="14" style="1" customWidth="1"/>
    <col min="5" max="5" width="11.7109375" style="1" customWidth="1"/>
    <col min="6" max="6" width="13.5703125" style="1" customWidth="1"/>
    <col min="7" max="7" width="10.5703125" style="1" customWidth="1"/>
    <col min="8" max="8" width="12.85546875" style="1" customWidth="1"/>
    <col min="9" max="9" width="8.42578125" style="1" customWidth="1"/>
    <col min="10" max="10" width="5.7109375" style="1" customWidth="1"/>
    <col min="11" max="11" width="4.28515625" style="1" customWidth="1"/>
    <col min="12" max="12" width="4.42578125" style="1" customWidth="1"/>
    <col min="13" max="13" width="5.7109375" style="1" customWidth="1"/>
    <col min="14" max="14" width="9.85546875" style="1" customWidth="1"/>
    <col min="15" max="15" width="8" style="3" customWidth="1"/>
    <col min="16" max="16" width="8.42578125" style="1" customWidth="1"/>
    <col min="17" max="18" width="73" style="1" customWidth="1"/>
    <col min="19" max="19" width="15.5703125" style="1" hidden="1" customWidth="1"/>
    <col min="20" max="256" width="9.140625" style="1" customWidth="1"/>
    <col min="257" max="16384" width="11.42578125" style="1"/>
  </cols>
  <sheetData>
    <row r="1" spans="1:18" ht="9.9499999999999993" customHeight="1" x14ac:dyDescent="0.2">
      <c r="O1" s="1"/>
    </row>
    <row r="2" spans="1:18" ht="15" customHeight="1" x14ac:dyDescent="0.2">
      <c r="A2" s="380" t="str">
        <f>'Basic data'!A2</f>
        <v>Annex CR Version N1.1 (Audit year 2026 / Indicator year 2025)</v>
      </c>
      <c r="O2" s="1"/>
      <c r="Q2" s="650"/>
    </row>
    <row r="3" spans="1:18" ht="16.5" x14ac:dyDescent="0.25">
      <c r="A3" s="14" t="s">
        <v>423</v>
      </c>
      <c r="N3" s="15"/>
      <c r="O3" s="1"/>
      <c r="Q3" s="651"/>
    </row>
    <row r="4" spans="1:18" ht="12" customHeight="1" x14ac:dyDescent="0.25">
      <c r="A4" s="14"/>
      <c r="N4" s="15"/>
      <c r="O4" s="1"/>
      <c r="Q4" s="651"/>
    </row>
    <row r="5" spans="1:18" ht="13.5" customHeight="1" x14ac:dyDescent="0.25">
      <c r="A5" s="20" t="s">
        <v>424</v>
      </c>
      <c r="C5" s="29" t="str">
        <f>IF('Basic data'!C6=0,"",'Basic data'!C6)</f>
        <v>Not listed</v>
      </c>
      <c r="D5" s="416" t="s">
        <v>398</v>
      </c>
      <c r="E5" s="735" t="str">
        <f>IF('Basic data'!C8=0,"",'Basic data'!C8)</f>
        <v>-----</v>
      </c>
      <c r="F5" s="736"/>
      <c r="G5" s="737"/>
      <c r="H5" s="737"/>
      <c r="I5" s="737"/>
      <c r="J5" s="737"/>
      <c r="K5" s="737"/>
      <c r="L5" s="737"/>
      <c r="M5" s="738"/>
      <c r="N5" s="15"/>
      <c r="O5" s="1"/>
      <c r="Q5" s="651"/>
    </row>
    <row r="6" spans="1:18" s="17" customFormat="1" ht="7.5" customHeight="1" thickBot="1" x14ac:dyDescent="0.25">
      <c r="A6" s="4"/>
      <c r="B6" s="4"/>
      <c r="O6" s="15"/>
      <c r="P6" s="13"/>
    </row>
    <row r="7" spans="1:18" s="6" customFormat="1" ht="13.5" customHeight="1" thickBot="1" x14ac:dyDescent="0.3">
      <c r="A7" s="720" t="s">
        <v>431</v>
      </c>
      <c r="B7" s="720" t="s">
        <v>733</v>
      </c>
      <c r="C7" s="720" t="s">
        <v>432</v>
      </c>
      <c r="D7" s="724" t="s">
        <v>433</v>
      </c>
      <c r="E7" s="728"/>
      <c r="F7" s="724" t="s">
        <v>434</v>
      </c>
      <c r="G7" s="728"/>
      <c r="H7" s="739" t="s">
        <v>435</v>
      </c>
      <c r="I7" s="740"/>
      <c r="J7" s="731" t="s">
        <v>705</v>
      </c>
      <c r="K7" s="733" t="s">
        <v>436</v>
      </c>
      <c r="L7" s="733"/>
      <c r="M7" s="731" t="s">
        <v>705</v>
      </c>
      <c r="N7" s="724" t="s">
        <v>437</v>
      </c>
      <c r="O7" s="725"/>
      <c r="P7" s="720" t="s">
        <v>438</v>
      </c>
      <c r="Q7" s="716" t="s">
        <v>439</v>
      </c>
      <c r="R7" s="717"/>
    </row>
    <row r="8" spans="1:18" s="6" customFormat="1" ht="26.25" customHeight="1" thickBot="1" x14ac:dyDescent="0.3">
      <c r="A8" s="723"/>
      <c r="B8" s="723"/>
      <c r="C8" s="723"/>
      <c r="D8" s="729"/>
      <c r="E8" s="730"/>
      <c r="F8" s="729"/>
      <c r="G8" s="730"/>
      <c r="H8" s="741"/>
      <c r="I8" s="740"/>
      <c r="J8" s="732"/>
      <c r="K8" s="733"/>
      <c r="L8" s="733"/>
      <c r="M8" s="732"/>
      <c r="N8" s="726"/>
      <c r="O8" s="727"/>
      <c r="P8" s="721"/>
      <c r="Q8" s="381" t="s">
        <v>440</v>
      </c>
      <c r="R8" s="381" t="s">
        <v>441</v>
      </c>
    </row>
    <row r="9" spans="1:18" ht="27.75" customHeight="1" thickBot="1" x14ac:dyDescent="0.25">
      <c r="A9" s="701">
        <v>1</v>
      </c>
      <c r="B9" s="664"/>
      <c r="C9" s="617" t="s">
        <v>710</v>
      </c>
      <c r="D9" s="611" t="s">
        <v>711</v>
      </c>
      <c r="E9" s="681"/>
      <c r="F9" s="611" t="s">
        <v>753</v>
      </c>
      <c r="G9" s="681"/>
      <c r="H9" s="620" t="s">
        <v>408</v>
      </c>
      <c r="I9" s="703"/>
      <c r="J9" s="641"/>
      <c r="K9" s="626" t="s">
        <v>256</v>
      </c>
      <c r="L9" s="627"/>
      <c r="M9" s="641"/>
      <c r="N9" s="382" t="s">
        <v>442</v>
      </c>
      <c r="O9" s="410"/>
      <c r="P9" s="653" t="str">
        <f>IF(O11=Berechnung1!D40,Berechnung1!$F$5,IF(OR(O11&lt; Berechnung1!E40,O11&gt; Berechnung1!F40),Berechnung1!$G$5,IF(OR(ROUND(O11,4)&lt;Berechnung1!J40,ROUND(O11,4)&gt;Berechnung1!K40),Berechnung1!$D$5,IF(OR(ROUND(O11,4)&lt;Berechnung1!G40,ROUND(O11,4)&gt;Berechnung1!H40),Berechnung1!$E$5,Berechnung1!$C$5))))</f>
        <v>Incomplete</v>
      </c>
      <c r="Q9" s="610"/>
      <c r="R9" s="608"/>
    </row>
    <row r="10" spans="1:18" ht="27.75" customHeight="1" thickBot="1" x14ac:dyDescent="0.25">
      <c r="A10" s="701"/>
      <c r="B10" s="645"/>
      <c r="C10" s="618"/>
      <c r="D10" s="613"/>
      <c r="E10" s="682"/>
      <c r="F10" s="613"/>
      <c r="G10" s="682"/>
      <c r="H10" s="622"/>
      <c r="I10" s="704"/>
      <c r="J10" s="642"/>
      <c r="K10" s="628"/>
      <c r="L10" s="629"/>
      <c r="M10" s="642"/>
      <c r="N10" s="382" t="s">
        <v>443</v>
      </c>
      <c r="O10" s="27">
        <f>IF('Basic data'!$L$33="",0,'Basic data'!$L$33)</f>
        <v>0</v>
      </c>
      <c r="P10" s="653"/>
      <c r="Q10" s="609"/>
      <c r="R10" s="609"/>
    </row>
    <row r="11" spans="1:18" ht="27.75" customHeight="1" thickBot="1" x14ac:dyDescent="0.25">
      <c r="A11" s="701"/>
      <c r="B11" s="646"/>
      <c r="C11" s="619"/>
      <c r="D11" s="615"/>
      <c r="E11" s="683"/>
      <c r="F11" s="615"/>
      <c r="G11" s="683"/>
      <c r="H11" s="624"/>
      <c r="I11" s="705"/>
      <c r="J11" s="643"/>
      <c r="K11" s="630"/>
      <c r="L11" s="631"/>
      <c r="M11" s="643"/>
      <c r="N11" s="382" t="s">
        <v>119</v>
      </c>
      <c r="O11" s="160" t="str">
        <f>IF(O9="","n.d.",IF(O10="","n.d.",IF(O10=0,"",O9/O10)))</f>
        <v>n.d.</v>
      </c>
      <c r="P11" s="653"/>
      <c r="Q11" s="609"/>
      <c r="R11" s="609"/>
    </row>
    <row r="12" spans="1:18" ht="29.25" customHeight="1" thickBot="1" x14ac:dyDescent="0.25">
      <c r="A12" s="701">
        <v>2</v>
      </c>
      <c r="B12" s="644" t="s">
        <v>367</v>
      </c>
      <c r="C12" s="617" t="s">
        <v>712</v>
      </c>
      <c r="D12" s="611" t="s">
        <v>736</v>
      </c>
      <c r="E12" s="681"/>
      <c r="F12" s="611" t="s">
        <v>737</v>
      </c>
      <c r="G12" s="681"/>
      <c r="H12" s="620" t="s">
        <v>463</v>
      </c>
      <c r="I12" s="703"/>
      <c r="J12" s="734"/>
      <c r="K12" s="626" t="s">
        <v>837</v>
      </c>
      <c r="L12" s="627"/>
      <c r="M12" s="706"/>
      <c r="N12" s="382" t="s">
        <v>442</v>
      </c>
      <c r="O12" s="410"/>
      <c r="P12" s="653" t="str">
        <f>IF(O14=Berechnung1!D43,Berechnung1!$F$5,IF(OR(O14&lt; Berechnung1!E43,O14&gt; Berechnung1!F43),Berechnung1!$G$5,IF(OR(ROUND(O14,4)&lt;Berechnung1!J43,ROUND(O14,4)&gt;Berechnung1!K43),Berechnung1!$D$5,IF(OR(ROUND(O14,4)&lt;Berechnung1!G43,ROUND(O14,4)&gt;Berechnung1!H43),Berechnung1!$E$5,Berechnung1!$C$5))))</f>
        <v>Incomplete</v>
      </c>
      <c r="Q12" s="610"/>
      <c r="R12" s="608"/>
    </row>
    <row r="13" spans="1:18" ht="29.25" customHeight="1" thickBot="1" x14ac:dyDescent="0.25">
      <c r="A13" s="701"/>
      <c r="B13" s="645"/>
      <c r="C13" s="618"/>
      <c r="D13" s="613"/>
      <c r="E13" s="682"/>
      <c r="F13" s="613"/>
      <c r="G13" s="682"/>
      <c r="H13" s="622"/>
      <c r="I13" s="704"/>
      <c r="J13" s="642"/>
      <c r="K13" s="628"/>
      <c r="L13" s="629"/>
      <c r="M13" s="707"/>
      <c r="N13" s="382" t="s">
        <v>443</v>
      </c>
      <c r="O13" s="27">
        <f>IF('Basic data'!$L$30 = "",0,'Basic data'!$L$30)</f>
        <v>0</v>
      </c>
      <c r="P13" s="653"/>
      <c r="Q13" s="609"/>
      <c r="R13" s="609"/>
    </row>
    <row r="14" spans="1:18" ht="29.25" customHeight="1" thickBot="1" x14ac:dyDescent="0.25">
      <c r="A14" s="701"/>
      <c r="B14" s="646"/>
      <c r="C14" s="619"/>
      <c r="D14" s="615"/>
      <c r="E14" s="683"/>
      <c r="F14" s="615"/>
      <c r="G14" s="683"/>
      <c r="H14" s="624"/>
      <c r="I14" s="705"/>
      <c r="J14" s="643"/>
      <c r="K14" s="630"/>
      <c r="L14" s="631"/>
      <c r="M14" s="708"/>
      <c r="N14" s="382" t="s">
        <v>119</v>
      </c>
      <c r="O14" s="395" t="str">
        <f>IF(O12="","n.d.",IF(O13="","n.d.",IF(O13=0,"",O12/O13)))</f>
        <v>n.d.</v>
      </c>
      <c r="P14" s="653"/>
      <c r="Q14" s="609"/>
      <c r="R14" s="609"/>
    </row>
    <row r="15" spans="1:18" ht="30" customHeight="1" thickBot="1" x14ac:dyDescent="0.25">
      <c r="A15" s="701">
        <v>3</v>
      </c>
      <c r="B15" s="664"/>
      <c r="C15" s="617" t="s">
        <v>713</v>
      </c>
      <c r="D15" s="611" t="s">
        <v>714</v>
      </c>
      <c r="E15" s="681"/>
      <c r="F15" s="611" t="s">
        <v>715</v>
      </c>
      <c r="G15" s="681"/>
      <c r="H15" s="690" t="s">
        <v>849</v>
      </c>
      <c r="I15" s="703"/>
      <c r="J15" s="641" t="s">
        <v>347</v>
      </c>
      <c r="K15" s="626" t="s">
        <v>444</v>
      </c>
      <c r="L15" s="627"/>
      <c r="M15" s="706"/>
      <c r="N15" s="383" t="s">
        <v>442</v>
      </c>
      <c r="O15" s="410"/>
      <c r="P15" s="699" t="str">
        <f>IF(AND(O15&lt;&gt;"",O16&lt;&gt;"",O15=0,O16=0),Berechnung1!$H$5,IF(O17=Berechnung1!D46,Berechnung1!$F$5,IF(OR(O17&lt;Berechnung1!E46,O17&gt;Berechnung1!F46),Berechnung1!$G$5,IF(OR(ROUND(O17,4)&lt;Berechnung1!J46,ROUND(O17,4)&gt;Berechnung1!K46),Berechnung1!$D$5,IF(OR(ROUND(O17,4)&lt;Berechnung1!G46,ROUND(O17,4)&gt;Berechnung1!H46),Berechnung1!$E$5,Berechnung1!$C$5)))))</f>
        <v>Incomplete</v>
      </c>
      <c r="Q15" s="610"/>
      <c r="R15" s="608"/>
    </row>
    <row r="16" spans="1:18" ht="30" customHeight="1" thickBot="1" x14ac:dyDescent="0.25">
      <c r="A16" s="701"/>
      <c r="B16" s="645"/>
      <c r="C16" s="618"/>
      <c r="D16" s="613"/>
      <c r="E16" s="682"/>
      <c r="F16" s="613"/>
      <c r="G16" s="682"/>
      <c r="H16" s="622"/>
      <c r="I16" s="704"/>
      <c r="J16" s="642"/>
      <c r="K16" s="628"/>
      <c r="L16" s="629"/>
      <c r="M16" s="707"/>
      <c r="N16" s="383" t="s">
        <v>443</v>
      </c>
      <c r="O16" s="27">
        <f>IF('Basic data'!$J$44="",0,'Basic data'!$J$44)</f>
        <v>0</v>
      </c>
      <c r="P16" s="699"/>
      <c r="Q16" s="609"/>
      <c r="R16" s="718"/>
    </row>
    <row r="17" spans="1:19" ht="30" customHeight="1" thickBot="1" x14ac:dyDescent="0.25">
      <c r="A17" s="701"/>
      <c r="B17" s="646"/>
      <c r="C17" s="619"/>
      <c r="D17" s="615"/>
      <c r="E17" s="683"/>
      <c r="F17" s="615"/>
      <c r="G17" s="683"/>
      <c r="H17" s="624"/>
      <c r="I17" s="705"/>
      <c r="J17" s="643"/>
      <c r="K17" s="630"/>
      <c r="L17" s="631"/>
      <c r="M17" s="708"/>
      <c r="N17" s="382" t="s">
        <v>119</v>
      </c>
      <c r="O17" s="394" t="str">
        <f>IF(O15="","n.d.",IF(O16="","n.d.",IF(O16=0,"",O15/O16)))</f>
        <v>n.d.</v>
      </c>
      <c r="P17" s="653"/>
      <c r="Q17" s="609"/>
      <c r="R17" s="719"/>
    </row>
    <row r="18" spans="1:19" ht="30" customHeight="1" thickBot="1" x14ac:dyDescent="0.25">
      <c r="A18" s="722" t="s">
        <v>354</v>
      </c>
      <c r="B18" s="644" t="s">
        <v>717</v>
      </c>
      <c r="C18" s="617" t="s">
        <v>716</v>
      </c>
      <c r="D18" s="611" t="s">
        <v>739</v>
      </c>
      <c r="E18" s="681"/>
      <c r="F18" s="611" t="s">
        <v>754</v>
      </c>
      <c r="G18" s="681"/>
      <c r="H18" s="611" t="s">
        <v>768</v>
      </c>
      <c r="I18" s="703"/>
      <c r="J18" s="657"/>
      <c r="K18" s="626" t="s">
        <v>265</v>
      </c>
      <c r="L18" s="627"/>
      <c r="M18" s="641"/>
      <c r="N18" s="383" t="s">
        <v>442</v>
      </c>
      <c r="O18" s="410"/>
      <c r="P18" s="653" t="str">
        <f>IF(O20=Berechnung1!D49,Berechnung1!$F$5,IF(OR(O20&lt; Berechnung1!E49,O20&gt; Berechnung1!F49),Berechnung1!$G$5,IF(OR(ROUND(O20,4)&lt;Berechnung1!J49,ROUND(O20,4)&gt;Berechnung1!K49),Berechnung1!$D$5,IF(OR(ROUND(O20,4)&lt;Berechnung1!G49,ROUND(O20,4)&gt;Berechnung1!H49),Berechnung1!$E$5,Berechnung1!$C$5))))</f>
        <v>Incomplete</v>
      </c>
      <c r="Q18" s="610"/>
      <c r="R18" s="608"/>
    </row>
    <row r="19" spans="1:19" ht="30" customHeight="1" thickBot="1" x14ac:dyDescent="0.25">
      <c r="A19" s="722"/>
      <c r="B19" s="645"/>
      <c r="C19" s="618" t="s">
        <v>123</v>
      </c>
      <c r="D19" s="613"/>
      <c r="E19" s="682"/>
      <c r="F19" s="613"/>
      <c r="G19" s="682"/>
      <c r="H19" s="613"/>
      <c r="I19" s="704"/>
      <c r="J19" s="642"/>
      <c r="K19" s="628"/>
      <c r="L19" s="629"/>
      <c r="M19" s="642"/>
      <c r="N19" s="382" t="s">
        <v>443</v>
      </c>
      <c r="O19" s="27">
        <f>IF(S19="",0,S19)</f>
        <v>0</v>
      </c>
      <c r="P19" s="653"/>
      <c r="Q19" s="609"/>
      <c r="R19" s="718"/>
      <c r="S19" s="302">
        <f>SUM('Basic data'!E34:I34)</f>
        <v>0</v>
      </c>
    </row>
    <row r="20" spans="1:19" ht="30" customHeight="1" thickBot="1" x14ac:dyDescent="0.25">
      <c r="A20" s="722"/>
      <c r="B20" s="646"/>
      <c r="C20" s="619"/>
      <c r="D20" s="615"/>
      <c r="E20" s="683"/>
      <c r="F20" s="615"/>
      <c r="G20" s="683"/>
      <c r="H20" s="615"/>
      <c r="I20" s="705"/>
      <c r="J20" s="643"/>
      <c r="K20" s="630"/>
      <c r="L20" s="631"/>
      <c r="M20" s="643"/>
      <c r="N20" s="382" t="s">
        <v>119</v>
      </c>
      <c r="O20" s="160" t="str">
        <f>IF(O18="","n.d.",IF(O19="","n.d.",IF(O19=0,"",O18/O19)))</f>
        <v>n.d.</v>
      </c>
      <c r="P20" s="653"/>
      <c r="Q20" s="609"/>
      <c r="R20" s="719"/>
    </row>
    <row r="21" spans="1:19" ht="30" customHeight="1" thickBot="1" x14ac:dyDescent="0.25">
      <c r="A21" s="712" t="s">
        <v>355</v>
      </c>
      <c r="B21" s="664"/>
      <c r="C21" s="617" t="s">
        <v>446</v>
      </c>
      <c r="D21" s="611" t="s">
        <v>447</v>
      </c>
      <c r="E21" s="709"/>
      <c r="F21" s="611" t="s">
        <v>445</v>
      </c>
      <c r="G21" s="709"/>
      <c r="H21" s="620" t="s">
        <v>448</v>
      </c>
      <c r="I21" s="713"/>
      <c r="J21" s="641" t="s">
        <v>743</v>
      </c>
      <c r="K21" s="626" t="s">
        <v>444</v>
      </c>
      <c r="L21" s="627"/>
      <c r="M21" s="641"/>
      <c r="N21" s="382" t="s">
        <v>442</v>
      </c>
      <c r="O21" s="410"/>
      <c r="P21" s="653" t="str">
        <f>IF(AND(O21&lt;&gt;"",O22&lt;&gt;"",O21=0,O22=0),Berechnung1!$H$5,IF(O23=Berechnung1!D52,Berechnung1!$F$5,IF(OR(O23&lt; Berechnung1!E52,O23&gt; Berechnung1!F52),Berechnung1!$G$5,IF(OR(ROUND(O23,4)&lt;Berechnung1!J52,ROUND(O23,4)&gt;Berechnung1!K52),Berechnung1!$D$5,IF(OR(ROUND(O23,4)&lt;Berechnung1!G52,ROUND(O23,4)&gt;Berechnung1!H52),Berechnung1!$E$5,Berechnung1!$C$5)))))</f>
        <v>Incomplete</v>
      </c>
      <c r="Q21" s="610"/>
      <c r="R21" s="608"/>
    </row>
    <row r="22" spans="1:19" ht="30" customHeight="1" thickBot="1" x14ac:dyDescent="0.25">
      <c r="A22" s="712"/>
      <c r="B22" s="665"/>
      <c r="C22" s="618" t="s">
        <v>123</v>
      </c>
      <c r="D22" s="613"/>
      <c r="E22" s="710"/>
      <c r="F22" s="613"/>
      <c r="G22" s="710"/>
      <c r="H22" s="622"/>
      <c r="I22" s="714"/>
      <c r="J22" s="642"/>
      <c r="K22" s="628"/>
      <c r="L22" s="629"/>
      <c r="M22" s="642"/>
      <c r="N22" s="382" t="s">
        <v>443</v>
      </c>
      <c r="O22" s="410"/>
      <c r="P22" s="653"/>
      <c r="Q22" s="609"/>
      <c r="R22" s="609"/>
      <c r="S22" s="1">
        <f>IF('Basic data'!L34="",0,'Basic data'!L34)</f>
        <v>0</v>
      </c>
    </row>
    <row r="23" spans="1:19" ht="30" customHeight="1" thickBot="1" x14ac:dyDescent="0.25">
      <c r="A23" s="712"/>
      <c r="B23" s="666"/>
      <c r="C23" s="619"/>
      <c r="D23" s="615"/>
      <c r="E23" s="711"/>
      <c r="F23" s="615"/>
      <c r="G23" s="711"/>
      <c r="H23" s="624"/>
      <c r="I23" s="715"/>
      <c r="J23" s="643"/>
      <c r="K23" s="630"/>
      <c r="L23" s="631"/>
      <c r="M23" s="643"/>
      <c r="N23" s="382" t="s">
        <v>119</v>
      </c>
      <c r="O23" s="160" t="str">
        <f>IF(O21="","n.d.",IF(O22="","n.d.",IF(O22=0,"",O21/O22)))</f>
        <v>n.d.</v>
      </c>
      <c r="P23" s="653"/>
      <c r="Q23" s="609"/>
      <c r="R23" s="609"/>
    </row>
    <row r="24" spans="1:19" ht="30" customHeight="1" thickBot="1" x14ac:dyDescent="0.25">
      <c r="A24" s="700">
        <v>6</v>
      </c>
      <c r="B24" s="644" t="s">
        <v>717</v>
      </c>
      <c r="C24" s="702" t="s">
        <v>718</v>
      </c>
      <c r="D24" s="611" t="s">
        <v>719</v>
      </c>
      <c r="E24" s="709"/>
      <c r="F24" s="611" t="s">
        <v>449</v>
      </c>
      <c r="G24" s="709"/>
      <c r="H24" s="611" t="s">
        <v>720</v>
      </c>
      <c r="I24" s="713"/>
      <c r="J24" s="641"/>
      <c r="K24" s="626" t="s">
        <v>256</v>
      </c>
      <c r="L24" s="627"/>
      <c r="M24" s="706"/>
      <c r="N24" s="382" t="s">
        <v>442</v>
      </c>
      <c r="O24" s="410"/>
      <c r="P24" s="653" t="str">
        <f>IF(O26=Berechnung1!D55,Berechnung1!$F$5,IF(OR(O26&lt; Berechnung1!E55,O26&gt; Berechnung1!F55),Berechnung1!$G$5,IF(OR(ROUND(O26,4)&lt;Berechnung1!J55,ROUND(O26,4)&gt;Berechnung1!K55),Berechnung1!$D$5,IF(OR(ROUND(O26,4)&lt;Berechnung1!G55,ROUND(O26,4)&gt;Berechnung1!H55),Berechnung1!$E$5,Berechnung1!$C$5))))</f>
        <v>Incomplete</v>
      </c>
      <c r="Q24" s="610"/>
      <c r="R24" s="608"/>
    </row>
    <row r="25" spans="1:19" ht="30" customHeight="1" thickBot="1" x14ac:dyDescent="0.25">
      <c r="A25" s="700"/>
      <c r="B25" s="645"/>
      <c r="C25" s="702" t="s">
        <v>464</v>
      </c>
      <c r="D25" s="613"/>
      <c r="E25" s="710"/>
      <c r="F25" s="613"/>
      <c r="G25" s="710"/>
      <c r="H25" s="613"/>
      <c r="I25" s="714"/>
      <c r="J25" s="642"/>
      <c r="K25" s="628"/>
      <c r="L25" s="629"/>
      <c r="M25" s="707"/>
      <c r="N25" s="382" t="s">
        <v>443</v>
      </c>
      <c r="O25" s="410"/>
      <c r="P25" s="653"/>
      <c r="Q25" s="609"/>
      <c r="R25" s="609"/>
      <c r="S25" s="1">
        <f>SUM('Basic data'!E30:I30)+'Basic data'!K30</f>
        <v>0</v>
      </c>
    </row>
    <row r="26" spans="1:19" ht="30" customHeight="1" thickBot="1" x14ac:dyDescent="0.25">
      <c r="A26" s="700"/>
      <c r="B26" s="646"/>
      <c r="C26" s="702"/>
      <c r="D26" s="615"/>
      <c r="E26" s="711"/>
      <c r="F26" s="615"/>
      <c r="G26" s="711"/>
      <c r="H26" s="615"/>
      <c r="I26" s="715"/>
      <c r="J26" s="643"/>
      <c r="K26" s="630"/>
      <c r="L26" s="631"/>
      <c r="M26" s="708"/>
      <c r="N26" s="382" t="s">
        <v>119</v>
      </c>
      <c r="O26" s="160" t="str">
        <f>IF(O24="","n.d.",IF(O25="","n.d.",IF(O25=0,"",O24/O25)))</f>
        <v>n.d.</v>
      </c>
      <c r="P26" s="653"/>
      <c r="Q26" s="609"/>
      <c r="R26" s="609"/>
    </row>
    <row r="27" spans="1:19" ht="30" customHeight="1" thickBot="1" x14ac:dyDescent="0.25">
      <c r="A27" s="700">
        <v>7</v>
      </c>
      <c r="B27" s="644" t="s">
        <v>717</v>
      </c>
      <c r="C27" s="702" t="s">
        <v>838</v>
      </c>
      <c r="D27" s="611" t="s">
        <v>839</v>
      </c>
      <c r="E27" s="681"/>
      <c r="F27" s="611" t="s">
        <v>840</v>
      </c>
      <c r="G27" s="681"/>
      <c r="H27" s="611" t="s">
        <v>744</v>
      </c>
      <c r="I27" s="703"/>
      <c r="J27" s="641"/>
      <c r="K27" s="626" t="s">
        <v>256</v>
      </c>
      <c r="L27" s="627"/>
      <c r="M27" s="641"/>
      <c r="N27" s="382" t="s">
        <v>442</v>
      </c>
      <c r="O27" s="410"/>
      <c r="P27" s="653" t="str">
        <f>IF(AND(O27&lt;&gt;"",O28&lt;&gt;"",O27=0,O28=0),Berechnung1!$H$5,IF(O29=Berechnung1!D58,Berechnung1!$F$5,IF(OR(O29&lt; Berechnung1!E58,O29&gt; Berechnung1!F58),Berechnung1!$G$5,IF(OR(ROUND(O29,4)&lt;Berechnung1!J58,ROUND(O29,4)&gt;Berechnung1!K58),Berechnung1!$D$5,IF(OR(ROUND(O29,4)&lt;Berechnung1!G58,ROUND(O29,4)&gt;Berechnung1!H58),Berechnung1!$E$5,Berechnung1!$C$5)))))</f>
        <v>Incomplete</v>
      </c>
      <c r="Q27" s="610"/>
      <c r="R27" s="608"/>
    </row>
    <row r="28" spans="1:19" ht="30" customHeight="1" thickBot="1" x14ac:dyDescent="0.25">
      <c r="A28" s="700"/>
      <c r="B28" s="645"/>
      <c r="C28" s="702"/>
      <c r="D28" s="613"/>
      <c r="E28" s="682"/>
      <c r="F28" s="613"/>
      <c r="G28" s="682"/>
      <c r="H28" s="613"/>
      <c r="I28" s="704"/>
      <c r="J28" s="642"/>
      <c r="K28" s="628"/>
      <c r="L28" s="629"/>
      <c r="M28" s="642"/>
      <c r="N28" s="382" t="s">
        <v>443</v>
      </c>
      <c r="O28" s="410"/>
      <c r="P28" s="653"/>
      <c r="Q28" s="609"/>
      <c r="R28" s="609"/>
      <c r="S28" s="1">
        <f>SUM('Basic data'!E30:I30)+'Basic data'!K30</f>
        <v>0</v>
      </c>
    </row>
    <row r="29" spans="1:19" ht="30" customHeight="1" thickBot="1" x14ac:dyDescent="0.25">
      <c r="A29" s="700"/>
      <c r="B29" s="646"/>
      <c r="C29" s="702"/>
      <c r="D29" s="615"/>
      <c r="E29" s="683"/>
      <c r="F29" s="615"/>
      <c r="G29" s="683"/>
      <c r="H29" s="615"/>
      <c r="I29" s="705"/>
      <c r="J29" s="643"/>
      <c r="K29" s="630"/>
      <c r="L29" s="631"/>
      <c r="M29" s="643"/>
      <c r="N29" s="382" t="s">
        <v>119</v>
      </c>
      <c r="O29" s="395" t="str">
        <f>IF(O27="","n.d.",IF(O28="","n.d.",IF(O28=0,"",O27/O28)))</f>
        <v>n.d.</v>
      </c>
      <c r="P29" s="653"/>
      <c r="Q29" s="609"/>
      <c r="R29" s="609"/>
    </row>
    <row r="30" spans="1:19" s="38" customFormat="1" ht="30" customHeight="1" thickBot="1" x14ac:dyDescent="0.25">
      <c r="A30" s="700">
        <v>8</v>
      </c>
      <c r="B30" s="644" t="s">
        <v>717</v>
      </c>
      <c r="C30" s="617" t="s">
        <v>465</v>
      </c>
      <c r="D30" s="611" t="s">
        <v>721</v>
      </c>
      <c r="E30" s="681"/>
      <c r="F30" s="611" t="s">
        <v>450</v>
      </c>
      <c r="G30" s="681"/>
      <c r="H30" s="620" t="s">
        <v>722</v>
      </c>
      <c r="I30" s="703"/>
      <c r="J30" s="641"/>
      <c r="K30" s="626" t="s">
        <v>256</v>
      </c>
      <c r="L30" s="627"/>
      <c r="M30" s="641"/>
      <c r="N30" s="393" t="s">
        <v>442</v>
      </c>
      <c r="O30" s="411"/>
      <c r="P30" s="699" t="str">
        <f>IF(AND(O30&lt;&gt;"",O31&lt;&gt;"",O30=0,O31=0),Berechnung1!$H$5,IF(O32=Berechnung1!D61,Berechnung1!$F$5,IF(OR(O32&lt; Berechnung1!E61,O32&gt; Berechnung1!F61),Berechnung1!$G$5,IF(OR(ROUND(O32,4)&lt;Berechnung1!J61,ROUND(O32,4)&gt;Berechnung1!K61),Berechnung1!$D$5,IF(OR(ROUND(O32,4)&lt;Berechnung1!G61,ROUND(O32,4)&gt;Berechnung1!H61),Berechnung1!$E$5,Berechnung1!$C$5)))))</f>
        <v>Incomplete</v>
      </c>
      <c r="Q30" s="610"/>
      <c r="R30" s="608"/>
    </row>
    <row r="31" spans="1:19" s="37" customFormat="1" ht="30" customHeight="1" thickBot="1" x14ac:dyDescent="0.25">
      <c r="A31" s="700"/>
      <c r="B31" s="645"/>
      <c r="C31" s="618"/>
      <c r="D31" s="613"/>
      <c r="E31" s="682"/>
      <c r="F31" s="613"/>
      <c r="G31" s="682"/>
      <c r="H31" s="622"/>
      <c r="I31" s="704"/>
      <c r="J31" s="642"/>
      <c r="K31" s="628"/>
      <c r="L31" s="629"/>
      <c r="M31" s="642"/>
      <c r="N31" s="393" t="s">
        <v>443</v>
      </c>
      <c r="O31" s="411"/>
      <c r="P31" s="699"/>
      <c r="Q31" s="609"/>
      <c r="R31" s="609"/>
    </row>
    <row r="32" spans="1:19" s="37" customFormat="1" ht="30" customHeight="1" thickBot="1" x14ac:dyDescent="0.25">
      <c r="A32" s="700"/>
      <c r="B32" s="646"/>
      <c r="C32" s="619"/>
      <c r="D32" s="615"/>
      <c r="E32" s="683"/>
      <c r="F32" s="615"/>
      <c r="G32" s="683"/>
      <c r="H32" s="624"/>
      <c r="I32" s="705"/>
      <c r="J32" s="643"/>
      <c r="K32" s="630"/>
      <c r="L32" s="631"/>
      <c r="M32" s="643"/>
      <c r="N32" s="384" t="s">
        <v>119</v>
      </c>
      <c r="O32" s="392" t="str">
        <f>IF(O30="","n.d.",IF(O31="","n.d.",IF(O31=0,"",O30/O31)))</f>
        <v>n.d.</v>
      </c>
      <c r="P32" s="653"/>
      <c r="Q32" s="609"/>
      <c r="R32" s="609"/>
    </row>
    <row r="33" spans="1:18" ht="33" customHeight="1" thickBot="1" x14ac:dyDescent="0.25">
      <c r="A33" s="701" t="s">
        <v>844</v>
      </c>
      <c r="B33" s="664"/>
      <c r="C33" s="702" t="s">
        <v>755</v>
      </c>
      <c r="D33" s="611" t="s">
        <v>756</v>
      </c>
      <c r="E33" s="681"/>
      <c r="F33" s="611" t="s">
        <v>757</v>
      </c>
      <c r="G33" s="681"/>
      <c r="H33" s="611" t="s">
        <v>767</v>
      </c>
      <c r="I33" s="703"/>
      <c r="J33" s="641"/>
      <c r="K33" s="626" t="s">
        <v>758</v>
      </c>
      <c r="L33" s="627"/>
      <c r="M33" s="641"/>
      <c r="N33" s="393" t="s">
        <v>442</v>
      </c>
      <c r="O33" s="411"/>
      <c r="P33" s="699" t="str">
        <f>IF(O35=Berechnung1!D64,Berechnung1!$F$5,IF(OR(O35&lt; Berechnung1!E64,O35&gt; Berechnung1!F64),Berechnung1!$G$5,IF(OR(ROUND(O35,4)&lt;Berechnung1!J64,ROUND(O35,4)&gt;Berechnung1!K64),Berechnung1!$D$5,IF(OR(ROUND(O35,4)&lt;Berechnung1!G64,ROUND(O35,4)&gt;Berechnung1!H64),Berechnung1!$E$5,Berechnung1!$C$5))))</f>
        <v>Incomplete</v>
      </c>
      <c r="Q33" s="610"/>
      <c r="R33" s="608"/>
    </row>
    <row r="34" spans="1:18" ht="33" customHeight="1" thickBot="1" x14ac:dyDescent="0.25">
      <c r="A34" s="701"/>
      <c r="B34" s="665"/>
      <c r="C34" s="702" t="s">
        <v>451</v>
      </c>
      <c r="D34" s="613"/>
      <c r="E34" s="682"/>
      <c r="F34" s="613"/>
      <c r="G34" s="682"/>
      <c r="H34" s="613"/>
      <c r="I34" s="704"/>
      <c r="J34" s="642"/>
      <c r="K34" s="628"/>
      <c r="L34" s="629"/>
      <c r="M34" s="642"/>
      <c r="N34" s="384" t="s">
        <v>443</v>
      </c>
      <c r="O34" s="458">
        <f>IF('Basic data'!$J$46="",0,'Basic data'!$J$46)</f>
        <v>0</v>
      </c>
      <c r="P34" s="653"/>
      <c r="Q34" s="609"/>
      <c r="R34" s="609"/>
    </row>
    <row r="35" spans="1:18" ht="33" customHeight="1" thickBot="1" x14ac:dyDescent="0.25">
      <c r="A35" s="701"/>
      <c r="B35" s="666"/>
      <c r="C35" s="702"/>
      <c r="D35" s="615"/>
      <c r="E35" s="683"/>
      <c r="F35" s="615"/>
      <c r="G35" s="683"/>
      <c r="H35" s="615"/>
      <c r="I35" s="705"/>
      <c r="J35" s="643"/>
      <c r="K35" s="630"/>
      <c r="L35" s="631"/>
      <c r="M35" s="643"/>
      <c r="N35" s="384" t="s">
        <v>119</v>
      </c>
      <c r="O35" s="460" t="str">
        <f>IF(O33="","n.d.",IF(O34="","n.d.",IF(O34=0,"",IF(O34&lt;O33,"",O33/O34))))</f>
        <v>n.d.</v>
      </c>
      <c r="P35" s="653"/>
      <c r="Q35" s="609"/>
      <c r="R35" s="609"/>
    </row>
    <row r="36" spans="1:18" ht="30" customHeight="1" thickBot="1" x14ac:dyDescent="0.25">
      <c r="A36" s="700">
        <v>10</v>
      </c>
      <c r="B36" s="664"/>
      <c r="C36" s="702" t="s">
        <v>764</v>
      </c>
      <c r="D36" s="611" t="s">
        <v>749</v>
      </c>
      <c r="E36" s="681"/>
      <c r="F36" s="611" t="s">
        <v>452</v>
      </c>
      <c r="G36" s="681"/>
      <c r="H36" s="611" t="s">
        <v>738</v>
      </c>
      <c r="I36" s="703"/>
      <c r="J36" s="641" t="s">
        <v>745</v>
      </c>
      <c r="K36" s="626" t="s">
        <v>444</v>
      </c>
      <c r="L36" s="627"/>
      <c r="M36" s="706"/>
      <c r="N36" s="383" t="s">
        <v>442</v>
      </c>
      <c r="O36" s="410"/>
      <c r="P36" s="699" t="str">
        <f>IF(O38=Berechnung1!D67,Berechnung1!$F$5,IF(OR(O38&lt; Berechnung1!E67,O38&gt; Berechnung1!F67),Berechnung1!$G$5,IF(OR(ROUND(O38,4)&lt;Berechnung1!J67,ROUND(O38,4)&gt;Berechnung1!K67),Berechnung1!$D$5,IF(OR(ROUND(O38,4)&lt;Berechnung1!G67,ROUND(O38,4)&gt;Berechnung1!H67),Berechnung1!$E$5,Berechnung1!$C$5))))</f>
        <v>Incomplete</v>
      </c>
      <c r="Q36" s="610"/>
      <c r="R36" s="608"/>
    </row>
    <row r="37" spans="1:18" ht="30" customHeight="1" thickBot="1" x14ac:dyDescent="0.25">
      <c r="A37" s="700"/>
      <c r="B37" s="665"/>
      <c r="C37" s="702"/>
      <c r="D37" s="613" t="s">
        <v>466</v>
      </c>
      <c r="E37" s="682"/>
      <c r="F37" s="613"/>
      <c r="G37" s="682"/>
      <c r="H37" s="613"/>
      <c r="I37" s="704"/>
      <c r="J37" s="642"/>
      <c r="K37" s="628"/>
      <c r="L37" s="629"/>
      <c r="M37" s="707"/>
      <c r="N37" s="382" t="s">
        <v>443</v>
      </c>
      <c r="O37" s="396">
        <f>IF('Basic data'!$J$46="",0,'Basic data'!$J$46)</f>
        <v>0</v>
      </c>
      <c r="P37" s="653"/>
      <c r="Q37" s="609"/>
      <c r="R37" s="609"/>
    </row>
    <row r="38" spans="1:18" ht="30" customHeight="1" thickBot="1" x14ac:dyDescent="0.25">
      <c r="A38" s="700"/>
      <c r="B38" s="666"/>
      <c r="C38" s="702"/>
      <c r="D38" s="615"/>
      <c r="E38" s="683"/>
      <c r="F38" s="615"/>
      <c r="G38" s="683"/>
      <c r="H38" s="615"/>
      <c r="I38" s="705"/>
      <c r="J38" s="643"/>
      <c r="K38" s="630"/>
      <c r="L38" s="631"/>
      <c r="M38" s="708"/>
      <c r="N38" s="382" t="s">
        <v>119</v>
      </c>
      <c r="O38" s="160" t="str">
        <f>IF(O36="","n.d.",IF(O37="","n.d.",IF(O37=0,"",O36/O37)))</f>
        <v>n.d.</v>
      </c>
      <c r="P38" s="653"/>
      <c r="Q38" s="609"/>
      <c r="R38" s="609"/>
    </row>
    <row r="39" spans="1:18" ht="30" customHeight="1" thickBot="1" x14ac:dyDescent="0.25">
      <c r="A39" s="700">
        <v>11</v>
      </c>
      <c r="B39" s="644" t="s">
        <v>268</v>
      </c>
      <c r="C39" s="702" t="s">
        <v>765</v>
      </c>
      <c r="D39" s="611" t="s">
        <v>467</v>
      </c>
      <c r="E39" s="681"/>
      <c r="F39" s="611" t="s">
        <v>453</v>
      </c>
      <c r="G39" s="681"/>
      <c r="H39" s="620" t="s">
        <v>463</v>
      </c>
      <c r="I39" s="703"/>
      <c r="J39" s="641"/>
      <c r="K39" s="626" t="s">
        <v>319</v>
      </c>
      <c r="L39" s="627"/>
      <c r="M39" s="641" t="s">
        <v>259</v>
      </c>
      <c r="N39" s="383" t="s">
        <v>442</v>
      </c>
      <c r="O39" s="396">
        <f>IF(Studies!E5="",0,Studies!E5)</f>
        <v>0</v>
      </c>
      <c r="P39" s="699" t="str">
        <f>IF(O41=Berechnung1!D70,Berechnung1!$F$5,IF(OR(O41&lt; Berechnung1!E70,O41&gt; Berechnung1!F70),Berechnung1!$G$5,IF(OR(ROUND(O41,4)&lt;Berechnung1!J70,ROUND(O41,4)&gt;Berechnung1!K70),Berechnung1!$D$5,IF(OR(ROUND(O41,4)&lt;Berechnung1!G70,ROUND(O41,4)&gt;Berechnung1!H70),Berechnung1!$E$5,Berechnung1!$C$5))))</f>
        <v>Incomplete</v>
      </c>
      <c r="Q39" s="610"/>
      <c r="R39" s="608"/>
    </row>
    <row r="40" spans="1:18" ht="30" customHeight="1" thickBot="1" x14ac:dyDescent="0.25">
      <c r="A40" s="700"/>
      <c r="B40" s="645"/>
      <c r="C40" s="702" t="s">
        <v>468</v>
      </c>
      <c r="D40" s="613"/>
      <c r="E40" s="682"/>
      <c r="F40" s="613"/>
      <c r="G40" s="682"/>
      <c r="H40" s="622"/>
      <c r="I40" s="704"/>
      <c r="J40" s="642"/>
      <c r="K40" s="628" t="s">
        <v>469</v>
      </c>
      <c r="L40" s="629"/>
      <c r="M40" s="642"/>
      <c r="N40" s="382" t="s">
        <v>443</v>
      </c>
      <c r="O40" s="396">
        <f>IF('Basic data'!$L$30 = "",0,'Basic data'!$L$30)</f>
        <v>0</v>
      </c>
      <c r="P40" s="653"/>
      <c r="Q40" s="609"/>
      <c r="R40" s="609"/>
    </row>
    <row r="41" spans="1:18" ht="30" customHeight="1" thickBot="1" x14ac:dyDescent="0.25">
      <c r="A41" s="700"/>
      <c r="B41" s="646"/>
      <c r="C41" s="702"/>
      <c r="D41" s="615"/>
      <c r="E41" s="683"/>
      <c r="F41" s="615"/>
      <c r="G41" s="683"/>
      <c r="H41" s="624"/>
      <c r="I41" s="705"/>
      <c r="J41" s="643"/>
      <c r="K41" s="630"/>
      <c r="L41" s="631"/>
      <c r="M41" s="643"/>
      <c r="N41" s="382" t="s">
        <v>119</v>
      </c>
      <c r="O41" s="160" t="str">
        <f>IF(O39="0","n.d.",IF(O40="0","n.d.",IF(O40=0,"n.d.",O39/O40)))</f>
        <v>n.d.</v>
      </c>
      <c r="P41" s="653"/>
      <c r="Q41" s="609"/>
      <c r="R41" s="609"/>
    </row>
    <row r="42" spans="1:18" ht="30" customHeight="1" thickBot="1" x14ac:dyDescent="0.25">
      <c r="A42" s="654">
        <v>12</v>
      </c>
      <c r="B42" s="644" t="s">
        <v>717</v>
      </c>
      <c r="C42" s="617" t="s">
        <v>470</v>
      </c>
      <c r="D42" s="611" t="s">
        <v>723</v>
      </c>
      <c r="E42" s="612"/>
      <c r="F42" s="611" t="s">
        <v>471</v>
      </c>
      <c r="G42" s="612"/>
      <c r="H42" s="620" t="s">
        <v>724</v>
      </c>
      <c r="I42" s="621"/>
      <c r="J42" s="641"/>
      <c r="K42" s="626" t="s">
        <v>265</v>
      </c>
      <c r="L42" s="627"/>
      <c r="M42" s="641"/>
      <c r="N42" s="382" t="s">
        <v>442</v>
      </c>
      <c r="O42" s="410"/>
      <c r="P42" s="653" t="str">
        <f>IF(O44=Berechnung1!D73,Berechnung1!$F$5,IF(OR(O44&lt; Berechnung1!E73,O44&gt; Berechnung1!F73),Berechnung1!$G$5,IF(OR(ROUND(O44,4)&lt;Berechnung1!J73,ROUND(O44,4)&gt;Berechnung1!K73),Berechnung1!$D$5,IF(OR(ROUND(O44,4)&lt;Berechnung1!G73,ROUND(O44,4)&gt;Berechnung1!H73),Berechnung1!$E$5,Berechnung1!$C$5))))</f>
        <v>Incomplete</v>
      </c>
      <c r="Q42" s="610"/>
      <c r="R42" s="608"/>
    </row>
    <row r="43" spans="1:18" ht="30" customHeight="1" thickBot="1" x14ac:dyDescent="0.25">
      <c r="A43" s="655"/>
      <c r="B43" s="645"/>
      <c r="C43" s="618"/>
      <c r="D43" s="613"/>
      <c r="E43" s="614"/>
      <c r="F43" s="613"/>
      <c r="G43" s="614"/>
      <c r="H43" s="622"/>
      <c r="I43" s="623"/>
      <c r="J43" s="642"/>
      <c r="K43" s="628"/>
      <c r="L43" s="629"/>
      <c r="M43" s="642"/>
      <c r="N43" s="382" t="s">
        <v>443</v>
      </c>
      <c r="O43" s="27">
        <f>IF('Basic data'!L33="",0,'Basic data'!L33)</f>
        <v>0</v>
      </c>
      <c r="P43" s="653"/>
      <c r="Q43" s="609"/>
      <c r="R43" s="609"/>
    </row>
    <row r="44" spans="1:18" ht="30" customHeight="1" thickBot="1" x14ac:dyDescent="0.25">
      <c r="A44" s="656"/>
      <c r="B44" s="646"/>
      <c r="C44" s="619"/>
      <c r="D44" s="615"/>
      <c r="E44" s="616"/>
      <c r="F44" s="615"/>
      <c r="G44" s="616"/>
      <c r="H44" s="624"/>
      <c r="I44" s="625"/>
      <c r="J44" s="643"/>
      <c r="K44" s="630"/>
      <c r="L44" s="631"/>
      <c r="M44" s="643"/>
      <c r="N44" s="382" t="s">
        <v>119</v>
      </c>
      <c r="O44" s="160" t="str">
        <f>IF(O42="","n.d.",IF(O43="","n.d.",IF(O43=0,"",O42/O43)))</f>
        <v>n.d.</v>
      </c>
      <c r="P44" s="653"/>
      <c r="Q44" s="609"/>
      <c r="R44" s="609"/>
    </row>
    <row r="45" spans="1:18" ht="30" customHeight="1" thickBot="1" x14ac:dyDescent="0.25">
      <c r="A45" s="654" t="s">
        <v>845</v>
      </c>
      <c r="B45" s="644" t="s">
        <v>363</v>
      </c>
      <c r="C45" s="617" t="s">
        <v>708</v>
      </c>
      <c r="D45" s="611" t="s">
        <v>472</v>
      </c>
      <c r="E45" s="612"/>
      <c r="F45" s="611" t="s">
        <v>463</v>
      </c>
      <c r="G45" s="612"/>
      <c r="H45" s="690" t="s">
        <v>272</v>
      </c>
      <c r="I45" s="691"/>
      <c r="J45" s="641"/>
      <c r="K45" s="626" t="s">
        <v>91</v>
      </c>
      <c r="L45" s="627"/>
      <c r="M45" s="641"/>
      <c r="N45" s="669" t="s">
        <v>454</v>
      </c>
      <c r="O45" s="672">
        <f>IF('Basic data'!L30="",0,'Basic data'!L30)</f>
        <v>0</v>
      </c>
      <c r="P45" s="653" t="str">
        <f>IF(O45=0,Berechnung1!$F$5,IF(OR(O45&lt; Berechnung1!E76,O45&gt; Berechnung1!F76),Berechnung1!$G$5,IF(OR(ROUND(O45,4)&lt;Berechnung1!J76,ROUND(O45,4)&gt;Berechnung1!K76),Berechnung1!$D$5,IF(OR(ROUND(O45,4)&lt;Berechnung1!G76,ROUND(O45,4)&gt;Berechnung1!H76),Berechnung1!$E$5,Berechnung1!$C$5))))</f>
        <v>Incomplete</v>
      </c>
      <c r="Q45" s="610"/>
      <c r="R45" s="608"/>
    </row>
    <row r="46" spans="1:18" ht="30" customHeight="1" thickBot="1" x14ac:dyDescent="0.25">
      <c r="A46" s="655"/>
      <c r="B46" s="645"/>
      <c r="C46" s="618"/>
      <c r="D46" s="613"/>
      <c r="E46" s="614"/>
      <c r="F46" s="613"/>
      <c r="G46" s="614"/>
      <c r="H46" s="692"/>
      <c r="I46" s="693"/>
      <c r="J46" s="642"/>
      <c r="K46" s="628"/>
      <c r="L46" s="629"/>
      <c r="M46" s="642"/>
      <c r="N46" s="670"/>
      <c r="O46" s="672"/>
      <c r="P46" s="653"/>
      <c r="Q46" s="609"/>
      <c r="R46" s="609"/>
    </row>
    <row r="47" spans="1:18" ht="30" customHeight="1" thickBot="1" x14ac:dyDescent="0.25">
      <c r="A47" s="656"/>
      <c r="B47" s="646"/>
      <c r="C47" s="619"/>
      <c r="D47" s="615"/>
      <c r="E47" s="616"/>
      <c r="F47" s="615"/>
      <c r="G47" s="616"/>
      <c r="H47" s="694"/>
      <c r="I47" s="695"/>
      <c r="J47" s="643"/>
      <c r="K47" s="630"/>
      <c r="L47" s="631"/>
      <c r="M47" s="643"/>
      <c r="N47" s="671"/>
      <c r="O47" s="673"/>
      <c r="P47" s="653"/>
      <c r="Q47" s="609"/>
      <c r="R47" s="609"/>
    </row>
    <row r="48" spans="1:18" ht="30" customHeight="1" thickBot="1" x14ac:dyDescent="0.25">
      <c r="A48" s="654" t="s">
        <v>846</v>
      </c>
      <c r="B48" s="644" t="s">
        <v>363</v>
      </c>
      <c r="C48" s="617" t="s">
        <v>725</v>
      </c>
      <c r="D48" s="684" t="s">
        <v>272</v>
      </c>
      <c r="E48" s="612"/>
      <c r="F48" s="611" t="s">
        <v>766</v>
      </c>
      <c r="G48" s="612"/>
      <c r="H48" s="690" t="s">
        <v>272</v>
      </c>
      <c r="I48" s="691"/>
      <c r="J48" s="641"/>
      <c r="K48" s="626" t="s">
        <v>444</v>
      </c>
      <c r="L48" s="627"/>
      <c r="M48" s="641"/>
      <c r="N48" s="669" t="s">
        <v>454</v>
      </c>
      <c r="O48" s="673">
        <f>IF('Basic data'!$J$44="",0,'Basic data'!$J$44)</f>
        <v>0</v>
      </c>
      <c r="P48" s="679" t="str">
        <f>IF(AND(O16=0,O48=0),Berechnung1!$F$5,IF(OR(O48&lt;Berechnung1!E79,O48&gt;Berechnung1!F79),Berechnung1!$G$5,IF(OR(ROUND(O48,4)&lt;Berechnung1!J79,ROUND(O48,4)&gt;Berechnung1!K79),Berechnung1!$D$5,IF(OR(ROUND(O48,4)&lt;Berechnung1!G79,ROUND(O48,4)&gt;Berechnung1!H79),Berechnung1!$E$5,Berechnung1!$C$5))))</f>
        <v>Incomplete</v>
      </c>
      <c r="Q48" s="610"/>
      <c r="R48" s="608"/>
    </row>
    <row r="49" spans="1:19" ht="30" customHeight="1" thickBot="1" x14ac:dyDescent="0.25">
      <c r="A49" s="655"/>
      <c r="B49" s="645"/>
      <c r="C49" s="618"/>
      <c r="D49" s="613"/>
      <c r="E49" s="614"/>
      <c r="F49" s="613"/>
      <c r="G49" s="614"/>
      <c r="H49" s="692"/>
      <c r="I49" s="693"/>
      <c r="J49" s="642"/>
      <c r="K49" s="628"/>
      <c r="L49" s="629"/>
      <c r="M49" s="642"/>
      <c r="N49" s="670"/>
      <c r="O49" s="677"/>
      <c r="P49" s="680"/>
      <c r="Q49" s="609"/>
      <c r="R49" s="609"/>
    </row>
    <row r="50" spans="1:19" ht="30" customHeight="1" thickBot="1" x14ac:dyDescent="0.25">
      <c r="A50" s="656"/>
      <c r="B50" s="646"/>
      <c r="C50" s="619"/>
      <c r="D50" s="615"/>
      <c r="E50" s="616"/>
      <c r="F50" s="615"/>
      <c r="G50" s="616"/>
      <c r="H50" s="694"/>
      <c r="I50" s="695"/>
      <c r="J50" s="643"/>
      <c r="K50" s="630"/>
      <c r="L50" s="631"/>
      <c r="M50" s="643"/>
      <c r="N50" s="671"/>
      <c r="O50" s="678"/>
      <c r="P50" s="676"/>
      <c r="Q50" s="609"/>
      <c r="R50" s="609"/>
    </row>
    <row r="51" spans="1:19" ht="36" customHeight="1" thickBot="1" x14ac:dyDescent="0.25">
      <c r="A51" s="654">
        <v>14</v>
      </c>
      <c r="B51" s="644" t="s">
        <v>270</v>
      </c>
      <c r="C51" s="617" t="s">
        <v>455</v>
      </c>
      <c r="D51" s="611" t="s">
        <v>726</v>
      </c>
      <c r="E51" s="612"/>
      <c r="F51" s="611" t="s">
        <v>456</v>
      </c>
      <c r="G51" s="612"/>
      <c r="H51" s="684" t="s">
        <v>457</v>
      </c>
      <c r="I51" s="685"/>
      <c r="J51" s="641" t="s">
        <v>347</v>
      </c>
      <c r="K51" s="626" t="s">
        <v>444</v>
      </c>
      <c r="L51" s="627"/>
      <c r="M51" s="706"/>
      <c r="N51" s="391" t="s">
        <v>442</v>
      </c>
      <c r="O51" s="412"/>
      <c r="P51" s="674" t="str">
        <f>IF(O53=Berechnung1!D82,Berechnung1!$F$5,IF(OR(O53&lt; Berechnung1!E82,O53&gt; Berechnung1!F82),Berechnung1!$G$5,IF(OR(ROUND(O53,4)&lt;Berechnung1!J82,ROUND(O53,4)&gt;Berechnung1!K82),Berechnung1!$D$5,IF(OR(ROUND(O53,4)&lt;Berechnung1!G82,ROUND(O53,4)&gt;Berechnung1!H82),Berechnung1!$E$5,Berechnung1!$C$5))))</f>
        <v>Incomplete</v>
      </c>
      <c r="Q51" s="610"/>
      <c r="R51" s="608"/>
    </row>
    <row r="52" spans="1:19" ht="36" customHeight="1" thickBot="1" x14ac:dyDescent="0.25">
      <c r="A52" s="655"/>
      <c r="B52" s="645"/>
      <c r="C52" s="618"/>
      <c r="D52" s="613"/>
      <c r="E52" s="614"/>
      <c r="F52" s="613"/>
      <c r="G52" s="614"/>
      <c r="H52" s="686"/>
      <c r="I52" s="687"/>
      <c r="J52" s="642"/>
      <c r="K52" s="628"/>
      <c r="L52" s="629"/>
      <c r="M52" s="742"/>
      <c r="N52" s="391" t="s">
        <v>443</v>
      </c>
      <c r="O52" s="412"/>
      <c r="P52" s="675"/>
      <c r="Q52" s="609"/>
      <c r="R52" s="609"/>
      <c r="S52" s="1">
        <f>IF('Basic data'!L34="",0,'Basic data'!L34)</f>
        <v>0</v>
      </c>
    </row>
    <row r="53" spans="1:19" ht="36" customHeight="1" thickBot="1" x14ac:dyDescent="0.25">
      <c r="A53" s="656"/>
      <c r="B53" s="646"/>
      <c r="C53" s="619"/>
      <c r="D53" s="615"/>
      <c r="E53" s="616"/>
      <c r="F53" s="615"/>
      <c r="G53" s="616"/>
      <c r="H53" s="688"/>
      <c r="I53" s="689"/>
      <c r="J53" s="643"/>
      <c r="K53" s="630"/>
      <c r="L53" s="631"/>
      <c r="M53" s="743"/>
      <c r="N53" s="385" t="s">
        <v>119</v>
      </c>
      <c r="O53" s="390" t="str">
        <f>IF(O51="","n.d.",IF(O52="","n.d.",IF(O52=0,"",O51/O52)))</f>
        <v>n.d.</v>
      </c>
      <c r="P53" s="676"/>
      <c r="Q53" s="609"/>
      <c r="R53" s="609"/>
    </row>
    <row r="54" spans="1:19" ht="30" customHeight="1" thickBot="1" x14ac:dyDescent="0.25">
      <c r="A54" s="654">
        <v>15</v>
      </c>
      <c r="B54" s="644" t="s">
        <v>379</v>
      </c>
      <c r="C54" s="617" t="s">
        <v>759</v>
      </c>
      <c r="D54" s="611" t="s">
        <v>760</v>
      </c>
      <c r="E54" s="612"/>
      <c r="F54" s="611" t="s">
        <v>727</v>
      </c>
      <c r="G54" s="612"/>
      <c r="H54" s="620" t="s">
        <v>761</v>
      </c>
      <c r="I54" s="621"/>
      <c r="J54" s="641"/>
      <c r="K54" s="626" t="s">
        <v>762</v>
      </c>
      <c r="L54" s="627"/>
      <c r="M54" s="641"/>
      <c r="N54" s="382" t="s">
        <v>442</v>
      </c>
      <c r="O54" s="410"/>
      <c r="P54" s="653" t="str">
        <f>IF(O56=Berechnung1!D85,Berechnung1!$F$5,IF(OR(O56&lt; Berechnung1!E85,O56&gt; Berechnung1!F85),Berechnung1!$G$5,IF(OR(ROUND(O56,4)&lt;Berechnung1!J85,ROUND(O56,4)&gt;Berechnung1!K85),Berechnung1!$D$5,IF(OR(ROUND(O56,4)&lt;Berechnung1!G85,ROUND(O56,4)&gt;Berechnung1!H85),Berechnung1!$E$5,Berechnung1!$C$5))))</f>
        <v>Incomplete</v>
      </c>
      <c r="Q54" s="610"/>
      <c r="R54" s="608"/>
    </row>
    <row r="55" spans="1:19" ht="30" customHeight="1" thickBot="1" x14ac:dyDescent="0.25">
      <c r="A55" s="655"/>
      <c r="B55" s="645"/>
      <c r="C55" s="618"/>
      <c r="D55" s="613"/>
      <c r="E55" s="614"/>
      <c r="F55" s="613"/>
      <c r="G55" s="614"/>
      <c r="H55" s="622"/>
      <c r="I55" s="623"/>
      <c r="J55" s="642"/>
      <c r="K55" s="628"/>
      <c r="L55" s="629"/>
      <c r="M55" s="642"/>
      <c r="N55" s="382" t="s">
        <v>443</v>
      </c>
      <c r="O55" s="410"/>
      <c r="P55" s="653"/>
      <c r="Q55" s="609"/>
      <c r="R55" s="609"/>
    </row>
    <row r="56" spans="1:19" ht="30" customHeight="1" thickBot="1" x14ac:dyDescent="0.25">
      <c r="A56" s="656"/>
      <c r="B56" s="646"/>
      <c r="C56" s="619"/>
      <c r="D56" s="615"/>
      <c r="E56" s="616"/>
      <c r="F56" s="615"/>
      <c r="G56" s="616"/>
      <c r="H56" s="624"/>
      <c r="I56" s="625"/>
      <c r="J56" s="643"/>
      <c r="K56" s="630"/>
      <c r="L56" s="631"/>
      <c r="M56" s="643"/>
      <c r="N56" s="382" t="s">
        <v>119</v>
      </c>
      <c r="O56" s="160" t="str">
        <f>IF(O54="","n.d.",IF(O55="","n.d.",IF(O55=0,"",O54/O55)))</f>
        <v>n.d.</v>
      </c>
      <c r="P56" s="653"/>
      <c r="Q56" s="609"/>
      <c r="R56" s="609"/>
    </row>
    <row r="57" spans="1:19" ht="30" customHeight="1" thickBot="1" x14ac:dyDescent="0.25">
      <c r="A57" s="654">
        <v>16</v>
      </c>
      <c r="B57" s="664"/>
      <c r="C57" s="617" t="s">
        <v>473</v>
      </c>
      <c r="D57" s="611" t="s">
        <v>728</v>
      </c>
      <c r="E57" s="612"/>
      <c r="F57" s="611" t="s">
        <v>458</v>
      </c>
      <c r="G57" s="612"/>
      <c r="H57" s="620" t="s">
        <v>408</v>
      </c>
      <c r="I57" s="621"/>
      <c r="J57" s="641" t="s">
        <v>258</v>
      </c>
      <c r="K57" s="626" t="s">
        <v>444</v>
      </c>
      <c r="L57" s="627"/>
      <c r="M57" s="641" t="s">
        <v>260</v>
      </c>
      <c r="N57" s="382" t="s">
        <v>442</v>
      </c>
      <c r="O57" s="27">
        <f>IF('Basic data'!L35 ="",0,'Basic data'!L35)</f>
        <v>0</v>
      </c>
      <c r="P57" s="653" t="str">
        <f>IF(O59=Berechnung1!D88,Berechnung1!$F$5,IF(OR(O59&lt; Berechnung1!E88,O59&gt; Berechnung1!F88),Berechnung1!$G$5,IF(OR(ROUND(O59,4)&lt;Berechnung1!J88,ROUND(O59,4)&gt;Berechnung1!K88),Berechnung1!$D$5,IF(OR(ROUND(O59,4)&lt;Berechnung1!G88,ROUND(O59,4)&gt;Berechnung1!H88),Berechnung1!$E$5,Berechnung1!$C$5))))</f>
        <v>Incomplete</v>
      </c>
      <c r="Q57" s="610"/>
      <c r="R57" s="608"/>
    </row>
    <row r="58" spans="1:19" ht="30" customHeight="1" thickBot="1" x14ac:dyDescent="0.25">
      <c r="A58" s="655"/>
      <c r="B58" s="665"/>
      <c r="C58" s="618"/>
      <c r="D58" s="613"/>
      <c r="E58" s="614"/>
      <c r="F58" s="613"/>
      <c r="G58" s="614"/>
      <c r="H58" s="622"/>
      <c r="I58" s="623"/>
      <c r="J58" s="642"/>
      <c r="K58" s="628"/>
      <c r="L58" s="629"/>
      <c r="M58" s="642"/>
      <c r="N58" s="382" t="s">
        <v>443</v>
      </c>
      <c r="O58" s="27">
        <f>IF('Basic data'!$L$33="",0,'Basic data'!$L$33)</f>
        <v>0</v>
      </c>
      <c r="P58" s="653"/>
      <c r="Q58" s="609"/>
      <c r="R58" s="609"/>
    </row>
    <row r="59" spans="1:19" ht="30" customHeight="1" thickBot="1" x14ac:dyDescent="0.25">
      <c r="A59" s="656"/>
      <c r="B59" s="666"/>
      <c r="C59" s="619"/>
      <c r="D59" s="615"/>
      <c r="E59" s="616"/>
      <c r="F59" s="615"/>
      <c r="G59" s="616"/>
      <c r="H59" s="624"/>
      <c r="I59" s="625"/>
      <c r="J59" s="643"/>
      <c r="K59" s="630"/>
      <c r="L59" s="631"/>
      <c r="M59" s="643"/>
      <c r="N59" s="382" t="s">
        <v>119</v>
      </c>
      <c r="O59" s="160" t="str">
        <f>IF(O57=0,"n.d.",IF(O58=0,"n.d.",IF(O58=0,"",O57/O58)))</f>
        <v>n.d.</v>
      </c>
      <c r="P59" s="653"/>
      <c r="Q59" s="609"/>
      <c r="R59" s="609"/>
    </row>
    <row r="60" spans="1:19" ht="24" customHeight="1" thickBot="1" x14ac:dyDescent="0.25">
      <c r="A60" s="654">
        <v>17</v>
      </c>
      <c r="B60" s="644" t="s">
        <v>732</v>
      </c>
      <c r="C60" s="617" t="s">
        <v>474</v>
      </c>
      <c r="D60" s="611" t="s">
        <v>729</v>
      </c>
      <c r="E60" s="612"/>
      <c r="F60" s="611" t="s">
        <v>459</v>
      </c>
      <c r="G60" s="612"/>
      <c r="H60" s="611" t="s">
        <v>763</v>
      </c>
      <c r="I60" s="612"/>
      <c r="J60" s="641"/>
      <c r="K60" s="626" t="s">
        <v>267</v>
      </c>
      <c r="L60" s="627"/>
      <c r="M60" s="641"/>
      <c r="N60" s="382" t="s">
        <v>442</v>
      </c>
      <c r="O60" s="410"/>
      <c r="P60" s="653" t="str">
        <f>IF(AND(O60&lt;&gt;"",O61&lt;&gt;"",O60=0,O61=0),Berechnung1!$H$5,IF(O62=Berechnung1!D91,Berechnung1!$F$5,IF(OR(O62&lt; Berechnung1!E91,O62&gt; Berechnung1!F91),Berechnung1!$G$5,IF(OR(ROUND(O62,4)&lt;Berechnung1!J91,ROUND(O62,4)&gt;Berechnung1!K91),Berechnung1!$D$5,IF(OR(ROUND(O62,4)&lt;Berechnung1!G91,ROUND(O62,4)&gt;Berechnung1!H91),Berechnung1!$E$5,Berechnung1!$C$5)))))</f>
        <v>Incomplete</v>
      </c>
      <c r="Q60" s="610"/>
      <c r="R60" s="608"/>
    </row>
    <row r="61" spans="1:19" ht="24" customHeight="1" thickBot="1" x14ac:dyDescent="0.25">
      <c r="A61" s="655"/>
      <c r="B61" s="645"/>
      <c r="C61" s="618"/>
      <c r="D61" s="613"/>
      <c r="E61" s="614"/>
      <c r="F61" s="613"/>
      <c r="G61" s="614"/>
      <c r="H61" s="613"/>
      <c r="I61" s="614"/>
      <c r="J61" s="642"/>
      <c r="K61" s="628"/>
      <c r="L61" s="629"/>
      <c r="M61" s="642"/>
      <c r="N61" s="382" t="s">
        <v>443</v>
      </c>
      <c r="O61" s="410"/>
      <c r="P61" s="653"/>
      <c r="Q61" s="609"/>
      <c r="R61" s="609"/>
      <c r="S61" s="1">
        <f>IF('Basic data'!D34="",0,'Basic data'!D34)</f>
        <v>0</v>
      </c>
    </row>
    <row r="62" spans="1:19" ht="24" customHeight="1" thickBot="1" x14ac:dyDescent="0.25">
      <c r="A62" s="656"/>
      <c r="B62" s="646"/>
      <c r="C62" s="619"/>
      <c r="D62" s="615"/>
      <c r="E62" s="616"/>
      <c r="F62" s="615"/>
      <c r="G62" s="616"/>
      <c r="H62" s="615"/>
      <c r="I62" s="616"/>
      <c r="J62" s="643"/>
      <c r="K62" s="630"/>
      <c r="L62" s="631"/>
      <c r="M62" s="643"/>
      <c r="N62" s="382" t="s">
        <v>119</v>
      </c>
      <c r="O62" s="160" t="str">
        <f>IF(O60="","n.d.",IF(O61="","n.d.",IF(O61=0,"",O60/O61)))</f>
        <v>n.d.</v>
      </c>
      <c r="P62" s="653"/>
      <c r="Q62" s="609"/>
      <c r="R62" s="609"/>
    </row>
    <row r="63" spans="1:19" ht="30" customHeight="1" thickBot="1" x14ac:dyDescent="0.25">
      <c r="A63" s="654">
        <v>18</v>
      </c>
      <c r="B63" s="644" t="s">
        <v>717</v>
      </c>
      <c r="C63" s="617" t="s">
        <v>475</v>
      </c>
      <c r="D63" s="611" t="s">
        <v>730</v>
      </c>
      <c r="E63" s="612"/>
      <c r="F63" s="611" t="s">
        <v>460</v>
      </c>
      <c r="G63" s="612"/>
      <c r="H63" s="620" t="s">
        <v>847</v>
      </c>
      <c r="I63" s="621"/>
      <c r="J63" s="641"/>
      <c r="K63" s="626" t="s">
        <v>256</v>
      </c>
      <c r="L63" s="627"/>
      <c r="M63" s="641"/>
      <c r="N63" s="383" t="s">
        <v>442</v>
      </c>
      <c r="O63" s="410"/>
      <c r="P63" s="699" t="str">
        <f>IF(O65=Berechnung1!D94,Berechnung1!$F$5,IF(OR(O65&lt; Berechnung1!E94,O65&gt; Berechnung1!F94),Berechnung1!$G$5,IF(OR(ROUND(O65,4)&lt;Berechnung1!J94,ROUND(O65,4)&gt;Berechnung1!K94),Berechnung1!$D$5,IF(OR(ROUND(O65,4)&lt;Berechnung1!G94,ROUND(O65,4)&gt;Berechnung1!H94),Berechnung1!$E$5,Berechnung1!$C$5))))</f>
        <v>Incomplete</v>
      </c>
      <c r="Q63" s="610"/>
      <c r="R63" s="608"/>
    </row>
    <row r="64" spans="1:19" ht="30" customHeight="1" thickBot="1" x14ac:dyDescent="0.25">
      <c r="A64" s="655"/>
      <c r="B64" s="645"/>
      <c r="C64" s="618"/>
      <c r="D64" s="613"/>
      <c r="E64" s="614"/>
      <c r="F64" s="613"/>
      <c r="G64" s="614"/>
      <c r="H64" s="622"/>
      <c r="I64" s="623"/>
      <c r="J64" s="642"/>
      <c r="K64" s="628"/>
      <c r="L64" s="629"/>
      <c r="M64" s="642"/>
      <c r="N64" s="383" t="s">
        <v>443</v>
      </c>
      <c r="O64" s="410"/>
      <c r="P64" s="699"/>
      <c r="Q64" s="609"/>
      <c r="R64" s="609"/>
    </row>
    <row r="65" spans="1:19" ht="30" customHeight="1" thickBot="1" x14ac:dyDescent="0.25">
      <c r="A65" s="656"/>
      <c r="B65" s="646"/>
      <c r="C65" s="619"/>
      <c r="D65" s="615"/>
      <c r="E65" s="616"/>
      <c r="F65" s="615"/>
      <c r="G65" s="616"/>
      <c r="H65" s="624"/>
      <c r="I65" s="625"/>
      <c r="J65" s="643"/>
      <c r="K65" s="630"/>
      <c r="L65" s="631"/>
      <c r="M65" s="643"/>
      <c r="N65" s="382" t="s">
        <v>119</v>
      </c>
      <c r="O65" s="394" t="str">
        <f>IF(O63="","n.d.",IF(O64="","n.d.",IF(O64=0,"",O63/O64)))</f>
        <v>n.d.</v>
      </c>
      <c r="P65" s="653"/>
      <c r="Q65" s="609"/>
      <c r="R65" s="609"/>
    </row>
    <row r="66" spans="1:19" ht="28.5" customHeight="1" thickBot="1" x14ac:dyDescent="0.25">
      <c r="A66" s="654">
        <v>19</v>
      </c>
      <c r="B66" s="644" t="s">
        <v>269</v>
      </c>
      <c r="C66" s="617" t="s">
        <v>461</v>
      </c>
      <c r="D66" s="611" t="s">
        <v>731</v>
      </c>
      <c r="E66" s="612"/>
      <c r="F66" s="611" t="s">
        <v>462</v>
      </c>
      <c r="G66" s="612"/>
      <c r="H66" s="620" t="s">
        <v>408</v>
      </c>
      <c r="I66" s="621"/>
      <c r="J66" s="657" t="s">
        <v>476</v>
      </c>
      <c r="K66" s="626" t="s">
        <v>310</v>
      </c>
      <c r="L66" s="627"/>
      <c r="M66" s="641"/>
      <c r="N66" s="382" t="s">
        <v>442</v>
      </c>
      <c r="O66" s="410"/>
      <c r="P66" s="653" t="str">
        <f>IF(O68=Berechnung1!D97,Berechnung1!$F$5,IF(OR(O68&lt; Berechnung1!E97,O68&gt; Berechnung1!F97),Berechnung1!$G$5,IF(OR(O68&lt;Berechnung1!J97,O68&gt;Berechnung1!K97),Berechnung1!$D$5,IF(OR(O68&lt;Berechnung1!G97,O68&gt;Berechnung1!H97),Berechnung1!$E$5,Berechnung1!$C$5))))</f>
        <v>Incomplete</v>
      </c>
      <c r="Q66" s="610"/>
      <c r="R66" s="608"/>
    </row>
    <row r="67" spans="1:19" ht="28.5" customHeight="1" thickBot="1" x14ac:dyDescent="0.25">
      <c r="A67" s="655"/>
      <c r="B67" s="645"/>
      <c r="C67" s="618"/>
      <c r="D67" s="613"/>
      <c r="E67" s="614"/>
      <c r="F67" s="613"/>
      <c r="G67" s="614"/>
      <c r="H67" s="622"/>
      <c r="I67" s="623"/>
      <c r="J67" s="658"/>
      <c r="K67" s="628"/>
      <c r="L67" s="629"/>
      <c r="M67" s="642"/>
      <c r="N67" s="382" t="s">
        <v>443</v>
      </c>
      <c r="O67" s="27">
        <f>IF('Basic data'!$L$33="",0,'Basic data'!$L$33)</f>
        <v>0</v>
      </c>
      <c r="P67" s="653"/>
      <c r="Q67" s="609"/>
      <c r="R67" s="609"/>
    </row>
    <row r="68" spans="1:19" ht="28.5" customHeight="1" thickBot="1" x14ac:dyDescent="0.25">
      <c r="A68" s="656"/>
      <c r="B68" s="646"/>
      <c r="C68" s="619"/>
      <c r="D68" s="615"/>
      <c r="E68" s="616"/>
      <c r="F68" s="615"/>
      <c r="G68" s="616"/>
      <c r="H68" s="624"/>
      <c r="I68" s="625"/>
      <c r="J68" s="659"/>
      <c r="K68" s="630"/>
      <c r="L68" s="631"/>
      <c r="M68" s="643"/>
      <c r="N68" s="382" t="s">
        <v>119</v>
      </c>
      <c r="O68" s="160" t="str">
        <f>IF(O66="","n.d.",IF(O67="","n.d.",IF(O67=0,"",O66/O67)))</f>
        <v>n.d.</v>
      </c>
      <c r="P68" s="653"/>
      <c r="Q68" s="609"/>
      <c r="R68" s="609"/>
    </row>
    <row r="69" spans="1:19" ht="37.5" customHeight="1" thickBot="1" x14ac:dyDescent="0.25">
      <c r="A69" s="746" t="s">
        <v>848</v>
      </c>
      <c r="B69" s="758"/>
      <c r="C69" s="755" t="s">
        <v>841</v>
      </c>
      <c r="D69" s="749" t="s">
        <v>842</v>
      </c>
      <c r="E69" s="750"/>
      <c r="F69" s="749" t="s">
        <v>843</v>
      </c>
      <c r="G69" s="750"/>
      <c r="H69" s="761" t="s">
        <v>852</v>
      </c>
      <c r="I69" s="762"/>
      <c r="J69" s="632"/>
      <c r="K69" s="635" t="s">
        <v>256</v>
      </c>
      <c r="L69" s="636"/>
      <c r="M69" s="696"/>
      <c r="N69" s="495" t="s">
        <v>442</v>
      </c>
      <c r="O69" s="496"/>
      <c r="P69" s="667" t="str">
        <f>IF(AND(O69&lt;&gt;"",O70&lt;&gt;"",O69=0,O70=0),Berechnung1!$H$17,IF(O71=Berechnung1!D100,Berechnung1!$F$17,IF(OR(O71&lt; Berechnung1!E100,O71&gt; Berechnung1!F100),Berechnung1!$G$17,IF(OR(O71&lt;Berechnung1!J100,O71&gt;Berechnung1!K100),Berechnung1!$D$17,IF(OR(O71&lt;Berechnung1!G100,O71&gt;Berechnung1!H100),Berechnung1!$E$17,Berechnung1!$C$17)))))</f>
        <v>optional - incomplete</v>
      </c>
      <c r="Q69" s="911"/>
      <c r="R69" s="744"/>
    </row>
    <row r="70" spans="1:19" ht="37.5" customHeight="1" thickBot="1" x14ac:dyDescent="0.25">
      <c r="A70" s="747"/>
      <c r="B70" s="759"/>
      <c r="C70" s="756"/>
      <c r="D70" s="751"/>
      <c r="E70" s="752"/>
      <c r="F70" s="751"/>
      <c r="G70" s="752"/>
      <c r="H70" s="763"/>
      <c r="I70" s="764"/>
      <c r="J70" s="633"/>
      <c r="K70" s="637"/>
      <c r="L70" s="638"/>
      <c r="M70" s="697"/>
      <c r="N70" s="495" t="s">
        <v>443</v>
      </c>
      <c r="O70" s="497">
        <f>IF('Basic data'!$J$46="",0,'Basic data'!$J$46)</f>
        <v>0</v>
      </c>
      <c r="P70" s="667"/>
      <c r="Q70" s="745"/>
      <c r="R70" s="745"/>
      <c r="S70" s="1">
        <f>'Basic data'!I30+'Basic data'!J30+'Basic data'!K30</f>
        <v>0</v>
      </c>
    </row>
    <row r="71" spans="1:19" ht="37.5" customHeight="1" thickBot="1" x14ac:dyDescent="0.25">
      <c r="A71" s="748"/>
      <c r="B71" s="760"/>
      <c r="C71" s="757"/>
      <c r="D71" s="753"/>
      <c r="E71" s="754"/>
      <c r="F71" s="753"/>
      <c r="G71" s="754"/>
      <c r="H71" s="765"/>
      <c r="I71" s="766"/>
      <c r="J71" s="634"/>
      <c r="K71" s="639"/>
      <c r="L71" s="640"/>
      <c r="M71" s="698"/>
      <c r="N71" s="498" t="s">
        <v>119</v>
      </c>
      <c r="O71" s="499" t="str">
        <f>IF(O69="","n.d.",IF(O70="","n.d.",IF(O70=0,"",O69/O70)))</f>
        <v>n.d.</v>
      </c>
      <c r="P71" s="668"/>
      <c r="Q71" s="745"/>
      <c r="R71" s="745"/>
    </row>
    <row r="72" spans="1:19" customFormat="1" ht="8.25" customHeight="1" x14ac:dyDescent="0.25"/>
    <row r="73" spans="1:19" customFormat="1" ht="14.45" customHeight="1" thickBot="1" x14ac:dyDescent="0.3">
      <c r="A73" s="398" t="s">
        <v>706</v>
      </c>
    </row>
    <row r="74" spans="1:19" customFormat="1" ht="14.45" customHeight="1" thickBot="1" x14ac:dyDescent="0.3">
      <c r="B74" s="601" t="s">
        <v>425</v>
      </c>
      <c r="C74" s="602"/>
      <c r="D74" s="399" t="s">
        <v>707</v>
      </c>
      <c r="E74" s="400" t="str">
        <f>CONCATENATE(TEXT(Berechnung1!C9,"0,00%")," (",Berechnung1!$C$6, ")")</f>
        <v>0,00% (0)</v>
      </c>
      <c r="F74" s="605" t="str">
        <f>CONCATENATE(TEXT(Berechnung1!D10,"0,00%")," (",Berechnung1!$D$7, ")")</f>
        <v>0,00% (0)</v>
      </c>
      <c r="G74" s="606" t="s">
        <v>430</v>
      </c>
    </row>
    <row r="75" spans="1:19" customFormat="1" ht="14.45" customHeight="1" thickBot="1" x14ac:dyDescent="0.3">
      <c r="B75" s="603"/>
      <c r="C75" s="604"/>
      <c r="D75" s="401" t="s">
        <v>429</v>
      </c>
      <c r="E75" s="402" t="str">
        <f>CONCATENATE(TEXT(Berechnung1!K9,"0,00%")," (",Berechnung1!K6,")")</f>
        <v>0,00% (0)</v>
      </c>
      <c r="F75" s="605"/>
      <c r="G75" s="607"/>
    </row>
    <row r="76" spans="1:19" customFormat="1" ht="14.45" customHeight="1" thickBot="1" x14ac:dyDescent="0.3">
      <c r="B76" s="647" t="s">
        <v>746</v>
      </c>
      <c r="C76" s="648"/>
      <c r="D76" s="648"/>
      <c r="E76" s="649"/>
      <c r="F76" s="403" t="str">
        <f>CONCATENATE(TEXT(Berechnung1!E10,"0,00%")," (",Berechnung1!$E$7, ")")</f>
        <v>0,00% (0)</v>
      </c>
      <c r="G76" s="404" t="str">
        <f>CONCATENATE(TEXT(Berechnung1!E11,"0,00%")," (",Berechnung1!$E$8, ")")</f>
        <v>0,00% (0)</v>
      </c>
    </row>
    <row r="77" spans="1:19" customFormat="1" ht="14.45" customHeight="1" thickBot="1" x14ac:dyDescent="0.3">
      <c r="B77" s="660" t="s">
        <v>747</v>
      </c>
      <c r="C77" s="661"/>
      <c r="D77" s="405" t="s">
        <v>427</v>
      </c>
      <c r="E77" s="406" t="str">
        <f>CONCATENATE(TEXT(Berechnung1!G9,"0,00%")," (",Berechnung1!G6,")")</f>
        <v>0,00% (0)</v>
      </c>
      <c r="F77" s="605" t="str">
        <f>CONCATENATE(TEXT(Berechnung1!G10,"0,00%")," (",Berechnung1!$G$8, ")")</f>
        <v>100,00% (20)</v>
      </c>
      <c r="G77" s="605"/>
    </row>
    <row r="78" spans="1:19" customFormat="1" ht="14.45" customHeight="1" thickBot="1" x14ac:dyDescent="0.3">
      <c r="B78" s="662"/>
      <c r="C78" s="663"/>
      <c r="D78" s="407" t="s">
        <v>428</v>
      </c>
      <c r="E78" s="408" t="str">
        <f>CONCATENATE(TEXT(Berechnung1!F9,"0,00%")," (",Berechnung1!F6,")")</f>
        <v>100,00% (20)</v>
      </c>
      <c r="F78" s="605"/>
      <c r="G78" s="605"/>
    </row>
    <row r="79" spans="1:19" customFormat="1" ht="8.25" customHeight="1" x14ac:dyDescent="0.25"/>
    <row r="80" spans="1:19" customFormat="1" ht="12" customHeight="1" x14ac:dyDescent="0.25">
      <c r="A80" s="44" t="s">
        <v>416</v>
      </c>
    </row>
    <row r="81" spans="1:18" s="5" customFormat="1" ht="22.5" customHeight="1" x14ac:dyDescent="0.2">
      <c r="A81" s="652" t="s">
        <v>742</v>
      </c>
      <c r="B81" s="652"/>
      <c r="C81" s="652"/>
      <c r="D81" s="652"/>
      <c r="E81" s="652"/>
      <c r="F81" s="652"/>
      <c r="G81" s="652"/>
      <c r="H81" s="652"/>
      <c r="I81" s="652"/>
      <c r="J81" s="652"/>
      <c r="K81" s="652"/>
      <c r="L81" s="652"/>
      <c r="M81" s="652"/>
      <c r="N81" s="652"/>
      <c r="O81" s="652"/>
      <c r="P81" s="652"/>
    </row>
    <row r="82" spans="1:18" ht="23.25" customHeight="1" x14ac:dyDescent="0.2">
      <c r="A82" s="388">
        <v>1</v>
      </c>
      <c r="B82" s="599" t="s">
        <v>697</v>
      </c>
      <c r="C82" s="600"/>
      <c r="D82" s="600"/>
      <c r="E82" s="600"/>
      <c r="F82" s="600"/>
      <c r="G82" s="600"/>
      <c r="H82" s="600"/>
      <c r="I82" s="600"/>
      <c r="J82" s="600"/>
      <c r="K82" s="600"/>
      <c r="L82" s="600"/>
      <c r="M82" s="600"/>
      <c r="N82" s="600"/>
      <c r="O82" s="600"/>
      <c r="P82" s="600"/>
      <c r="Q82" s="5"/>
      <c r="R82" s="5"/>
    </row>
    <row r="83" spans="1:18" s="143" customFormat="1" ht="123" customHeight="1" x14ac:dyDescent="0.2">
      <c r="A83" s="566" t="s">
        <v>698</v>
      </c>
      <c r="B83" s="598"/>
      <c r="C83" s="598"/>
      <c r="D83" s="598"/>
      <c r="E83" s="598"/>
      <c r="F83" s="598"/>
      <c r="G83" s="598"/>
      <c r="H83" s="598"/>
      <c r="I83" s="598"/>
      <c r="J83" s="598"/>
      <c r="K83" s="598"/>
      <c r="L83" s="598"/>
      <c r="M83" s="598"/>
      <c r="N83" s="598"/>
      <c r="O83" s="598"/>
      <c r="P83" s="598"/>
    </row>
    <row r="84" spans="1:18" ht="12" customHeight="1" x14ac:dyDescent="0.2">
      <c r="A84" s="44" t="s">
        <v>740</v>
      </c>
    </row>
    <row r="85" spans="1:18" x14ac:dyDescent="0.2">
      <c r="A85" s="652" t="s">
        <v>741</v>
      </c>
      <c r="B85" s="652"/>
      <c r="C85" s="652"/>
      <c r="D85" s="652"/>
      <c r="E85" s="652"/>
      <c r="F85" s="652"/>
      <c r="G85" s="652"/>
      <c r="H85" s="652"/>
      <c r="I85" s="652"/>
      <c r="J85" s="652"/>
      <c r="K85" s="652"/>
      <c r="L85" s="652"/>
      <c r="M85" s="652"/>
      <c r="N85" s="652"/>
      <c r="O85" s="652"/>
      <c r="P85" s="652"/>
    </row>
    <row r="86" spans="1:18" ht="12" customHeight="1" x14ac:dyDescent="0.2">
      <c r="A86" s="46"/>
    </row>
  </sheetData>
  <sheetProtection algorithmName="SHA-512" hashValue="kOm6jnUOXA8R1ieXMEr1S9WxLrjZloaUM6jaDVHr+abSkz9pwBJR8HbvvfaazZ4tUrHT1zniRiBZK5OeJHPpNQ==" saltValue="K4JxIDYy/BKg0Of98P+xhw==" spinCount="100000" sheet="1" objects="1" scenarios="1" selectLockedCells="1"/>
  <dataConsolidate link="1"/>
  <mergeCells count="280">
    <mergeCell ref="A57:A59"/>
    <mergeCell ref="B57:B59"/>
    <mergeCell ref="A60:A62"/>
    <mergeCell ref="A54:A56"/>
    <mergeCell ref="R57:R59"/>
    <mergeCell ref="R69:R71"/>
    <mergeCell ref="A69:A71"/>
    <mergeCell ref="D69:E71"/>
    <mergeCell ref="C69:C71"/>
    <mergeCell ref="F69:G71"/>
    <mergeCell ref="B69:B71"/>
    <mergeCell ref="H69:I71"/>
    <mergeCell ref="P66:P68"/>
    <mergeCell ref="K66:L68"/>
    <mergeCell ref="M66:M68"/>
    <mergeCell ref="E5:M5"/>
    <mergeCell ref="H7:I8"/>
    <mergeCell ref="B7:B8"/>
    <mergeCell ref="C15:C17"/>
    <mergeCell ref="F15:G17"/>
    <mergeCell ref="F9:G11"/>
    <mergeCell ref="D15:E17"/>
    <mergeCell ref="J9:J11"/>
    <mergeCell ref="H9:I11"/>
    <mergeCell ref="D9:E11"/>
    <mergeCell ref="K12:L14"/>
    <mergeCell ref="K9:L11"/>
    <mergeCell ref="K15:L17"/>
    <mergeCell ref="C9:C11"/>
    <mergeCell ref="C12:C14"/>
    <mergeCell ref="D12:E14"/>
    <mergeCell ref="A7:A8"/>
    <mergeCell ref="N7:O8"/>
    <mergeCell ref="F7:G8"/>
    <mergeCell ref="J7:J8"/>
    <mergeCell ref="K7:L8"/>
    <mergeCell ref="D7:E8"/>
    <mergeCell ref="C7:C8"/>
    <mergeCell ref="M7:M8"/>
    <mergeCell ref="B15:B17"/>
    <mergeCell ref="B9:B11"/>
    <mergeCell ref="J12:J14"/>
    <mergeCell ref="J15:J17"/>
    <mergeCell ref="H12:I14"/>
    <mergeCell ref="F12:G14"/>
    <mergeCell ref="B12:B14"/>
    <mergeCell ref="R18:R20"/>
    <mergeCell ref="Q18:Q20"/>
    <mergeCell ref="R21:R23"/>
    <mergeCell ref="A9:A11"/>
    <mergeCell ref="M18:M20"/>
    <mergeCell ref="M15:M17"/>
    <mergeCell ref="K18:L20"/>
    <mergeCell ref="H18:I20"/>
    <mergeCell ref="J18:J20"/>
    <mergeCell ref="D18:E20"/>
    <mergeCell ref="H15:I17"/>
    <mergeCell ref="D21:E23"/>
    <mergeCell ref="J21:J23"/>
    <mergeCell ref="A15:A17"/>
    <mergeCell ref="C18:C20"/>
    <mergeCell ref="A18:A20"/>
    <mergeCell ref="A12:A14"/>
    <mergeCell ref="F18:G20"/>
    <mergeCell ref="B21:B23"/>
    <mergeCell ref="M12:M14"/>
    <mergeCell ref="K21:L23"/>
    <mergeCell ref="H21:I23"/>
    <mergeCell ref="M9:M11"/>
    <mergeCell ref="B18:B20"/>
    <mergeCell ref="Q7:R7"/>
    <mergeCell ref="P12:P14"/>
    <mergeCell ref="Q15:Q17"/>
    <mergeCell ref="R9:R11"/>
    <mergeCell ref="R12:R14"/>
    <mergeCell ref="Q9:Q11"/>
    <mergeCell ref="R15:R17"/>
    <mergeCell ref="P9:P11"/>
    <mergeCell ref="Q12:Q14"/>
    <mergeCell ref="P7:P8"/>
    <mergeCell ref="P15:P17"/>
    <mergeCell ref="A27:A29"/>
    <mergeCell ref="F27:G29"/>
    <mergeCell ref="B27:B29"/>
    <mergeCell ref="D27:E29"/>
    <mergeCell ref="B24:B26"/>
    <mergeCell ref="H24:I26"/>
    <mergeCell ref="F24:G26"/>
    <mergeCell ref="C24:C26"/>
    <mergeCell ref="C27:C29"/>
    <mergeCell ref="P21:P23"/>
    <mergeCell ref="Q21:Q23"/>
    <mergeCell ref="P18:P20"/>
    <mergeCell ref="M21:M23"/>
    <mergeCell ref="F21:G23"/>
    <mergeCell ref="A21:A23"/>
    <mergeCell ref="C21:C23"/>
    <mergeCell ref="A24:A26"/>
    <mergeCell ref="D24:E26"/>
    <mergeCell ref="R24:R26"/>
    <mergeCell ref="R27:R29"/>
    <mergeCell ref="Q24:Q26"/>
    <mergeCell ref="P24:P26"/>
    <mergeCell ref="Q27:Q29"/>
    <mergeCell ref="H27:I29"/>
    <mergeCell ref="K24:L26"/>
    <mergeCell ref="M24:M26"/>
    <mergeCell ref="J24:J26"/>
    <mergeCell ref="P27:P29"/>
    <mergeCell ref="K27:L29"/>
    <mergeCell ref="J27:J29"/>
    <mergeCell ref="M27:M29"/>
    <mergeCell ref="R30:R32"/>
    <mergeCell ref="H30:I32"/>
    <mergeCell ref="C42:C44"/>
    <mergeCell ref="K39:L41"/>
    <mergeCell ref="K42:L44"/>
    <mergeCell ref="F33:G35"/>
    <mergeCell ref="F30:G32"/>
    <mergeCell ref="M42:M44"/>
    <mergeCell ref="J36:J38"/>
    <mergeCell ref="P36:P38"/>
    <mergeCell ref="J30:J32"/>
    <mergeCell ref="M30:M32"/>
    <mergeCell ref="M36:M38"/>
    <mergeCell ref="R36:R38"/>
    <mergeCell ref="Q30:Q32"/>
    <mergeCell ref="R42:R44"/>
    <mergeCell ref="P30:P32"/>
    <mergeCell ref="Q39:Q41"/>
    <mergeCell ref="R33:R35"/>
    <mergeCell ref="Q33:Q35"/>
    <mergeCell ref="Q36:Q38"/>
    <mergeCell ref="J42:J44"/>
    <mergeCell ref="R39:R41"/>
    <mergeCell ref="H36:I38"/>
    <mergeCell ref="J33:J35"/>
    <mergeCell ref="K30:L32"/>
    <mergeCell ref="M33:M35"/>
    <mergeCell ref="K36:L38"/>
    <mergeCell ref="D36:E38"/>
    <mergeCell ref="C36:C38"/>
    <mergeCell ref="Q42:Q44"/>
    <mergeCell ref="P42:P44"/>
    <mergeCell ref="P39:P41"/>
    <mergeCell ref="H39:I41"/>
    <mergeCell ref="C39:C41"/>
    <mergeCell ref="D42:E44"/>
    <mergeCell ref="F42:G44"/>
    <mergeCell ref="H42:I44"/>
    <mergeCell ref="M39:M41"/>
    <mergeCell ref="P33:P35"/>
    <mergeCell ref="F36:G38"/>
    <mergeCell ref="D33:E35"/>
    <mergeCell ref="D30:E32"/>
    <mergeCell ref="H33:I35"/>
    <mergeCell ref="K33:L35"/>
    <mergeCell ref="J39:J41"/>
    <mergeCell ref="F39:G41"/>
    <mergeCell ref="A30:A32"/>
    <mergeCell ref="C30:C32"/>
    <mergeCell ref="A33:A35"/>
    <mergeCell ref="C33:C35"/>
    <mergeCell ref="A45:A47"/>
    <mergeCell ref="A51:A53"/>
    <mergeCell ref="C51:C53"/>
    <mergeCell ref="B51:B53"/>
    <mergeCell ref="A48:A50"/>
    <mergeCell ref="B48:B50"/>
    <mergeCell ref="C48:C50"/>
    <mergeCell ref="B45:B47"/>
    <mergeCell ref="C45:C47"/>
    <mergeCell ref="B30:B32"/>
    <mergeCell ref="A36:A38"/>
    <mergeCell ref="B36:B38"/>
    <mergeCell ref="A39:A41"/>
    <mergeCell ref="A42:A44"/>
    <mergeCell ref="B39:B41"/>
    <mergeCell ref="B42:B44"/>
    <mergeCell ref="M69:M71"/>
    <mergeCell ref="K57:L59"/>
    <mergeCell ref="H54:I56"/>
    <mergeCell ref="F54:G56"/>
    <mergeCell ref="D54:E56"/>
    <mergeCell ref="D57:E59"/>
    <mergeCell ref="Q60:Q62"/>
    <mergeCell ref="J60:J62"/>
    <mergeCell ref="K60:L62"/>
    <mergeCell ref="M60:M62"/>
    <mergeCell ref="M57:M59"/>
    <mergeCell ref="M54:M56"/>
    <mergeCell ref="P63:P65"/>
    <mergeCell ref="M51:M53"/>
    <mergeCell ref="M48:M50"/>
    <mergeCell ref="J45:J47"/>
    <mergeCell ref="Q69:Q71"/>
    <mergeCell ref="D39:E41"/>
    <mergeCell ref="J51:J53"/>
    <mergeCell ref="K51:L53"/>
    <mergeCell ref="K45:L47"/>
    <mergeCell ref="D51:E53"/>
    <mergeCell ref="F51:G53"/>
    <mergeCell ref="H51:I53"/>
    <mergeCell ref="H45:I47"/>
    <mergeCell ref="D48:E50"/>
    <mergeCell ref="F48:G50"/>
    <mergeCell ref="H48:I50"/>
    <mergeCell ref="J48:J50"/>
    <mergeCell ref="M45:M47"/>
    <mergeCell ref="D45:E47"/>
    <mergeCell ref="F45:G47"/>
    <mergeCell ref="B33:B35"/>
    <mergeCell ref="P69:P71"/>
    <mergeCell ref="R60:R62"/>
    <mergeCell ref="R54:R56"/>
    <mergeCell ref="Q57:Q59"/>
    <mergeCell ref="Q54:Q56"/>
    <mergeCell ref="P54:P56"/>
    <mergeCell ref="N45:N47"/>
    <mergeCell ref="O45:O47"/>
    <mergeCell ref="P51:P53"/>
    <mergeCell ref="P57:P59"/>
    <mergeCell ref="P45:P47"/>
    <mergeCell ref="R48:R50"/>
    <mergeCell ref="N48:N50"/>
    <mergeCell ref="O48:O50"/>
    <mergeCell ref="P48:P50"/>
    <mergeCell ref="Q48:Q50"/>
    <mergeCell ref="Q45:Q47"/>
    <mergeCell ref="R45:R47"/>
    <mergeCell ref="B60:B62"/>
    <mergeCell ref="D60:E62"/>
    <mergeCell ref="Q2:Q5"/>
    <mergeCell ref="A85:P85"/>
    <mergeCell ref="P60:P62"/>
    <mergeCell ref="A81:P81"/>
    <mergeCell ref="A66:A68"/>
    <mergeCell ref="D66:E68"/>
    <mergeCell ref="C66:C68"/>
    <mergeCell ref="F66:G68"/>
    <mergeCell ref="A63:A65"/>
    <mergeCell ref="F63:G65"/>
    <mergeCell ref="D63:E65"/>
    <mergeCell ref="B63:B65"/>
    <mergeCell ref="B66:B68"/>
    <mergeCell ref="C63:C65"/>
    <mergeCell ref="J63:J65"/>
    <mergeCell ref="M63:M65"/>
    <mergeCell ref="H63:I65"/>
    <mergeCell ref="J66:J68"/>
    <mergeCell ref="B77:C78"/>
    <mergeCell ref="F77:G78"/>
    <mergeCell ref="K48:L50"/>
    <mergeCell ref="K54:L56"/>
    <mergeCell ref="F60:G62"/>
    <mergeCell ref="C57:C59"/>
    <mergeCell ref="A83:P83"/>
    <mergeCell ref="B82:P82"/>
    <mergeCell ref="B74:C75"/>
    <mergeCell ref="F74:F75"/>
    <mergeCell ref="G74:G75"/>
    <mergeCell ref="R51:R53"/>
    <mergeCell ref="Q51:Q53"/>
    <mergeCell ref="Q66:Q68"/>
    <mergeCell ref="Q63:Q65"/>
    <mergeCell ref="R66:R68"/>
    <mergeCell ref="R63:R65"/>
    <mergeCell ref="H60:I62"/>
    <mergeCell ref="C60:C62"/>
    <mergeCell ref="H57:I59"/>
    <mergeCell ref="K63:L65"/>
    <mergeCell ref="J69:J71"/>
    <mergeCell ref="K69:L71"/>
    <mergeCell ref="H66:I68"/>
    <mergeCell ref="J54:J56"/>
    <mergeCell ref="C54:C56"/>
    <mergeCell ref="B54:B56"/>
    <mergeCell ref="F57:G59"/>
    <mergeCell ref="J57:J59"/>
    <mergeCell ref="B76:E76"/>
  </mergeCells>
  <phoneticPr fontId="33" type="noConversion"/>
  <conditionalFormatting sqref="O9">
    <cfRule type="expression" dxfId="141" priority="733" stopIfTrue="1">
      <formula>LEN(TRIM(O9))=0</formula>
    </cfRule>
  </conditionalFormatting>
  <conditionalFormatting sqref="O12">
    <cfRule type="expression" dxfId="140" priority="157" stopIfTrue="1">
      <formula>LEN(TRIM(O12))=0</formula>
    </cfRule>
  </conditionalFormatting>
  <conditionalFormatting sqref="O15">
    <cfRule type="expression" dxfId="139" priority="156" stopIfTrue="1">
      <formula>LEN(TRIM(O15))=0</formula>
    </cfRule>
  </conditionalFormatting>
  <conditionalFormatting sqref="O18">
    <cfRule type="expression" dxfId="138" priority="85" stopIfTrue="1">
      <formula>LEN(TRIM(O18))=0</formula>
    </cfRule>
  </conditionalFormatting>
  <conditionalFormatting sqref="O21:O22">
    <cfRule type="expression" dxfId="137" priority="57" stopIfTrue="1">
      <formula>LEN(TRIM(O21))=0</formula>
    </cfRule>
  </conditionalFormatting>
  <conditionalFormatting sqref="O24:O25">
    <cfRule type="expression" dxfId="136" priority="230" stopIfTrue="1">
      <formula>LEN(TRIM(O24))=0</formula>
    </cfRule>
  </conditionalFormatting>
  <conditionalFormatting sqref="O27:O28">
    <cfRule type="expression" dxfId="135" priority="229" stopIfTrue="1">
      <formula>LEN(TRIM(O27))=0</formula>
    </cfRule>
  </conditionalFormatting>
  <conditionalFormatting sqref="O30:O31">
    <cfRule type="expression" dxfId="134" priority="67" stopIfTrue="1">
      <formula>LEN(TRIM(O30))=0</formula>
    </cfRule>
  </conditionalFormatting>
  <conditionalFormatting sqref="O33">
    <cfRule type="expression" dxfId="133" priority="84" stopIfTrue="1">
      <formula>LEN(TRIM(O33))=0</formula>
    </cfRule>
  </conditionalFormatting>
  <conditionalFormatting sqref="O36">
    <cfRule type="expression" dxfId="132" priority="83" stopIfTrue="1">
      <formula>LEN(TRIM(O36))=0</formula>
    </cfRule>
  </conditionalFormatting>
  <conditionalFormatting sqref="O42">
    <cfRule type="expression" dxfId="131" priority="227" stopIfTrue="1">
      <formula>LEN(TRIM(O42))=0</formula>
    </cfRule>
  </conditionalFormatting>
  <conditionalFormatting sqref="O51:O52">
    <cfRule type="expression" dxfId="130" priority="32">
      <formula>LEN(TRIM(O51))=0</formula>
    </cfRule>
  </conditionalFormatting>
  <conditionalFormatting sqref="O54:O55">
    <cfRule type="expression" dxfId="129" priority="90" stopIfTrue="1">
      <formula>LEN(TRIM(O54))=0</formula>
    </cfRule>
  </conditionalFormatting>
  <conditionalFormatting sqref="O60:O61">
    <cfRule type="expression" dxfId="128" priority="56" stopIfTrue="1">
      <formula>LEN(TRIM(O60))=0</formula>
    </cfRule>
  </conditionalFormatting>
  <conditionalFormatting sqref="O63:O64">
    <cfRule type="expression" dxfId="127" priority="212" stopIfTrue="1">
      <formula>LEN(TRIM(O63))=0</formula>
    </cfRule>
  </conditionalFormatting>
  <conditionalFormatting sqref="O66">
    <cfRule type="expression" dxfId="126" priority="78" stopIfTrue="1">
      <formula>LEN(TRIM(O66))=0</formula>
    </cfRule>
  </conditionalFormatting>
  <conditionalFormatting sqref="O69">
    <cfRule type="expression" dxfId="125" priority="11" stopIfTrue="1">
      <formula>LEN(TRIM(O69))=0</formula>
    </cfRule>
  </conditionalFormatting>
  <conditionalFormatting sqref="P9:P11">
    <cfRule type="expression" dxfId="124" priority="15" stopIfTrue="1">
      <formula>OR(P9=$D$77,P9=$D$78)</formula>
    </cfRule>
    <cfRule type="cellIs" dxfId="123" priority="718" stopIfTrue="1" operator="equal">
      <formula>"OK"</formula>
    </cfRule>
  </conditionalFormatting>
  <conditionalFormatting sqref="P9:P48 P51:P71">
    <cfRule type="cellIs" dxfId="122" priority="4" stopIfTrue="1" operator="equal">
      <formula>"optional - Exception (Plausibility unclear)"</formula>
    </cfRule>
    <cfRule type="cellIs" dxfId="121" priority="716" stopIfTrue="1" operator="equal">
      <formula>"Exception (Plausibility unclear)"</formula>
    </cfRule>
  </conditionalFormatting>
  <conditionalFormatting sqref="P9:P48">
    <cfRule type="cellIs" dxfId="120" priority="325" stopIfTrue="1" operator="equal">
      <formula>"OK (Plausibility unclear)"</formula>
    </cfRule>
  </conditionalFormatting>
  <conditionalFormatting sqref="P9:P71">
    <cfRule type="cellIs" dxfId="119" priority="2" stopIfTrue="1" operator="equal">
      <formula>"optional - Target value not met"</formula>
    </cfRule>
    <cfRule type="cellIs" dxfId="118" priority="717" stopIfTrue="1" operator="equal">
      <formula>"Target value not met"</formula>
    </cfRule>
  </conditionalFormatting>
  <conditionalFormatting sqref="P12:P48">
    <cfRule type="cellIs" dxfId="117" priority="4318" stopIfTrue="1" operator="equal">
      <formula>"optional - OK"</formula>
    </cfRule>
    <cfRule type="expression" dxfId="116" priority="4319" stopIfTrue="1">
      <formula>OR(P12=$D$77,P12=$D$78)</formula>
    </cfRule>
    <cfRule type="cellIs" dxfId="115" priority="4320" stopIfTrue="1" operator="equal">
      <formula>"OK"</formula>
    </cfRule>
  </conditionalFormatting>
  <conditionalFormatting sqref="P27:P32">
    <cfRule type="expression" dxfId="114" priority="24" stopIfTrue="1">
      <formula>OR(P27=#REF!,P27=#REF!)</formula>
    </cfRule>
    <cfRule type="cellIs" dxfId="113" priority="25" stopIfTrue="1" operator="equal">
      <formula>"OK (Plausibility unclear)"</formula>
    </cfRule>
    <cfRule type="cellIs" dxfId="112" priority="27" stopIfTrue="1" operator="equal">
      <formula>"OK"</formula>
    </cfRule>
  </conditionalFormatting>
  <conditionalFormatting sqref="P51:P71">
    <cfRule type="cellIs" dxfId="111" priority="1" stopIfTrue="1" operator="equal">
      <formula>"optional - OK"</formula>
    </cfRule>
    <cfRule type="expression" dxfId="110" priority="4329" stopIfTrue="1">
      <formula>OR(P51=$D$77,P51=$D$78)</formula>
    </cfRule>
    <cfRule type="cellIs" dxfId="109" priority="4330" stopIfTrue="1" operator="equal">
      <formula>"OK (Plausibility unclear)"</formula>
    </cfRule>
    <cfRule type="cellIs" dxfId="108" priority="4331" stopIfTrue="1" operator="equal">
      <formula>"OK"</formula>
    </cfRule>
  </conditionalFormatting>
  <conditionalFormatting sqref="Q9:Q71">
    <cfRule type="notContainsBlanks" dxfId="107" priority="8" stopIfTrue="1">
      <formula>LEN(TRIM(Q9))&gt;0</formula>
    </cfRule>
    <cfRule type="expression" dxfId="106" priority="9" stopIfTrue="1">
      <formula>OR($P9="Incomplete",$P9="Target value not met",$P9="optional - Target value not met",$P9="OK (Plausibility unclear)",$P9="Exception (Plausibility unclear)",$P9="optional - incomplete",$P9="optional – target value not met",$P9="optional - OK (Plausibility unclear)", $P9="optional - OK (Plausibility unclear)",$P9="optional - Exception (Plausibility unclear)")</formula>
    </cfRule>
  </conditionalFormatting>
  <dataValidations xWindow="1288" yWindow="542" count="23">
    <dataValidation errorStyle="information" allowBlank="1" showInputMessage="1" showErrorMessage="1" errorTitle="Kennzahl" promptTitle="Kennzahl" sqref="A7:B8" xr:uid="{00000000-0002-0000-0500-000000000000}"/>
    <dataValidation type="custom" operator="equal" showInputMessage="1" showErrorMessage="1" errorTitle="Input data error" error="1.Denominator has to be a positive whole number._x000a_2.Denominator cannot be smaller than numerator." sqref="O64" xr:uid="{00000000-0002-0000-0500-000001000000}">
      <formula1>IF(ISNUMBER(O64),IF(O64&gt;0,IF(AND(O64&gt;=O63,O64&lt;5001),O64,FALSE),FALSE),FALSE)</formula1>
    </dataValidation>
    <dataValidation type="whole" showInputMessage="1" showErrorMessage="1" errorTitle="Input data error" error="1.Denominator has to be a positive whole number._x000a_2.Denominator cannot be smaller than numerator." sqref="O16 O31" xr:uid="{00000000-0002-0000-0500-000002000000}">
      <formula1>O15</formula1>
      <formula2>5000</formula2>
    </dataValidation>
    <dataValidation type="whole" showInputMessage="1" showErrorMessage="1" errorTitle="Input data error" error="1.Numerator has to be a positive whole number._x000a_2.Numerator cannot be bigger than denominator." sqref="O63 O15 O30 O51" xr:uid="{00000000-0002-0000-0500-000003000000}">
      <formula1>0</formula1>
      <formula2>IF(O16="",5000,O16)</formula2>
    </dataValidation>
    <dataValidation errorStyle="information" allowBlank="1" showInputMessage="1" showErrorMessage="1" sqref="P9:P11" xr:uid="{00000000-0002-0000-0500-000004000000}"/>
    <dataValidation type="textLength" allowBlank="1" showInputMessage="1" showErrorMessage="1" errorTitle="Characters" error="Minimum 30 characters and maximum 500 characters." promptTitle="Remark" prompt="If the value in the data quality box is not “Ok”, the Indicator must be justified.                                 " sqref="Q9:Q11" xr:uid="{00000000-0002-0000-0500-000005000000}">
      <formula1>30</formula1>
      <formula2>500</formula2>
    </dataValidation>
    <dataValidation type="whole" showInputMessage="1" showErrorMessage="1" errorTitle="Input data error" error="1.Sheet „Basic data“ has to be filled out completely._x000a_2.Numerator has to be a positive whole number._x000a_3.Numerator cannot be bigger than denominator." sqref="O36 O9 O12 O66 O18 O33" xr:uid="{00000000-0002-0000-0500-000006000000}">
      <formula1>0</formula1>
      <formula2>IF(O10="",0,O10)</formula2>
    </dataValidation>
    <dataValidation type="whole" showInputMessage="1" showErrorMessage="1" errorTitle="Input data error" error="1.Sheet „Basic data“ has to be filled out completely._x000a_2.Numerator has to be a positive whole number." sqref="O39" xr:uid="{00000000-0002-0000-0500-000007000000}">
      <formula1>0</formula1>
      <formula2>IF(O40="",0,5000)</formula2>
    </dataValidation>
    <dataValidation showInputMessage="1" showErrorMessage="1" sqref="O43" xr:uid="{00000000-0002-0000-0500-000008000000}"/>
    <dataValidation showInputMessage="1" showErrorMessage="1" errorTitle="Input data error" error="1.Sheet „Basic data“ has to be filled out completely._x000a_2.Numerator has to be a positive whole number._x000a_3.Numerator cannot be bigger than denominator." sqref="O19" xr:uid="{00000000-0002-0000-0500-000009000000}"/>
    <dataValidation type="custom" showInputMessage="1" showErrorMessage="1" errorTitle="Input data error" error="1.Denominator has to be a positive whole number._x000a_2.Denominator cannot be smaller than numerator._x000a_3.Denominator cannot be bigger than the total number of surgical primary cases  with BCS." sqref="O52" xr:uid="{00000000-0002-0000-0500-00000A000000}">
      <formula1>IF(ISNUMBER(O52),IF(O52&gt;0,IF(AND(O52&gt;=O51,O52&lt;=$S$52),O52,FALSE),FALSE),FALSE)</formula1>
    </dataValidation>
    <dataValidation type="whole" showErrorMessage="1" errorTitle="Input data error" error="1.Numerator has to be a positive whole number._x000a_2.Numerator cannot be bigger than denominator." sqref="O69" xr:uid="{00000000-0002-0000-0500-00000B000000}">
      <formula1>0</formula1>
      <formula2>IF(O70="",5000,O70)</formula2>
    </dataValidation>
    <dataValidation type="whole" showErrorMessage="1" errorTitle="Input data error  " error="1.Denominator has to be a positive whole number._x000a_2.Denominator cannot be smaller than numerator._x000a_3.Denominator cannot be bigger than the number of primary cases with N+, M1 and not to be attributed." sqref="O70" xr:uid="{00000000-0002-0000-0500-00000C000000}">
      <formula1>O69</formula1>
      <formula2>S70</formula2>
    </dataValidation>
    <dataValidation type="textLength" allowBlank="1" showInputMessage="1" showErrorMessage="1" errorTitle="Characters" error="Minimum 30 characters and maximum 500 characters." sqref="R9:R48 R51:R71" xr:uid="{00000000-0002-0000-0500-00000D000000}">
      <formula1>30</formula1>
      <formula2>500</formula2>
    </dataValidation>
    <dataValidation type="textLength" allowBlank="1" showInputMessage="1" showErrorMessage="1" errorTitle="Zeichenlänge" error="Minimal 30 Zeichen und max. 200 Zeichen." sqref="Q72:R79" xr:uid="{00000000-0002-0000-0500-00000E000000}">
      <formula1>30</formula1>
      <formula2>200</formula2>
    </dataValidation>
    <dataValidation type="whole" allowBlank="1" showInputMessage="1" showErrorMessage="1" errorTitle="Input data error" error="1.Sheet „Basic data“ has to be filled out completely._x000a_2.Numerator has to be a positive whole number._x000a_3.Numerator cannot be bigger than denominator." sqref="O21" xr:uid="{00000000-0002-0000-0500-00000F000000}">
      <formula1>0</formula1>
      <formula2>IF(O22="",IF($O$45="",0,$O$45),O22)</formula2>
    </dataValidation>
    <dataValidation type="whole" allowBlank="1" showInputMessage="1" showErrorMessage="1" errorTitle="Input data error" error="1.Sheet „Basic data“ has to be filled out completely._x000a_2.Denominator has to be a positive whole number._x000a_3.Denominator cannot be smaller than numerator._x000a_4.Denominator cannot be bigger than operated primary cases with BCS" sqref="O22 O61" xr:uid="{00000000-0002-0000-0500-000010000000}">
      <formula1>O21</formula1>
      <formula2>S22</formula2>
    </dataValidation>
    <dataValidation type="whole" allowBlank="1" showInputMessage="1" showErrorMessage="1" errorTitle="Input data error" error="1.Numerator has to be a positive whole number._x000a_2.Numerator cannot be bigger than denominator." sqref="O27 O54 O60 O24" xr:uid="{00000000-0002-0000-0500-000011000000}">
      <formula1>0</formula1>
      <formula2>IF(O25="",5000,O25)</formula2>
    </dataValidation>
    <dataValidation type="whole" allowBlank="1" showInputMessage="1" showErrorMessage="1" errorTitle="Input data error" error="1.Denominator has to be a positive whole number._x000a_2.Denominator cannot be smaller than numerator._x000a_3.Denominator cannot be bigger than the number of primary cases with T1-T4, N+, not to be attributed." sqref="O28" xr:uid="{00000000-0002-0000-0500-000012000000}">
      <formula1>IF(O27="",0,O27)</formula1>
      <formula2>$S$28</formula2>
    </dataValidation>
    <dataValidation type="whole" showInputMessage="1" showErrorMessage="1" errorTitle="Input data error" error="1.Sheet „Basic data“ has to be filled out completely._x000a_2.Numerator has to be a positive whole number._x000a_3.Numerator cannot be bigger than denominator." sqref="O42" xr:uid="{00000000-0002-0000-0500-000013000000}">
      <formula1>0</formula1>
      <formula2>IF(O43="",5000,O43)</formula2>
    </dataValidation>
    <dataValidation type="custom" showInputMessage="1" showErrorMessage="1" errorTitle="Input data error" error="1.Denominator has to be a positive whole number._x000a_2.Denominator cannot be smaller than numerator._x000a_3.Denominator cannot be bigger than the number of primary cases with T1-T4, N+, not to be attributed." sqref="O25" xr:uid="{00000000-0002-0000-0500-000017000000}">
      <formula1>IF(ISNUMBER(O25),IF(O25&gt;0,IF(AND(O25&gt;=O24,O25&lt;=$S$25),O25,FALSE),FALSE),FALSE)</formula1>
    </dataValidation>
    <dataValidation type="custom" showInputMessage="1" showErrorMessage="1" errorTitle="Input data error" error="1.Denominator has to be a positive whole number._x000a_2.Denominator cannot be smaller than numerator._x000a_3.Denominator cannot be bigger than operated primary cases." sqref="O55" xr:uid="{00000000-0002-0000-0500-000018000000}">
      <formula1>IF(ISNUMBER(O55),IF(O55&gt;0,IF(AND(O55&gt;=O54,O55&lt;=$O$58),O55,FALSE),FALSE),FALSE)</formula1>
    </dataValidation>
    <dataValidation type="textLength" allowBlank="1" showErrorMessage="1" errorTitle="Characters" error="Minimum 30 characters and maximum 500 characters." promptTitle="Remark" prompt="If the value in the data quality box is not “Ok”, the Indicator must be justified.                                 " sqref="Q12:Q71" xr:uid="{B38C37B1-E529-4327-8A94-15E79CA328A8}">
      <formula1>30</formula1>
      <formula2>500</formula2>
    </dataValidation>
  </dataValidations>
  <pageMargins left="0.39370078740157483" right="7.874015748031496E-2" top="0.59055118110236227" bottom="0.39370078740157483" header="0.11811023622047245" footer="0.11811023622047245"/>
  <pageSetup paperSize="9" scale="90" orientation="landscape" r:id="rId1"/>
  <headerFooter>
    <oddFooter xml:space="preserve">&amp;L&amp;"Arial,Regular"&amp;7&amp;F&amp;R&amp;"Arial,Regular"&amp;7&amp;P       </oddFooter>
  </headerFooter>
  <rowBreaks count="4" manualBreakCount="4">
    <brk id="20" max="15" man="1"/>
    <brk id="35" max="15" man="1"/>
    <brk id="50" max="15" man="1"/>
    <brk id="68" max="15" man="1"/>
  </rowBreaks>
  <drawing r:id="rId2"/>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13</vt:i4>
      </vt:variant>
    </vt:vector>
  </HeadingPairs>
  <TitlesOfParts>
    <vt:vector size="32" baseType="lpstr">
      <vt:lpstr>Basic data</vt:lpstr>
      <vt:lpstr>HilfstabelleSD</vt:lpstr>
      <vt:lpstr>HilfstabelleB</vt:lpstr>
      <vt:lpstr>HilfstabelleB2</vt:lpstr>
      <vt:lpstr>Datenquelle</vt:lpstr>
      <vt:lpstr>Studies</vt:lpstr>
      <vt:lpstr>HilfstabelleStudien</vt:lpstr>
      <vt:lpstr>Surgeons</vt:lpstr>
      <vt:lpstr>Indicator sheet</vt:lpstr>
      <vt:lpstr>HilfstabelleKB</vt:lpstr>
      <vt:lpstr>Berechnung1</vt:lpstr>
      <vt:lpstr>Datendefizite_KB</vt:lpstr>
      <vt:lpstr>Hilfstabelle DatendefKB</vt:lpstr>
      <vt:lpstr>Matrix</vt:lpstr>
      <vt:lpstr>HilfstabelleM</vt:lpstr>
      <vt:lpstr>Berechnung3</vt:lpstr>
      <vt:lpstr>Berechnung2</vt:lpstr>
      <vt:lpstr>Datendefizite_Matrix</vt:lpstr>
      <vt:lpstr>HilfstabelleDM</vt:lpstr>
      <vt:lpstr>Keine_Zusammenarbeit</vt:lpstr>
      <vt:lpstr>OncoBox</vt:lpstr>
      <vt:lpstr>'Basic data'!Print_Area</vt:lpstr>
      <vt:lpstr>'Indicator sheet'!Print_Area</vt:lpstr>
      <vt:lpstr>Matrix!Print_Area</vt:lpstr>
      <vt:lpstr>Studies!Print_Area</vt:lpstr>
      <vt:lpstr>Surgeons!Print_Area</vt:lpstr>
      <vt:lpstr>Datendefizite_KB!Print_Titles</vt:lpstr>
      <vt:lpstr>Datendefizite_Matrix!Print_Titles</vt:lpstr>
      <vt:lpstr>'Indicator sheet'!Print_Titles</vt:lpstr>
      <vt:lpstr>Tumordokumentation</vt:lpstr>
      <vt:lpstr>Zentrum1</vt:lpstr>
      <vt:lpstr>zentrumsintern___ohne_Krebsregister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Roxana Rentea</cp:lastModifiedBy>
  <cp:lastPrinted>2025-12-15T07:02:40Z</cp:lastPrinted>
  <dcterms:created xsi:type="dcterms:W3CDTF">2012-04-12T09:13:43Z</dcterms:created>
  <dcterms:modified xsi:type="dcterms:W3CDTF">2025-12-16T08:50:45Z</dcterms:modified>
</cp:coreProperties>
</file>